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2.xml" ContentType="application/vnd.openxmlformats-officedocument.drawing+xml"/>
  <Override PartName="/xl/charts/chart1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harts/chart16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6.xml" ContentType="application/vnd.openxmlformats-officedocument.drawingml.chartshapes+xml"/>
  <Override PartName="/xl/charts/chart17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7.xml" ContentType="application/vnd.openxmlformats-officedocument.drawingml.chartshapes+xml"/>
  <Override PartName="/xl/charts/chart18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8.xml" ContentType="application/vnd.openxmlformats-officedocument.drawingml.chartshapes+xml"/>
  <Override PartName="/xl/charts/chart19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9.xml" ContentType="application/vnd.openxmlformats-officedocument.drawingml.chartshapes+xml"/>
  <Override PartName="/xl/charts/chart20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20.xml" ContentType="application/vnd.openxmlformats-officedocument.drawingml.chartshapes+xml"/>
  <Override PartName="/xl/charts/chart21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2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3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1.xml" ContentType="application/vnd.openxmlformats-officedocument.drawingml.chartshapes+xml"/>
  <Override PartName="/xl/charts/chart24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2.xml" ContentType="application/vnd.openxmlformats-officedocument.drawingml.chartshapes+xml"/>
  <Override PartName="/xl/charts/chart25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3.xml" ContentType="application/vnd.openxmlformats-officedocument.drawingml.chartshapes+xml"/>
  <Override PartName="/xl/charts/chart26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4.xml" ContentType="application/vnd.openxmlformats-officedocument.drawingml.chartshapes+xml"/>
  <Override PartName="/xl/charts/chart27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8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9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25.xml" ContentType="application/vnd.openxmlformats-officedocument.drawingml.chartshapes+xml"/>
  <Override PartName="/xl/charts/chart30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26.xml" ContentType="application/vnd.openxmlformats-officedocument.drawingml.chartshapes+xml"/>
  <Override PartName="/xl/charts/chart31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27.xml" ContentType="application/vnd.openxmlformats-officedocument.drawingml.chartshapes+xml"/>
  <Override PartName="/xl/charts/chartEx1.xml" ContentType="application/vnd.ms-office.chartex+xml"/>
  <Override PartName="/xl/charts/style28.xml" ContentType="application/vnd.ms-office.chartstyle+xml"/>
  <Override PartName="/xl/charts/colors28.xml" ContentType="application/vnd.ms-office.chartcolorstyle+xml"/>
  <Override PartName="/xl/charts/chartEx2.xml" ContentType="application/vnd.ms-office.chartex+xml"/>
  <Override PartName="/xl/charts/style29.xml" ContentType="application/vnd.ms-office.chartstyle+xml"/>
  <Override PartName="/xl/charts/colors29.xml" ContentType="application/vnd.ms-office.chartcolorstyle+xml"/>
  <Override PartName="/xl/charts/chartEx3.xml" ContentType="application/vnd.ms-office.chartex+xml"/>
  <Override PartName="/xl/charts/style30.xml" ContentType="application/vnd.ms-office.chartstyle+xml"/>
  <Override PartName="/xl/charts/colors30.xml" ContentType="application/vnd.ms-office.chartcolorstyle+xml"/>
  <Override PartName="/xl/drawings/drawing28.xml" ContentType="application/vnd.openxmlformats-officedocument.drawing+xml"/>
  <Override PartName="/xl/charts/chart32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3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29.xml" ContentType="application/vnd.openxmlformats-officedocument.drawing+xml"/>
  <Override PartName="/xl/charts/chart34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5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30.xml" ContentType="application/vnd.openxmlformats-officedocument.drawing+xml"/>
  <Override PartName="/xl/charts/chart36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7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Ex4.xml" ContentType="application/vnd.ms-office.chartex+xml"/>
  <Override PartName="/xl/charts/style37.xml" ContentType="application/vnd.ms-office.chartstyle+xml"/>
  <Override PartName="/xl/charts/colors37.xml" ContentType="application/vnd.ms-office.chartcolorstyle+xml"/>
  <Override PartName="/xl/charts/chartEx5.xml" ContentType="application/vnd.ms-office.chartex+xml"/>
  <Override PartName="/xl/charts/style38.xml" ContentType="application/vnd.ms-office.chartstyle+xml"/>
  <Override PartName="/xl/charts/colors38.xml" ContentType="application/vnd.ms-office.chartcolorstyle+xml"/>
  <Override PartName="/xl/charts/chartEx6.xml" ContentType="application/vnd.ms-office.chartex+xml"/>
  <Override PartName="/xl/charts/style39.xml" ContentType="application/vnd.ms-office.chartstyle+xml"/>
  <Override PartName="/xl/charts/colors39.xml" ContentType="application/vnd.ms-office.chartcolorstyle+xml"/>
  <Override PartName="/xl/charts/chart38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31.xml" ContentType="application/vnd.openxmlformats-officedocument.drawingml.chartshapes+xml"/>
  <Override PartName="/xl/drawings/drawing32.xml" ContentType="application/vnd.openxmlformats-officedocument.drawing+xml"/>
  <Override PartName="/xl/charts/chart39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33.xml" ContentType="application/vnd.openxmlformats-officedocument.drawing+xml"/>
  <Override PartName="/xl/charts/chart40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1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2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3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34.xml" ContentType="application/vnd.openxmlformats-officedocument.drawing+xml"/>
  <Override PartName="/xl/charts/chart44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5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6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35.xml" ContentType="application/vnd.openxmlformats-officedocument.drawing+xml"/>
  <Override PartName="/xl/charts/chart47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48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49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0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1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2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3.xml" ContentType="application/vnd.openxmlformats-officedocument.drawingml.chart+xml"/>
  <Override PartName="/xl/drawings/drawing36.xml" ContentType="application/vnd.openxmlformats-officedocument.drawing+xml"/>
  <Override PartName="/xl/charts/chart54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5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6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drawings/drawing37.xml" ContentType="application/vnd.openxmlformats-officedocument.drawing+xml"/>
  <Override PartName="/xl/charts/chart57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8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drawings/drawing38.xml" ContentType="application/vnd.openxmlformats-officedocument.drawing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1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drawings/drawing39.xml" ContentType="application/vnd.openxmlformats-officedocument.drawing+xml"/>
  <Override PartName="/xl/charts/chart72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3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drawings/drawing40.xml" ContentType="application/vnd.openxmlformats-officedocument.drawing+xml"/>
  <Override PartName="/xl/charts/chartEx7.xml" ContentType="application/vnd.ms-office.chartex+xml"/>
  <Override PartName="/xl/charts/style73.xml" ContentType="application/vnd.ms-office.chartstyle+xml"/>
  <Override PartName="/xl/charts/colors73.xml" ContentType="application/vnd.ms-office.chartcolorstyle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Ex8.xml" ContentType="application/vnd.ms-office.chartex+xml"/>
  <Override PartName="/xl/charts/style77.xml" ContentType="application/vnd.ms-office.chartstyle+xml"/>
  <Override PartName="/xl/charts/colors77.xml" ContentType="application/vnd.ms-office.chartcolorstyle+xml"/>
  <Override PartName="/xl/charts/chartEx9.xml" ContentType="application/vnd.ms-office.chartex+xml"/>
  <Override PartName="/xl/charts/style78.xml" ContentType="application/vnd.ms-office.chartstyle+xml"/>
  <Override PartName="/xl/charts/colors78.xml" ContentType="application/vnd.ms-office.chartcolorstyle+xml"/>
  <Override PartName="/xl/charts/chartEx10.xml" ContentType="application/vnd.ms-office.chartex+xml"/>
  <Override PartName="/xl/charts/style79.xml" ContentType="application/vnd.ms-office.chartstyle+xml"/>
  <Override PartName="/xl/charts/colors79.xml" ContentType="application/vnd.ms-office.chartcolorstyle+xml"/>
  <Override PartName="/xl/charts/chart77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drawings/drawing45.xml" ContentType="application/vnd.openxmlformats-officedocument.drawingml.chartshapes+xml"/>
  <Override PartName="/xl/drawings/drawing46.xml" ContentType="application/vnd.openxmlformats-officedocument.drawing+xml"/>
  <Override PartName="/xl/comments1.xml" ContentType="application/vnd.openxmlformats-officedocument.spreadsheetml.comments+xml"/>
  <Override PartName="/xl/drawings/drawing47.xml" ContentType="application/vnd.openxmlformats-officedocument.drawing+xml"/>
  <Override PartName="/xl/charts/chart78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drawings/drawing48.xml" ContentType="application/vnd.openxmlformats-officedocument.drawing+xml"/>
  <Override PartName="/xl/charts/chart79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0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1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drawings/drawing49.xml" ContentType="application/vnd.openxmlformats-officedocument.drawing+xml"/>
  <Override PartName="/xl/charts/chart82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3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4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drawings/drawing50.xml" ContentType="application/vnd.openxmlformats-officedocument.drawing+xml"/>
  <Override PartName="/xl/charts/chart85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86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87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drawings/drawing51.xml" ContentType="application/vnd.openxmlformats-officedocument.drawing+xml"/>
  <Override PartName="/xl/charts/chart88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89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0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drawings/drawing52.xml" ContentType="application/vnd.openxmlformats-officedocument.drawing+xml"/>
  <Override PartName="/xl/charts/chart91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2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3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drawings/drawing53.xml" ContentType="application/vnd.openxmlformats-officedocument.drawing+xml"/>
  <Override PartName="/xl/charts/chart94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5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96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drawings/drawing54.xml" ContentType="application/vnd.openxmlformats-officedocument.drawing+xml"/>
  <Override PartName="/xl/charts/chart97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comments2.xml" ContentType="application/vnd.openxmlformats-officedocument.spreadsheetml.comments+xml"/>
  <Override PartName="/xl/charts/chart98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99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0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charts/chart103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charts/chart104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drawings/drawing59.xml" ContentType="application/vnd.openxmlformats-officedocument.drawing+xml"/>
  <Override PartName="/xl/charts/chart105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06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drawings/drawing60.xml" ContentType="application/vnd.openxmlformats-officedocument.drawing+xml"/>
  <Override PartName="/xl/charts/chart107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08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charts/chart109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10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charts/chart111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harts/chart112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drawings/drawing61.xml" ContentType="application/vnd.openxmlformats-officedocument.drawing+xml"/>
  <Override PartName="/xl/charts/chart113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charts/chart114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charts/chart115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charts/chart116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17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18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charts/chart119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charts/chart120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drawings/drawing62.xml" ContentType="application/vnd.openxmlformats-officedocument.drawing+xml"/>
  <Override PartName="/xl/charts/chart121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drawings/drawing63.xml" ContentType="application/vnd.openxmlformats-officedocument.drawing+xml"/>
  <Override PartName="/xl/charts/chart122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charts/chart123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drawings/drawing64.xml" ContentType="application/vnd.openxmlformats-officedocument.drawing+xml"/>
  <Override PartName="/xl/charts/chart124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charts/chart125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charts/chart126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charts/chart127.xml" ContentType="application/vnd.openxmlformats-officedocument.drawingml.chart+xml"/>
  <Override PartName="/xl/charts/style129.xml" ContentType="application/vnd.ms-office.chartstyle+xml"/>
  <Override PartName="/xl/charts/colors129.xml" ContentType="application/vnd.ms-office.chartcolorstyle+xml"/>
  <Override PartName="/xl/charts/chart128.xml" ContentType="application/vnd.openxmlformats-officedocument.drawingml.chart+xml"/>
  <Override PartName="/xl/charts/style130.xml" ContentType="application/vnd.ms-office.chartstyle+xml"/>
  <Override PartName="/xl/charts/colors130.xml" ContentType="application/vnd.ms-office.chartcolorstyle+xml"/>
  <Override PartName="/xl/charts/chart129.xml" ContentType="application/vnd.openxmlformats-officedocument.drawingml.chart+xml"/>
  <Override PartName="/xl/charts/style131.xml" ContentType="application/vnd.ms-office.chartstyle+xml"/>
  <Override PartName="/xl/charts/colors131.xml" ContentType="application/vnd.ms-office.chartcolorstyle+xml"/>
  <Override PartName="/xl/drawings/drawing65.xml" ContentType="application/vnd.openxmlformats-officedocument.drawing+xml"/>
  <Override PartName="/xl/charts/chart130.xml" ContentType="application/vnd.openxmlformats-officedocument.drawingml.chart+xml"/>
  <Override PartName="/xl/charts/style132.xml" ContentType="application/vnd.ms-office.chartstyle+xml"/>
  <Override PartName="/xl/charts/colors132.xml" ContentType="application/vnd.ms-office.chartcolorstyle+xml"/>
  <Override PartName="/xl/charts/chart131.xml" ContentType="application/vnd.openxmlformats-officedocument.drawingml.chart+xml"/>
  <Override PartName="/xl/charts/style133.xml" ContentType="application/vnd.ms-office.chartstyle+xml"/>
  <Override PartName="/xl/charts/colors133.xml" ContentType="application/vnd.ms-office.chartcolorstyle+xml"/>
  <Override PartName="/xl/charts/chart132.xml" ContentType="application/vnd.openxmlformats-officedocument.drawingml.chart+xml"/>
  <Override PartName="/xl/charts/style134.xml" ContentType="application/vnd.ms-office.chartstyle+xml"/>
  <Override PartName="/xl/charts/colors134.xml" ContentType="application/vnd.ms-office.chartcolorstyle+xml"/>
  <Override PartName="/xl/charts/chart133.xml" ContentType="application/vnd.openxmlformats-officedocument.drawingml.chart+xml"/>
  <Override PartName="/xl/charts/style135.xml" ContentType="application/vnd.ms-office.chartstyle+xml"/>
  <Override PartName="/xl/charts/colors135.xml" ContentType="application/vnd.ms-office.chartcolorstyle+xml"/>
  <Override PartName="/xl/charts/chart134.xml" ContentType="application/vnd.openxmlformats-officedocument.drawingml.chart+xml"/>
  <Override PartName="/xl/charts/style136.xml" ContentType="application/vnd.ms-office.chartstyle+xml"/>
  <Override PartName="/xl/charts/colors136.xml" ContentType="application/vnd.ms-office.chartcolorstyle+xml"/>
  <Override PartName="/xl/charts/chart135.xml" ContentType="application/vnd.openxmlformats-officedocument.drawingml.chart+xml"/>
  <Override PartName="/xl/charts/style137.xml" ContentType="application/vnd.ms-office.chartstyle+xml"/>
  <Override PartName="/xl/charts/colors137.xml" ContentType="application/vnd.ms-office.chartcolorstyle+xml"/>
  <Override PartName="/xl/drawings/drawing66.xml" ContentType="application/vnd.openxmlformats-officedocument.drawing+xml"/>
  <Override PartName="/xl/charts/chart136.xml" ContentType="application/vnd.openxmlformats-officedocument.drawingml.chart+xml"/>
  <Override PartName="/xl/charts/style138.xml" ContentType="application/vnd.ms-office.chartstyle+xml"/>
  <Override PartName="/xl/charts/colors138.xml" ContentType="application/vnd.ms-office.chartcolorstyle+xml"/>
  <Override PartName="/xl/drawings/drawing67.xml" ContentType="application/vnd.openxmlformats-officedocument.drawing+xml"/>
  <Override PartName="/xl/charts/chart137.xml" ContentType="application/vnd.openxmlformats-officedocument.drawingml.chart+xml"/>
  <Override PartName="/xl/charts/style139.xml" ContentType="application/vnd.ms-office.chartstyle+xml"/>
  <Override PartName="/xl/charts/colors139.xml" ContentType="application/vnd.ms-office.chartcolorstyle+xml"/>
  <Override PartName="/xl/drawings/drawing68.xml" ContentType="application/vnd.openxmlformats-officedocument.drawing+xml"/>
  <Override PartName="/xl/charts/chart138.xml" ContentType="application/vnd.openxmlformats-officedocument.drawingml.chart+xml"/>
  <Override PartName="/xl/charts/style140.xml" ContentType="application/vnd.ms-office.chartstyle+xml"/>
  <Override PartName="/xl/charts/colors140.xml" ContentType="application/vnd.ms-office.chartcolorstyle+xml"/>
  <Override PartName="/xl/charts/chart139.xml" ContentType="application/vnd.openxmlformats-officedocument.drawingml.chart+xml"/>
  <Override PartName="/xl/charts/style141.xml" ContentType="application/vnd.ms-office.chartstyle+xml"/>
  <Override PartName="/xl/charts/colors141.xml" ContentType="application/vnd.ms-office.chartcolorstyle+xml"/>
  <Override PartName="/xl/charts/chart140.xml" ContentType="application/vnd.openxmlformats-officedocument.drawingml.chart+xml"/>
  <Override PartName="/xl/charts/style142.xml" ContentType="application/vnd.ms-office.chartstyle+xml"/>
  <Override PartName="/xl/charts/colors142.xml" ContentType="application/vnd.ms-office.chartcolorstyle+xml"/>
  <Override PartName="/xl/charts/chart141.xml" ContentType="application/vnd.openxmlformats-officedocument.drawingml.chart+xml"/>
  <Override PartName="/xl/charts/style143.xml" ContentType="application/vnd.ms-office.chartstyle+xml"/>
  <Override PartName="/xl/charts/colors143.xml" ContentType="application/vnd.ms-office.chartcolorstyle+xml"/>
  <Override PartName="/xl/charts/chart142.xml" ContentType="application/vnd.openxmlformats-officedocument.drawingml.chart+xml"/>
  <Override PartName="/xl/charts/style144.xml" ContentType="application/vnd.ms-office.chartstyle+xml"/>
  <Override PartName="/xl/charts/colors144.xml" ContentType="application/vnd.ms-office.chartcolorstyle+xml"/>
  <Override PartName="/xl/charts/chart143.xml" ContentType="application/vnd.openxmlformats-officedocument.drawingml.chart+xml"/>
  <Override PartName="/xl/charts/style145.xml" ContentType="application/vnd.ms-office.chartstyle+xml"/>
  <Override PartName="/xl/charts/colors145.xml" ContentType="application/vnd.ms-office.chartcolorstyle+xml"/>
  <Override PartName="/xl/charts/chart144.xml" ContentType="application/vnd.openxmlformats-officedocument.drawingml.chart+xml"/>
  <Override PartName="/xl/charts/style146.xml" ContentType="application/vnd.ms-office.chartstyle+xml"/>
  <Override PartName="/xl/charts/colors146.xml" ContentType="application/vnd.ms-office.chartcolorstyle+xml"/>
  <Override PartName="/xl/charts/chart145.xml" ContentType="application/vnd.openxmlformats-officedocument.drawingml.chart+xml"/>
  <Override PartName="/xl/charts/style147.xml" ContentType="application/vnd.ms-office.chartstyle+xml"/>
  <Override PartName="/xl/charts/colors147.xml" ContentType="application/vnd.ms-office.chartcolorstyle+xml"/>
  <Override PartName="/xl/drawings/drawing69.xml" ContentType="application/vnd.openxmlformats-officedocument.drawing+xml"/>
  <Override PartName="/xl/charts/chart146.xml" ContentType="application/vnd.openxmlformats-officedocument.drawingml.chart+xml"/>
  <Override PartName="/xl/charts/style148.xml" ContentType="application/vnd.ms-office.chartstyle+xml"/>
  <Override PartName="/xl/charts/colors148.xml" ContentType="application/vnd.ms-office.chartcolorstyle+xml"/>
  <Override PartName="/xl/charts/chart147.xml" ContentType="application/vnd.openxmlformats-officedocument.drawingml.chart+xml"/>
  <Override PartName="/xl/charts/style149.xml" ContentType="application/vnd.ms-office.chartstyle+xml"/>
  <Override PartName="/xl/charts/colors149.xml" ContentType="application/vnd.ms-office.chartcolorstyle+xml"/>
  <Override PartName="/xl/charts/chart148.xml" ContentType="application/vnd.openxmlformats-officedocument.drawingml.chart+xml"/>
  <Override PartName="/xl/charts/style150.xml" ContentType="application/vnd.ms-office.chartstyle+xml"/>
  <Override PartName="/xl/charts/colors150.xml" ContentType="application/vnd.ms-office.chartcolorstyle+xml"/>
  <Override PartName="/xl/charts/chart149.xml" ContentType="application/vnd.openxmlformats-officedocument.drawingml.chart+xml"/>
  <Override PartName="/xl/charts/style151.xml" ContentType="application/vnd.ms-office.chartstyle+xml"/>
  <Override PartName="/xl/charts/colors15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S:\S186 Continuidad QAQC Pruebas Laboratorio Jameson (BHP)\5.0 Consultoría\EM-S186-PR-BD-001 Base de datos consolidada\2026-01-05 BD Consolidada N°5\"/>
    </mc:Choice>
  </mc:AlternateContent>
  <xr:revisionPtr revIDLastSave="0" documentId="13_ncr:1_{8AFC260D-30EC-445C-BA6D-24469C06FA00}" xr6:coauthVersionLast="47" xr6:coauthVersionMax="47" xr10:uidLastSave="{00000000-0000-0000-0000-000000000000}"/>
  <bookViews>
    <workbookView xWindow="-110" yWindow="-110" windowWidth="34620" windowHeight="13900" firstSheet="51" activeTab="53" xr2:uid="{1E9C897F-4055-4A07-A9C4-B672331E9A45}"/>
  </bookViews>
  <sheets>
    <sheet name="0. Portada" sheetId="10" r:id="rId1"/>
    <sheet name="1. Compósito" sheetId="172" r:id="rId2"/>
    <sheet name="2. Datos LS2" sheetId="176" r:id="rId3"/>
    <sheet name="3. Cinética Molienda" sheetId="177" r:id="rId4"/>
    <sheet name="4. SKT Mineral actual y futuro " sheetId="194" r:id="rId5"/>
    <sheet name="4.1 SKT Ro y Cleaner compósito" sheetId="195" r:id="rId6"/>
    <sheet name="5. Análisis Granulométrico" sheetId="178" r:id="rId7"/>
    <sheet name="6. Análisis Químico Cabeza" sheetId="173" r:id="rId8"/>
    <sheet name="7. Mineralogía Modal Comp" sheetId="179" r:id="rId9"/>
    <sheet name="8. Liberación Comp" sheetId="180" r:id="rId10"/>
    <sheet name="9. Asociación comp" sheetId="181" r:id="rId11"/>
    <sheet name="10. Test Ciclo Abierto" sheetId="192" r:id="rId12"/>
    <sheet name="11. Casos" sheetId="175" r:id="rId13"/>
    <sheet name="12. Circuitos" sheetId="174" r:id="rId14"/>
    <sheet name="13. Pilotaje Rougher" sheetId="191" r:id="rId15"/>
    <sheet name="14. Cinética Rougher" sheetId="200" r:id="rId16"/>
    <sheet name="15. Remolienda" sheetId="210" r:id="rId17"/>
    <sheet name="16. Pilotaje Cleaner" sheetId="204" r:id="rId18"/>
    <sheet name="16.1 AQ CBase Cleaner #2" sheetId="214" r:id="rId19"/>
    <sheet name="16.2 Cinéticas Cleaner" sheetId="198" r:id="rId20"/>
    <sheet name="17. Jms - Pre Rougher" sheetId="183" r:id="rId21"/>
    <sheet name="17.1 Jms - PR - T. Desgaste" sheetId="188" r:id="rId22"/>
    <sheet name="18. Jms - Ro-SCV" sheetId="184" r:id="rId23"/>
    <sheet name="18.1 Jms - Ro-SCV - T. Desgaste" sheetId="189" r:id="rId24"/>
    <sheet name="19. Jms - Pre-Cle" sheetId="207" r:id="rId25"/>
    <sheet name="20. Jms - Pre-Cle-SCV" sheetId="208" r:id="rId26"/>
    <sheet name="21. QAQC Test Dilución" sheetId="171" r:id="rId27"/>
    <sheet name="22. Comparación" sheetId="213" r:id="rId28"/>
    <sheet name="23. Balance Pre-Cl" sheetId="212" r:id="rId29"/>
    <sheet name="24. Balance Pre-Cl-SCV" sheetId="211" r:id="rId30"/>
    <sheet name="Proyecto S186" sheetId="244" r:id="rId31"/>
    <sheet name="Pilotaje Rougher Dispersante " sheetId="220" r:id="rId32"/>
    <sheet name="Pilotaje Cleaner" sheetId="246" r:id="rId33"/>
    <sheet name="Pilotaje Cleaner Alto Flujo " sheetId="215" r:id="rId34"/>
    <sheet name="AqxM Jms Rel Ro" sheetId="250" r:id="rId35"/>
    <sheet name="Cinética CL SCV" sheetId="249" r:id="rId36"/>
    <sheet name="Piloto CL C#1" sheetId="221" r:id="rId37"/>
    <sheet name="Relave Ro AQxM" sheetId="227" r:id="rId38"/>
    <sheet name="Jms Pre Cl" sheetId="219" r:id="rId39"/>
    <sheet name="Jms Pre SCV" sheetId="222" r:id="rId40"/>
    <sheet name="Rep Jms Pre SCV" sheetId="223" r:id="rId41"/>
    <sheet name="Jms Exp1 Pre SCV" sheetId="225" r:id="rId42"/>
    <sheet name="Test Dilucion Pre-SCV" sheetId="224" r:id="rId43"/>
    <sheet name="AQ Cond#1 CBase" sheetId="253" r:id="rId44"/>
    <sheet name="AQ Cond#2 CBase" sheetId="254" r:id="rId45"/>
    <sheet name="Balance Cl Sept Día" sheetId="259" r:id="rId46"/>
    <sheet name="Balance Cl Sept Noche" sheetId="260" r:id="rId47"/>
    <sheet name="Balance Cl Sept Prom " sheetId="261" r:id="rId48"/>
    <sheet name="Balance Pre-Cl-SCV Sept" sheetId="255" r:id="rId49"/>
    <sheet name="Balance Pre-Cl-SCV Nov" sheetId="258" r:id="rId50"/>
    <sheet name="Balance Pre-Cl-SCV Dic (1)" sheetId="263" r:id="rId51"/>
    <sheet name="Balance Pre-Cl-SCV 27-11" sheetId="228" r:id="rId52"/>
    <sheet name="Balance Pre-Cl-SCV Dic" sheetId="230" r:id="rId53"/>
    <sheet name="Balance Pre-Cl-SCV Dic (2)" sheetId="256" r:id="rId54"/>
    <sheet name="23. Balance Pre-Cl (2)" sheetId="248" r:id="rId55"/>
    <sheet name="Hoja1" sheetId="251" r:id="rId56"/>
    <sheet name="Mine Modal" sheetId="216" r:id="rId57"/>
    <sheet name="Ocurrencia Cu " sheetId="217" r:id="rId58"/>
    <sheet name="Liberación" sheetId="218" r:id="rId59"/>
    <sheet name="Asociacion Mine" sheetId="231" r:id="rId60"/>
    <sheet name="Mine Modal Ro" sheetId="233" r:id="rId61"/>
    <sheet name="Ocurrencia Cu Ro" sheetId="234" r:id="rId62"/>
    <sheet name="Liberación Ro" sheetId="235" r:id="rId63"/>
    <sheet name="Asociacion Mine Ro" sheetId="236" r:id="rId64"/>
    <sheet name="Mine Modal Jms" sheetId="238" r:id="rId65"/>
    <sheet name="Ocurrencia Cu Jms" sheetId="239" r:id="rId66"/>
    <sheet name="Liberación Jms" sheetId="240" r:id="rId67"/>
    <sheet name="Asociacion Mine Jms" sheetId="241" r:id="rId68"/>
  </sheets>
  <externalReferences>
    <externalReference r:id="rId69"/>
    <externalReference r:id="rId70"/>
    <externalReference r:id="rId71"/>
    <externalReference r:id="rId72"/>
    <externalReference r:id="rId73"/>
    <externalReference r:id="rId74"/>
    <externalReference r:id="rId75"/>
  </externalReferences>
  <definedNames>
    <definedName name="_xlnm._FilterDatabase" localSheetId="14" hidden="1">'13. Pilotaje Rougher'!$B$18:$M$86</definedName>
    <definedName name="_xlnm._FilterDatabase" localSheetId="19" hidden="1">'16.2 Cinéticas Cleaner'!$B$2:$B$3</definedName>
    <definedName name="_xlnm._FilterDatabase" localSheetId="8" hidden="1">'7. Mineralogía Modal Comp'!$Z$4:$AA$4</definedName>
    <definedName name="_xlchart.v1.0" hidden="1">'13. Pilotaje Rougher'!$C$20:$C$52</definedName>
    <definedName name="_xlchart.v1.1" hidden="1">'13. Pilotaje Rougher'!$I$18</definedName>
    <definedName name="_xlchart.v1.10" hidden="1">'13. Pilotaje Rougher'!$F$20:$F$52</definedName>
    <definedName name="_xlchart.v1.11" hidden="1">'13. Pilotaje Rougher'!$G$18</definedName>
    <definedName name="_xlchart.v1.12" hidden="1">'13. Pilotaje Rougher'!$G$20:$G$52</definedName>
    <definedName name="_xlchart.v1.13" hidden="1">'13. Pilotaje Rougher'!$H$18</definedName>
    <definedName name="_xlchart.v1.14" hidden="1">'13. Pilotaje Rougher'!$H$20:$H$52</definedName>
    <definedName name="_xlchart.v1.15" hidden="1">'16. Pilotaje Cleaner'!$B$120:$B$125</definedName>
    <definedName name="_xlchart.v1.16" hidden="1">'16. Pilotaje Cleaner'!$K$119</definedName>
    <definedName name="_xlchart.v1.17" hidden="1">'16. Pilotaje Cleaner'!$K$120:$K$125</definedName>
    <definedName name="_xlchart.v1.18" hidden="1">'16. Pilotaje Cleaner'!$L$119</definedName>
    <definedName name="_xlchart.v1.19" hidden="1">'16. Pilotaje Cleaner'!$L$120:$L$125</definedName>
    <definedName name="_xlchart.v1.2" hidden="1">'13. Pilotaje Rougher'!$I$20:$I$52</definedName>
    <definedName name="_xlchart.v1.20" hidden="1">'16. Pilotaje Cleaner'!$M$119</definedName>
    <definedName name="_xlchart.v1.21" hidden="1">'16. Pilotaje Cleaner'!$M$120:$M$125</definedName>
    <definedName name="_xlchart.v1.22" hidden="1">'16. Pilotaje Cleaner'!$N$119</definedName>
    <definedName name="_xlchart.v1.23" hidden="1">'16. Pilotaje Cleaner'!$N$120:$N$125</definedName>
    <definedName name="_xlchart.v1.24" hidden="1">'16. Pilotaje Cleaner'!$B$120:$B$125</definedName>
    <definedName name="_xlchart.v1.25" hidden="1">'16. Pilotaje Cleaner'!$C$119</definedName>
    <definedName name="_xlchart.v1.26" hidden="1">'16. Pilotaje Cleaner'!$C$120:$C$125</definedName>
    <definedName name="_xlchart.v1.27" hidden="1">'16. Pilotaje Cleaner'!$D$119</definedName>
    <definedName name="_xlchart.v1.28" hidden="1">'16. Pilotaje Cleaner'!$D$120:$D$125</definedName>
    <definedName name="_xlchart.v1.29" hidden="1">'16. Pilotaje Cleaner'!$E$119</definedName>
    <definedName name="_xlchart.v1.3" hidden="1">'13. Pilotaje Rougher'!$J$18</definedName>
    <definedName name="_xlchart.v1.30" hidden="1">'16. Pilotaje Cleaner'!$E$120:$E$125</definedName>
    <definedName name="_xlchart.v1.31" hidden="1">'16. Pilotaje Cleaner'!$F$119</definedName>
    <definedName name="_xlchart.v1.32" hidden="1">'16. Pilotaje Cleaner'!$F$120:$F$125</definedName>
    <definedName name="_xlchart.v1.33" hidden="1">'16. Pilotaje Cleaner'!$G$119</definedName>
    <definedName name="_xlchart.v1.34" hidden="1">'16. Pilotaje Cleaner'!$G$120:$G$125</definedName>
    <definedName name="_xlchart.v1.35" hidden="1">'16. Pilotaje Cleaner'!$H$119</definedName>
    <definedName name="_xlchart.v1.36" hidden="1">'16. Pilotaje Cleaner'!$H$120:$H$125</definedName>
    <definedName name="_xlchart.v1.37" hidden="1">'16. Pilotaje Cleaner'!$I$119</definedName>
    <definedName name="_xlchart.v1.38" hidden="1">'16. Pilotaje Cleaner'!$I$120:$I$125</definedName>
    <definedName name="_xlchart.v1.39" hidden="1">'16. Pilotaje Cleaner'!$J$119</definedName>
    <definedName name="_xlchart.v1.4" hidden="1">'13. Pilotaje Rougher'!$J$20:$J$52</definedName>
    <definedName name="_xlchart.v1.40" hidden="1">'16. Pilotaje Cleaner'!$J$120:$J$125</definedName>
    <definedName name="_xlchart.v1.41" hidden="1">'16. Pilotaje Cleaner'!$B$120:$B$125</definedName>
    <definedName name="_xlchart.v1.42" hidden="1">'16. Pilotaje Cleaner'!$P$119</definedName>
    <definedName name="_xlchart.v1.43" hidden="1">'16. Pilotaje Cleaner'!$P$120:$P$125</definedName>
    <definedName name="_xlchart.v1.44" hidden="1">'16. Pilotaje Cleaner'!$Q$119</definedName>
    <definedName name="_xlchart.v1.45" hidden="1">'16. Pilotaje Cleaner'!$Q$120:$Q$125</definedName>
    <definedName name="_xlchart.v1.46" hidden="1">'22. Comparación'!$B$39:$B$44</definedName>
    <definedName name="_xlchart.v1.47" hidden="1">'22. Comparación'!$C$38</definedName>
    <definedName name="_xlchart.v1.48" hidden="1">'22. Comparación'!$C$39:$C$44</definedName>
    <definedName name="_xlchart.v1.49" hidden="1">'22. Comparación'!$D$38</definedName>
    <definedName name="_xlchart.v1.5" hidden="1">'13. Pilotaje Rougher'!$C$20:$C$52</definedName>
    <definedName name="_xlchart.v1.50" hidden="1">'22. Comparación'!$D$39:$D$44</definedName>
    <definedName name="_xlchart.v1.51" hidden="1">'Pilotaje Cleaner'!$B$120:$B$125</definedName>
    <definedName name="_xlchart.v1.52" hidden="1">'Pilotaje Cleaner'!$P$119</definedName>
    <definedName name="_xlchart.v1.53" hidden="1">'Pilotaje Cleaner'!$P$120:$P$125</definedName>
    <definedName name="_xlchart.v1.54" hidden="1">'Pilotaje Cleaner'!$Q$119</definedName>
    <definedName name="_xlchart.v1.55" hidden="1">'Pilotaje Cleaner'!$Q$120:$Q$125</definedName>
    <definedName name="_xlchart.v1.56" hidden="1">'Pilotaje Cleaner'!$B$120:$B$125</definedName>
    <definedName name="_xlchart.v1.57" hidden="1">'Pilotaje Cleaner'!$K$119</definedName>
    <definedName name="_xlchart.v1.58" hidden="1">'Pilotaje Cleaner'!$K$120:$K$125</definedName>
    <definedName name="_xlchart.v1.59" hidden="1">'Pilotaje Cleaner'!$L$119</definedName>
    <definedName name="_xlchart.v1.6" hidden="1">'13. Pilotaje Rougher'!$K$18</definedName>
    <definedName name="_xlchart.v1.60" hidden="1">'Pilotaje Cleaner'!$L$120:$L$125</definedName>
    <definedName name="_xlchart.v1.61" hidden="1">'Pilotaje Cleaner'!$M$119</definedName>
    <definedName name="_xlchart.v1.62" hidden="1">'Pilotaje Cleaner'!$M$120:$M$125</definedName>
    <definedName name="_xlchart.v1.63" hidden="1">'Pilotaje Cleaner'!$N$119</definedName>
    <definedName name="_xlchart.v1.64" hidden="1">'Pilotaje Cleaner'!$N$120:$N$125</definedName>
    <definedName name="_xlchart.v1.65" hidden="1">'Pilotaje Cleaner'!$B$120:$B$125</definedName>
    <definedName name="_xlchart.v1.66" hidden="1">'Pilotaje Cleaner'!$C$119</definedName>
    <definedName name="_xlchart.v1.67" hidden="1">'Pilotaje Cleaner'!$C$120:$C$125</definedName>
    <definedName name="_xlchart.v1.68" hidden="1">'Pilotaje Cleaner'!$D$119</definedName>
    <definedName name="_xlchart.v1.69" hidden="1">'Pilotaje Cleaner'!$D$120:$D$125</definedName>
    <definedName name="_xlchart.v1.7" hidden="1">'13. Pilotaje Rougher'!$K$20:$K$52</definedName>
    <definedName name="_xlchart.v1.70" hidden="1">'Pilotaje Cleaner'!$E$119</definedName>
    <definedName name="_xlchart.v1.71" hidden="1">'Pilotaje Cleaner'!$E$120:$E$125</definedName>
    <definedName name="_xlchart.v1.72" hidden="1">'Pilotaje Cleaner'!$F$119</definedName>
    <definedName name="_xlchart.v1.73" hidden="1">'Pilotaje Cleaner'!$F$120:$F$125</definedName>
    <definedName name="_xlchart.v1.74" hidden="1">'Pilotaje Cleaner'!$G$119</definedName>
    <definedName name="_xlchart.v1.75" hidden="1">'Pilotaje Cleaner'!$G$120:$G$125</definedName>
    <definedName name="_xlchart.v1.76" hidden="1">'Pilotaje Cleaner'!$H$119</definedName>
    <definedName name="_xlchart.v1.77" hidden="1">'Pilotaje Cleaner'!$H$120:$H$125</definedName>
    <definedName name="_xlchart.v1.78" hidden="1">'Pilotaje Cleaner'!$I$119</definedName>
    <definedName name="_xlchart.v1.79" hidden="1">'Pilotaje Cleaner'!$I$120:$I$125</definedName>
    <definedName name="_xlchart.v1.8" hidden="1">'13. Pilotaje Rougher'!$C$20:$C$52</definedName>
    <definedName name="_xlchart.v1.80" hidden="1">'Pilotaje Cleaner'!$J$119</definedName>
    <definedName name="_xlchart.v1.81" hidden="1">'Pilotaje Cleaner'!$J$120:$J$125</definedName>
    <definedName name="_xlchart.v1.9" hidden="1">'13. Pilotaje Rougher'!$F$18</definedName>
    <definedName name="aquimicos">[1]Aquimicos!$A$1:$T$769</definedName>
    <definedName name="assays">[2]Assays!$A$2:$E$50</definedName>
    <definedName name="solver_adj" localSheetId="15" hidden="1">'14. Cinética Rougher'!$E$6:$E$11</definedName>
    <definedName name="solver_adj" localSheetId="19" hidden="1">'16.2 Cinéticas Cleaner'!$E$6:$E$13</definedName>
    <definedName name="solver_adj" localSheetId="20" hidden="1">'17. Jms - Pre Rougher'!$I$52:$I$53</definedName>
    <definedName name="solver_adj" localSheetId="22" hidden="1">'18. Jms - Ro-SCV'!$E$119:$E$124</definedName>
    <definedName name="solver_adj" localSheetId="24" hidden="1">'19. Jms - Pre-Cle'!$E$89:$E$94</definedName>
    <definedName name="solver_adj" localSheetId="25" hidden="1">'20. Jms - Pre-Cle-SCV'!$E$47:$E$54</definedName>
    <definedName name="solver_adj" localSheetId="28" hidden="1">'23. Balance Pre-Cl'!$O$27:$O$36</definedName>
    <definedName name="solver_adj" localSheetId="54" hidden="1">'23. Balance Pre-Cl (2)'!$O$27:$O$36</definedName>
    <definedName name="solver_adj" localSheetId="29" hidden="1">'24. Balance Pre-Cl-SCV'!$R$27:$R$36</definedName>
    <definedName name="solver_adj" localSheetId="45" hidden="1">'Balance Cl Sept Día'!$T$18:$AA$18,'Balance Cl Sept Día'!$T$23:$AA$23,'Balance Cl Sept Día'!$T$30:$AA$30</definedName>
    <definedName name="solver_adj" localSheetId="46" hidden="1">'Balance Cl Sept Noche'!$T$18:$AA$18,'Balance Cl Sept Noche'!$T$23:$AA$23,'Balance Cl Sept Noche'!$T$30:$AA$30</definedName>
    <definedName name="solver_adj" localSheetId="47" hidden="1">'Balance Cl Sept Prom '!$T$18:$AA$18,'Balance Cl Sept Prom '!$T$23:$AA$23,'Balance Cl Sept Prom '!$T$30:$AA$30</definedName>
    <definedName name="solver_adj" localSheetId="51" hidden="1">'Balance Pre-Cl-SCV 27-11'!$O$27:$O$36</definedName>
    <definedName name="solver_adj" localSheetId="52" hidden="1">'Balance Pre-Cl-SCV Dic'!$R$27:$R$36</definedName>
    <definedName name="solver_adj" localSheetId="50" hidden="1">'Balance Pre-Cl-SCV Dic (1)'!$T$18:$AC$18,'Balance Pre-Cl-SCV Dic (1)'!$T$23:$AC$23,'Balance Pre-Cl-SCV Dic (1)'!$T$30:$AC$30</definedName>
    <definedName name="solver_adj" localSheetId="53" hidden="1">'Balance Pre-Cl-SCV Dic (2)'!$R$27:$R$36,'Balance Pre-Cl-SCV Dic (2)'!$Y$64:$AH$64,'Balance Pre-Cl-SCV Dic (2)'!$Y$71:$AH$71,'Balance Pre-Cl-SCV Dic (2)'!$Y$77:$AH$77</definedName>
    <definedName name="solver_adj" localSheetId="49" hidden="1">'Balance Pre-Cl-SCV Nov'!$T$18:$AC$18,'Balance Pre-Cl-SCV Nov'!$T$23:$AC$23,'Balance Pre-Cl-SCV Nov'!$T$30:$AC$30</definedName>
    <definedName name="solver_adj" localSheetId="48" hidden="1">'Balance Pre-Cl-SCV Sept'!$T$18:$AC$18,'Balance Pre-Cl-SCV Sept'!$T$23:$AC$23,'Balance Pre-Cl-SCV Sept'!$T$30:$AC$30</definedName>
    <definedName name="solver_cvg" localSheetId="15" hidden="1">"""0,0001"""</definedName>
    <definedName name="solver_cvg" localSheetId="19" hidden="1">"0,0001"</definedName>
    <definedName name="solver_cvg" localSheetId="20" hidden="1">"0,0001"</definedName>
    <definedName name="solver_cvg" localSheetId="22" hidden="1">"""""""""""""""""""""""""""""""0,0001"""""""""""""""""""""""""""""""</definedName>
    <definedName name="solver_cvg" localSheetId="24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0,0001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)</definedName>
    <definedName name="solver_cvg" localSheetId="25" hidden="1">"""""""0,0001"""""""</definedName>
    <definedName name="solver_cvg" localSheetId="28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0,0001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)</definedName>
    <definedName name="solver_cvg" localSheetId="54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0,0001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)</definedName>
    <definedName name="solver_cvg" localSheetId="29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0,0001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)</definedName>
    <definedName name="solver_cvg" localSheetId="45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0,0001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)</definedName>
    <definedName name="solver_cvg" localSheetId="46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0,0001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)</definedName>
    <definedName name="solver_cvg" localSheetId="47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0,0001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)</definedName>
    <definedName name="solver_cvg" localSheetId="51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0,0001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)</definedName>
    <definedName name="solver_cvg" localSheetId="52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0,0001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)</definedName>
    <definedName name="solver_cvg" localSheetId="50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0,0001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)</definedName>
    <definedName name="solver_cvg" localSheetId="53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0,0001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)</definedName>
    <definedName name="solver_cvg" localSheetId="49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0,0001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)</definedName>
    <definedName name="solver_cvg" localSheetId="48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0,0001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)</definedName>
    <definedName name="solver_drv" localSheetId="15" hidden="1">1</definedName>
    <definedName name="solver_drv" localSheetId="19" hidden="1">1</definedName>
    <definedName name="solver_drv" localSheetId="20" hidden="1">1</definedName>
    <definedName name="solver_drv" localSheetId="22" hidden="1">1</definedName>
    <definedName name="solver_drv" localSheetId="24" hidden="1">1</definedName>
    <definedName name="solver_drv" localSheetId="25" hidden="1">1</definedName>
    <definedName name="solver_drv" localSheetId="28" hidden="1">1</definedName>
    <definedName name="solver_drv" localSheetId="54" hidden="1">1</definedName>
    <definedName name="solver_drv" localSheetId="29" hidden="1">1</definedName>
    <definedName name="solver_drv" localSheetId="45" hidden="1">1</definedName>
    <definedName name="solver_drv" localSheetId="46" hidden="1">1</definedName>
    <definedName name="solver_drv" localSheetId="47" hidden="1">1</definedName>
    <definedName name="solver_drv" localSheetId="51" hidden="1">1</definedName>
    <definedName name="solver_drv" localSheetId="52" hidden="1">1</definedName>
    <definedName name="solver_drv" localSheetId="50" hidden="1">1</definedName>
    <definedName name="solver_drv" localSheetId="53" hidden="1">1</definedName>
    <definedName name="solver_drv" localSheetId="49" hidden="1">1</definedName>
    <definedName name="solver_drv" localSheetId="48" hidden="1">1</definedName>
    <definedName name="solver_eng" localSheetId="15" hidden="1">1</definedName>
    <definedName name="solver_eng" localSheetId="19" hidden="1">1</definedName>
    <definedName name="solver_eng" localSheetId="20" hidden="1">1</definedName>
    <definedName name="solver_eng" localSheetId="22" hidden="1">1</definedName>
    <definedName name="solver_eng" localSheetId="24" hidden="1">1</definedName>
    <definedName name="solver_eng" localSheetId="25" hidden="1">1</definedName>
    <definedName name="solver_eng" localSheetId="28" hidden="1">1</definedName>
    <definedName name="solver_eng" localSheetId="54" hidden="1">1</definedName>
    <definedName name="solver_eng" localSheetId="29" hidden="1">1</definedName>
    <definedName name="solver_eng" localSheetId="45" hidden="1">1</definedName>
    <definedName name="solver_eng" localSheetId="46" hidden="1">1</definedName>
    <definedName name="solver_eng" localSheetId="47" hidden="1">1</definedName>
    <definedName name="solver_eng" localSheetId="51" hidden="1">1</definedName>
    <definedName name="solver_eng" localSheetId="52" hidden="1">1</definedName>
    <definedName name="solver_eng" localSheetId="50" hidden="1">1</definedName>
    <definedName name="solver_eng" localSheetId="53" hidden="1">1</definedName>
    <definedName name="solver_eng" localSheetId="49" hidden="1">1</definedName>
    <definedName name="solver_eng" localSheetId="48" hidden="1">1</definedName>
    <definedName name="solver_est" localSheetId="15" hidden="1">1</definedName>
    <definedName name="solver_est" localSheetId="19" hidden="1">1</definedName>
    <definedName name="solver_est" localSheetId="20" hidden="1">1</definedName>
    <definedName name="solver_est" localSheetId="22" hidden="1">1</definedName>
    <definedName name="solver_est" localSheetId="24" hidden="1">1</definedName>
    <definedName name="solver_est" localSheetId="25" hidden="1">1</definedName>
    <definedName name="solver_est" localSheetId="28" hidden="1">1</definedName>
    <definedName name="solver_est" localSheetId="54" hidden="1">1</definedName>
    <definedName name="solver_est" localSheetId="29" hidden="1">1</definedName>
    <definedName name="solver_est" localSheetId="45" hidden="1">1</definedName>
    <definedName name="solver_est" localSheetId="46" hidden="1">1</definedName>
    <definedName name="solver_est" localSheetId="47" hidden="1">1</definedName>
    <definedName name="solver_est" localSheetId="51" hidden="1">1</definedName>
    <definedName name="solver_est" localSheetId="52" hidden="1">1</definedName>
    <definedName name="solver_est" localSheetId="50" hidden="1">1</definedName>
    <definedName name="solver_est" localSheetId="53" hidden="1">1</definedName>
    <definedName name="solver_est" localSheetId="49" hidden="1">1</definedName>
    <definedName name="solver_est" localSheetId="48" hidden="1">1</definedName>
    <definedName name="solver_itr" localSheetId="15" hidden="1">2147483647</definedName>
    <definedName name="solver_itr" localSheetId="19" hidden="1">2147483647</definedName>
    <definedName name="solver_itr" localSheetId="20" hidden="1">2147483647</definedName>
    <definedName name="solver_itr" localSheetId="22" hidden="1">2147483647</definedName>
    <definedName name="solver_itr" localSheetId="24" hidden="1">2147483647</definedName>
    <definedName name="solver_itr" localSheetId="25" hidden="1">2147483647</definedName>
    <definedName name="solver_itr" localSheetId="28" hidden="1">2147483647</definedName>
    <definedName name="solver_itr" localSheetId="54" hidden="1">2147483647</definedName>
    <definedName name="solver_itr" localSheetId="29" hidden="1">2147483647</definedName>
    <definedName name="solver_itr" localSheetId="45" hidden="1">2147483647</definedName>
    <definedName name="solver_itr" localSheetId="46" hidden="1">2147483647</definedName>
    <definedName name="solver_itr" localSheetId="47" hidden="1">2147483647</definedName>
    <definedName name="solver_itr" localSheetId="51" hidden="1">2147483647</definedName>
    <definedName name="solver_itr" localSheetId="52" hidden="1">2147483647</definedName>
    <definedName name="solver_itr" localSheetId="50" hidden="1">2147483647</definedName>
    <definedName name="solver_itr" localSheetId="53" hidden="1">2147483647</definedName>
    <definedName name="solver_itr" localSheetId="49" hidden="1">2147483647</definedName>
    <definedName name="solver_itr" localSheetId="48" hidden="1">2147483647</definedName>
    <definedName name="solver_lhs1" localSheetId="24" hidden="1">'19. Jms - Pre-Cle'!$E$47:$E$54</definedName>
    <definedName name="solver_lhs1" localSheetId="28" hidden="1">'23. Balance Pre-Cl'!$O$44:$O$53</definedName>
    <definedName name="solver_lhs1" localSheetId="54" hidden="1">'23. Balance Pre-Cl (2)'!$O$44:$O$53</definedName>
    <definedName name="solver_lhs1" localSheetId="29" hidden="1">'24. Balance Pre-Cl-SCV'!$R$44:$R$53</definedName>
    <definedName name="solver_lhs1" localSheetId="45" hidden="1">'Balance Cl Sept Día'!$Q$38:$Q$42</definedName>
    <definedName name="solver_lhs1" localSheetId="46" hidden="1">'Balance Cl Sept Noche'!$Q$38:$Q$42</definedName>
    <definedName name="solver_lhs1" localSheetId="47" hidden="1">'Balance Cl Sept Prom '!$Q$38:$Q$42</definedName>
    <definedName name="solver_lhs1" localSheetId="51" hidden="1">'Balance Pre-Cl-SCV 27-11'!$O$44:$O$53</definedName>
    <definedName name="solver_lhs1" localSheetId="52" hidden="1">'Balance Pre-Cl-SCV Dic'!$R$45:$R$54</definedName>
    <definedName name="solver_lhs1" localSheetId="50" hidden="1">'Balance Pre-Cl-SCV Dic (1)'!$Q$38:$Q$42</definedName>
    <definedName name="solver_lhs1" localSheetId="53" hidden="1">'Balance Pre-Cl-SCV Dic (2)'!$AC$88:$AC$92</definedName>
    <definedName name="solver_lhs1" localSheetId="49" hidden="1">'Balance Pre-Cl-SCV Nov'!$Q$38:$Q$42</definedName>
    <definedName name="solver_lhs1" localSheetId="48" hidden="1">'Balance Pre-Cl-SCV Sept'!$Q$38:$Q$42</definedName>
    <definedName name="solver_lhs2" localSheetId="24" hidden="1">'19. Jms - Pre-Cle'!$J$53</definedName>
    <definedName name="solver_lhs2" localSheetId="28" hidden="1">'23. Balance Pre-Cl'!$O$44:$O$53</definedName>
    <definedName name="solver_lhs2" localSheetId="54" hidden="1">'23. Balance Pre-Cl (2)'!$O$44:$O$53</definedName>
    <definedName name="solver_lhs2" localSheetId="29" hidden="1">'24. Balance Pre-Cl-SCV'!$Z$10:$Z$15</definedName>
    <definedName name="solver_lhs2" localSheetId="45" hidden="1">'Balance Cl Sept Día'!$R$38:$R$42</definedName>
    <definedName name="solver_lhs2" localSheetId="46" hidden="1">'Balance Cl Sept Noche'!$R$38:$R$42</definedName>
    <definedName name="solver_lhs2" localSheetId="47" hidden="1">'Balance Cl Sept Prom '!$R$38:$R$42</definedName>
    <definedName name="solver_lhs2" localSheetId="51" hidden="1">'Balance Pre-Cl-SCV 27-11'!$W$10:$W$15</definedName>
    <definedName name="solver_lhs2" localSheetId="52" hidden="1">'Balance Pre-Cl-SCV Dic'!$Z$10:$Z$15</definedName>
    <definedName name="solver_lhs2" localSheetId="50" hidden="1">'Balance Pre-Cl-SCV Dic (1)'!$R$38:$R$42</definedName>
    <definedName name="solver_lhs2" localSheetId="53" hidden="1">'Balance Pre-Cl-SCV Dic (2)'!$AD$88:$AD$92</definedName>
    <definedName name="solver_lhs2" localSheetId="49" hidden="1">'Balance Pre-Cl-SCV Nov'!$R$38:$R$42</definedName>
    <definedName name="solver_lhs2" localSheetId="48" hidden="1">'Balance Pre-Cl-SCV Sept'!$R$38:$R$42</definedName>
    <definedName name="solver_lhs3" localSheetId="24" hidden="1">'19. Jms - Pre-Cle'!$K$53</definedName>
    <definedName name="solver_lhs3" localSheetId="28" hidden="1">'23. Balance Pre-Cl'!$W$10:$W$15</definedName>
    <definedName name="solver_lhs3" localSheetId="54" hidden="1">'23. Balance Pre-Cl (2)'!$W$10:$W$15</definedName>
    <definedName name="solver_lhs3" localSheetId="29" hidden="1">'24. Balance Pre-Cl-SCV'!$X$10:$Y$15</definedName>
    <definedName name="solver_lhs3" localSheetId="45" hidden="1">'Balance Cl Sept Día'!$S$38:$S$42</definedName>
    <definedName name="solver_lhs3" localSheetId="46" hidden="1">'Balance Cl Sept Noche'!$S$38:$S$42</definedName>
    <definedName name="solver_lhs3" localSheetId="47" hidden="1">'Balance Cl Sept Prom '!$S$38:$S$42</definedName>
    <definedName name="solver_lhs3" localSheetId="51" hidden="1">'Balance Pre-Cl-SCV 27-11'!$U$10:$V$15</definedName>
    <definedName name="solver_lhs3" localSheetId="52" hidden="1">'Balance Pre-Cl-SCV Dic'!$X$10:$Y$15</definedName>
    <definedName name="solver_lhs3" localSheetId="50" hidden="1">'Balance Pre-Cl-SCV Dic (1)'!$S$38:$S$42</definedName>
    <definedName name="solver_lhs3" localSheetId="53" hidden="1">'Balance Pre-Cl-SCV Dic (2)'!$AE$88:$AE$92</definedName>
    <definedName name="solver_lhs3" localSheetId="49" hidden="1">'Balance Pre-Cl-SCV Nov'!$S$38:$S$42</definedName>
    <definedName name="solver_lhs3" localSheetId="48" hidden="1">'Balance Pre-Cl-SCV Sept'!$S$38:$S$42</definedName>
    <definedName name="solver_lhs4" localSheetId="28" hidden="1">'23. Balance Pre-Cl'!$W$10:$W$15</definedName>
    <definedName name="solver_lhs4" localSheetId="54" hidden="1">'23. Balance Pre-Cl (2)'!$W$10:$W$15</definedName>
    <definedName name="solver_lhs4" localSheetId="45" hidden="1">'Balance Cl Sept Día'!$S$38:$S$42</definedName>
    <definedName name="solver_mip" localSheetId="15" hidden="1">2147483647</definedName>
    <definedName name="solver_mip" localSheetId="19" hidden="1">2147483647</definedName>
    <definedName name="solver_mip" localSheetId="20" hidden="1">2147483647</definedName>
    <definedName name="solver_mip" localSheetId="22" hidden="1">2147483647</definedName>
    <definedName name="solver_mip" localSheetId="24" hidden="1">2147483647</definedName>
    <definedName name="solver_mip" localSheetId="25" hidden="1">2147483647</definedName>
    <definedName name="solver_mip" localSheetId="28" hidden="1">2147483647</definedName>
    <definedName name="solver_mip" localSheetId="54" hidden="1">2147483647</definedName>
    <definedName name="solver_mip" localSheetId="29" hidden="1">2147483647</definedName>
    <definedName name="solver_mip" localSheetId="45" hidden="1">2147483647</definedName>
    <definedName name="solver_mip" localSheetId="46" hidden="1">2147483647</definedName>
    <definedName name="solver_mip" localSheetId="47" hidden="1">2147483647</definedName>
    <definedName name="solver_mip" localSheetId="51" hidden="1">2147483647</definedName>
    <definedName name="solver_mip" localSheetId="52" hidden="1">2147483647</definedName>
    <definedName name="solver_mip" localSheetId="50" hidden="1">2147483647</definedName>
    <definedName name="solver_mip" localSheetId="53" hidden="1">2147483647</definedName>
    <definedName name="solver_mip" localSheetId="49" hidden="1">2147483647</definedName>
    <definedName name="solver_mip" localSheetId="48" hidden="1">2147483647</definedName>
    <definedName name="solver_mni" localSheetId="15" hidden="1">30</definedName>
    <definedName name="solver_mni" localSheetId="19" hidden="1">30</definedName>
    <definedName name="solver_mni" localSheetId="20" hidden="1">30</definedName>
    <definedName name="solver_mni" localSheetId="22" hidden="1">30</definedName>
    <definedName name="solver_mni" localSheetId="24" hidden="1">30</definedName>
    <definedName name="solver_mni" localSheetId="25" hidden="1">30</definedName>
    <definedName name="solver_mni" localSheetId="28" hidden="1">30</definedName>
    <definedName name="solver_mni" localSheetId="54" hidden="1">30</definedName>
    <definedName name="solver_mni" localSheetId="29" hidden="1">30</definedName>
    <definedName name="solver_mni" localSheetId="45" hidden="1">30</definedName>
    <definedName name="solver_mni" localSheetId="46" hidden="1">30</definedName>
    <definedName name="solver_mni" localSheetId="47" hidden="1">30</definedName>
    <definedName name="solver_mni" localSheetId="51" hidden="1">30</definedName>
    <definedName name="solver_mni" localSheetId="52" hidden="1">30</definedName>
    <definedName name="solver_mni" localSheetId="50" hidden="1">30</definedName>
    <definedName name="solver_mni" localSheetId="53" hidden="1">30</definedName>
    <definedName name="solver_mni" localSheetId="49" hidden="1">30</definedName>
    <definedName name="solver_mni" localSheetId="48" hidden="1">30</definedName>
    <definedName name="solver_mrt" localSheetId="15" hidden="1">"""0,075"""</definedName>
    <definedName name="solver_mrt" localSheetId="19" hidden="1">"0,075"</definedName>
    <definedName name="solver_mrt" localSheetId="20" hidden="1">"0,075"</definedName>
    <definedName name="solver_mrt" localSheetId="22" hidden="1">"""""""""""""""""""""""""""""""0,075"""""""""""""""""""""""""""""""</definedName>
    <definedName name="solver_mrt" localSheetId="24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0,075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)</definedName>
    <definedName name="solver_mrt" localSheetId="25" hidden="1">"""""""0,075"""""""</definedName>
    <definedName name="solver_mrt" localSheetId="28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0,075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)</definedName>
    <definedName name="solver_mrt" localSheetId="54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0,075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)</definedName>
    <definedName name="solver_mrt" localSheetId="29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0,075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)</definedName>
    <definedName name="solver_mrt" localSheetId="45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0,075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)</definedName>
    <definedName name="solver_mrt" localSheetId="46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0,075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)</definedName>
    <definedName name="solver_mrt" localSheetId="47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0,075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)</definedName>
    <definedName name="solver_mrt" localSheetId="51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0,075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)</definedName>
    <definedName name="solver_mrt" localSheetId="52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0,075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)</definedName>
    <definedName name="solver_mrt" localSheetId="50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0,075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)</definedName>
    <definedName name="solver_mrt" localSheetId="53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0,075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)</definedName>
    <definedName name="solver_mrt" localSheetId="49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0,075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)</definedName>
    <definedName name="solver_mrt" localSheetId="48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0,075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)</definedName>
    <definedName name="solver_msl" localSheetId="15" hidden="1">2</definedName>
    <definedName name="solver_msl" localSheetId="19" hidden="1">2</definedName>
    <definedName name="solver_msl" localSheetId="20" hidden="1">2</definedName>
    <definedName name="solver_msl" localSheetId="22" hidden="1">2</definedName>
    <definedName name="solver_msl" localSheetId="24" hidden="1">2</definedName>
    <definedName name="solver_msl" localSheetId="25" hidden="1">2</definedName>
    <definedName name="solver_msl" localSheetId="28" hidden="1">2</definedName>
    <definedName name="solver_msl" localSheetId="54" hidden="1">2</definedName>
    <definedName name="solver_msl" localSheetId="29" hidden="1">2</definedName>
    <definedName name="solver_msl" localSheetId="45" hidden="1">2</definedName>
    <definedName name="solver_msl" localSheetId="46" hidden="1">2</definedName>
    <definedName name="solver_msl" localSheetId="47" hidden="1">2</definedName>
    <definedName name="solver_msl" localSheetId="51" hidden="1">2</definedName>
    <definedName name="solver_msl" localSheetId="52" hidden="1">2</definedName>
    <definedName name="solver_msl" localSheetId="50" hidden="1">2</definedName>
    <definedName name="solver_msl" localSheetId="53" hidden="1">2</definedName>
    <definedName name="solver_msl" localSheetId="49" hidden="1">2</definedName>
    <definedName name="solver_msl" localSheetId="48" hidden="1">2</definedName>
    <definedName name="solver_neg" localSheetId="15" hidden="1">1</definedName>
    <definedName name="solver_neg" localSheetId="19" hidden="1">1</definedName>
    <definedName name="solver_neg" localSheetId="20" hidden="1">1</definedName>
    <definedName name="solver_neg" localSheetId="22" hidden="1">1</definedName>
    <definedName name="solver_neg" localSheetId="24" hidden="1">1</definedName>
    <definedName name="solver_neg" localSheetId="25" hidden="1">1</definedName>
    <definedName name="solver_neg" localSheetId="28" hidden="1">1</definedName>
    <definedName name="solver_neg" localSheetId="54" hidden="1">1</definedName>
    <definedName name="solver_neg" localSheetId="29" hidden="1">1</definedName>
    <definedName name="solver_neg" localSheetId="45" hidden="1">1</definedName>
    <definedName name="solver_neg" localSheetId="46" hidden="1">1</definedName>
    <definedName name="solver_neg" localSheetId="47" hidden="1">1</definedName>
    <definedName name="solver_neg" localSheetId="51" hidden="1">1</definedName>
    <definedName name="solver_neg" localSheetId="52" hidden="1">1</definedName>
    <definedName name="solver_neg" localSheetId="50" hidden="1">1</definedName>
    <definedName name="solver_neg" localSheetId="53" hidden="1">1</definedName>
    <definedName name="solver_neg" localSheetId="49" hidden="1">1</definedName>
    <definedName name="solver_neg" localSheetId="48" hidden="1">1</definedName>
    <definedName name="solver_nod" localSheetId="15" hidden="1">2147483647</definedName>
    <definedName name="solver_nod" localSheetId="19" hidden="1">2147483647</definedName>
    <definedName name="solver_nod" localSheetId="20" hidden="1">2147483647</definedName>
    <definedName name="solver_nod" localSheetId="22" hidden="1">2147483647</definedName>
    <definedName name="solver_nod" localSheetId="24" hidden="1">2147483647</definedName>
    <definedName name="solver_nod" localSheetId="25" hidden="1">2147483647</definedName>
    <definedName name="solver_nod" localSheetId="28" hidden="1">2147483647</definedName>
    <definedName name="solver_nod" localSheetId="54" hidden="1">2147483647</definedName>
    <definedName name="solver_nod" localSheetId="29" hidden="1">2147483647</definedName>
    <definedName name="solver_nod" localSheetId="45" hidden="1">2147483647</definedName>
    <definedName name="solver_nod" localSheetId="46" hidden="1">2147483647</definedName>
    <definedName name="solver_nod" localSheetId="47" hidden="1">2147483647</definedName>
    <definedName name="solver_nod" localSheetId="51" hidden="1">2147483647</definedName>
    <definedName name="solver_nod" localSheetId="52" hidden="1">2147483647</definedName>
    <definedName name="solver_nod" localSheetId="50" hidden="1">2147483647</definedName>
    <definedName name="solver_nod" localSheetId="53" hidden="1">2147483647</definedName>
    <definedName name="solver_nod" localSheetId="49" hidden="1">2147483647</definedName>
    <definedName name="solver_nod" localSheetId="48" hidden="1">2147483647</definedName>
    <definedName name="solver_num" localSheetId="15" hidden="1">0</definedName>
    <definedName name="solver_num" localSheetId="19" hidden="1">0</definedName>
    <definedName name="solver_num" localSheetId="20" hidden="1">0</definedName>
    <definedName name="solver_num" localSheetId="22" hidden="1">0</definedName>
    <definedName name="solver_num" localSheetId="24" hidden="1">0</definedName>
    <definedName name="solver_num" localSheetId="25" hidden="1">0</definedName>
    <definedName name="solver_num" localSheetId="28" hidden="1">4</definedName>
    <definedName name="solver_num" localSheetId="54" hidden="1">4</definedName>
    <definedName name="solver_num" localSheetId="29" hidden="1">2</definedName>
    <definedName name="solver_num" localSheetId="45" hidden="1">3</definedName>
    <definedName name="solver_num" localSheetId="46" hidden="1">3</definedName>
    <definedName name="solver_num" localSheetId="47" hidden="1">3</definedName>
    <definedName name="solver_num" localSheetId="51" hidden="1">2</definedName>
    <definedName name="solver_num" localSheetId="52" hidden="1">2</definedName>
    <definedName name="solver_num" localSheetId="50" hidden="1">3</definedName>
    <definedName name="solver_num" localSheetId="53" hidden="1">3</definedName>
    <definedName name="solver_num" localSheetId="49" hidden="1">3</definedName>
    <definedName name="solver_num" localSheetId="48" hidden="1">3</definedName>
    <definedName name="solver_nwt" localSheetId="15" hidden="1">1</definedName>
    <definedName name="solver_nwt" localSheetId="19" hidden="1">1</definedName>
    <definedName name="solver_nwt" localSheetId="20" hidden="1">1</definedName>
    <definedName name="solver_nwt" localSheetId="22" hidden="1">1</definedName>
    <definedName name="solver_nwt" localSheetId="24" hidden="1">1</definedName>
    <definedName name="solver_nwt" localSheetId="25" hidden="1">1</definedName>
    <definedName name="solver_nwt" localSheetId="28" hidden="1">1</definedName>
    <definedName name="solver_nwt" localSheetId="54" hidden="1">1</definedName>
    <definedName name="solver_nwt" localSheetId="29" hidden="1">1</definedName>
    <definedName name="solver_nwt" localSheetId="45" hidden="1">1</definedName>
    <definedName name="solver_nwt" localSheetId="46" hidden="1">1</definedName>
    <definedName name="solver_nwt" localSheetId="47" hidden="1">1</definedName>
    <definedName name="solver_nwt" localSheetId="51" hidden="1">1</definedName>
    <definedName name="solver_nwt" localSheetId="52" hidden="1">1</definedName>
    <definedName name="solver_nwt" localSheetId="50" hidden="1">1</definedName>
    <definedName name="solver_nwt" localSheetId="53" hidden="1">1</definedName>
    <definedName name="solver_nwt" localSheetId="49" hidden="1">1</definedName>
    <definedName name="solver_nwt" localSheetId="48" hidden="1">1</definedName>
    <definedName name="solver_opt" localSheetId="15" hidden="1">'14. Cinética Rougher'!$I$14</definedName>
    <definedName name="solver_opt" localSheetId="19" hidden="1">'16.2 Cinéticas Cleaner'!$I$15</definedName>
    <definedName name="solver_opt" localSheetId="20" hidden="1">'17. Jms - Pre Rougher'!#REF!</definedName>
    <definedName name="solver_opt" localSheetId="22" hidden="1">'18. Jms - Ro-SCV'!$I$128</definedName>
    <definedName name="solver_opt" localSheetId="24" hidden="1">'19. Jms - Pre-Cle'!$J$98</definedName>
    <definedName name="solver_opt" localSheetId="25" hidden="1">'20. Jms - Pre-Cle-SCV'!$J$58</definedName>
    <definedName name="solver_opt" localSheetId="28" hidden="1">'23. Balance Pre-Cl'!$W$10</definedName>
    <definedName name="solver_opt" localSheetId="54" hidden="1">'23. Balance Pre-Cl (2)'!$W$10</definedName>
    <definedName name="solver_opt" localSheetId="29" hidden="1">'24. Balance Pre-Cl-SCV'!$V$2</definedName>
    <definedName name="solver_opt" localSheetId="45" hidden="1">'Balance Cl Sept Día'!$Q$33</definedName>
    <definedName name="solver_opt" localSheetId="46" hidden="1">'Balance Cl Sept Noche'!$Q$33</definedName>
    <definedName name="solver_opt" localSheetId="47" hidden="1">'Balance Cl Sept Prom '!$Q$33</definedName>
    <definedName name="solver_opt" localSheetId="51" hidden="1">'Balance Pre-Cl-SCV 27-11'!$S$2</definedName>
    <definedName name="solver_opt" localSheetId="52" hidden="1">'Balance Pre-Cl-SCV Dic'!$V$2</definedName>
    <definedName name="solver_opt" localSheetId="50" hidden="1">'Balance Pre-Cl-SCV Dic (1)'!$Q$33</definedName>
    <definedName name="solver_opt" localSheetId="53" hidden="1">'Balance Pre-Cl-SCV Dic (2)'!$Y$84</definedName>
    <definedName name="solver_opt" localSheetId="49" hidden="1">'Balance Pre-Cl-SCV Nov'!$Q$33</definedName>
    <definedName name="solver_opt" localSheetId="48" hidden="1">'Balance Pre-Cl-SCV Sept'!$Q$33</definedName>
    <definedName name="solver_pre" localSheetId="15" hidden="1">"""0,000001"""</definedName>
    <definedName name="solver_pre" localSheetId="19" hidden="1">"0,000001"</definedName>
    <definedName name="solver_pre" localSheetId="20" hidden="1">"0,000001"</definedName>
    <definedName name="solver_pre" localSheetId="22" hidden="1">"""""""""""""""""""""""""""""""0,000001"""""""""""""""""""""""""""""""</definedName>
    <definedName name="solver_pre" localSheetId="24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0,000001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)</definedName>
    <definedName name="solver_pre" localSheetId="25" hidden="1">"""""""0,000001"""""""</definedName>
    <definedName name="solver_pre" localSheetId="28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0,000001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)</definedName>
    <definedName name="solver_pre" localSheetId="54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0,000001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)</definedName>
    <definedName name="solver_pre" localSheetId="29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0,000001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)</definedName>
    <definedName name="solver_pre" localSheetId="45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0,000001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)</definedName>
    <definedName name="solver_pre" localSheetId="46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0,000001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)</definedName>
    <definedName name="solver_pre" localSheetId="47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0,000001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)</definedName>
    <definedName name="solver_pre" localSheetId="51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0,000001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)</definedName>
    <definedName name="solver_pre" localSheetId="52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0,000001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)</definedName>
    <definedName name="solver_pre" localSheetId="50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0,000001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)</definedName>
    <definedName name="solver_pre" localSheetId="53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0,000001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)</definedName>
    <definedName name="solver_pre" localSheetId="49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0,000001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)</definedName>
    <definedName name="solver_pre" localSheetId="48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0,000001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)</definedName>
    <definedName name="solver_rbv" localSheetId="15" hidden="1">1</definedName>
    <definedName name="solver_rbv" localSheetId="19" hidden="1">1</definedName>
    <definedName name="solver_rbv" localSheetId="20" hidden="1">1</definedName>
    <definedName name="solver_rbv" localSheetId="22" hidden="1">1</definedName>
    <definedName name="solver_rbv" localSheetId="24" hidden="1">1</definedName>
    <definedName name="solver_rbv" localSheetId="25" hidden="1">1</definedName>
    <definedName name="solver_rbv" localSheetId="28" hidden="1">1</definedName>
    <definedName name="solver_rbv" localSheetId="54" hidden="1">1</definedName>
    <definedName name="solver_rbv" localSheetId="29" hidden="1">1</definedName>
    <definedName name="solver_rbv" localSheetId="45" hidden="1">1</definedName>
    <definedName name="solver_rbv" localSheetId="46" hidden="1">1</definedName>
    <definedName name="solver_rbv" localSheetId="47" hidden="1">1</definedName>
    <definedName name="solver_rbv" localSheetId="51" hidden="1">1</definedName>
    <definedName name="solver_rbv" localSheetId="52" hidden="1">1</definedName>
    <definedName name="solver_rbv" localSheetId="50" hidden="1">1</definedName>
    <definedName name="solver_rbv" localSheetId="53" hidden="1">1</definedName>
    <definedName name="solver_rbv" localSheetId="49" hidden="1">1</definedName>
    <definedName name="solver_rbv" localSheetId="48" hidden="1">1</definedName>
    <definedName name="solver_rel1" localSheetId="24" hidden="1">3</definedName>
    <definedName name="solver_rel1" localSheetId="28" hidden="1">1</definedName>
    <definedName name="solver_rel1" localSheetId="54" hidden="1">1</definedName>
    <definedName name="solver_rel1" localSheetId="29" hidden="1">1</definedName>
    <definedName name="solver_rel1" localSheetId="45" hidden="1">2</definedName>
    <definedName name="solver_rel1" localSheetId="46" hidden="1">2</definedName>
    <definedName name="solver_rel1" localSheetId="47" hidden="1">2</definedName>
    <definedName name="solver_rel1" localSheetId="51" hidden="1">1</definedName>
    <definedName name="solver_rel1" localSheetId="52" hidden="1">1</definedName>
    <definedName name="solver_rel1" localSheetId="50" hidden="1">2</definedName>
    <definedName name="solver_rel1" localSheetId="53" hidden="1">2</definedName>
    <definedName name="solver_rel1" localSheetId="49" hidden="1">2</definedName>
    <definedName name="solver_rel1" localSheetId="48" hidden="1">2</definedName>
    <definedName name="solver_rel2" localSheetId="24" hidden="1">2</definedName>
    <definedName name="solver_rel2" localSheetId="28" hidden="1">1</definedName>
    <definedName name="solver_rel2" localSheetId="54" hidden="1">1</definedName>
    <definedName name="solver_rel2" localSheetId="29" hidden="1">2</definedName>
    <definedName name="solver_rel2" localSheetId="45" hidden="1">2</definedName>
    <definedName name="solver_rel2" localSheetId="46" hidden="1">2</definedName>
    <definedName name="solver_rel2" localSheetId="47" hidden="1">2</definedName>
    <definedName name="solver_rel2" localSheetId="51" hidden="1">2</definedName>
    <definedName name="solver_rel2" localSheetId="52" hidden="1">2</definedName>
    <definedName name="solver_rel2" localSheetId="50" hidden="1">2</definedName>
    <definedName name="solver_rel2" localSheetId="53" hidden="1">2</definedName>
    <definedName name="solver_rel2" localSheetId="49" hidden="1">2</definedName>
    <definedName name="solver_rel2" localSheetId="48" hidden="1">2</definedName>
    <definedName name="solver_rel3" localSheetId="24" hidden="1">2</definedName>
    <definedName name="solver_rel3" localSheetId="28" hidden="1">2</definedName>
    <definedName name="solver_rel3" localSheetId="54" hidden="1">2</definedName>
    <definedName name="solver_rel3" localSheetId="29" hidden="1">2</definedName>
    <definedName name="solver_rel3" localSheetId="45" hidden="1">2</definedName>
    <definedName name="solver_rel3" localSheetId="46" hidden="1">2</definedName>
    <definedName name="solver_rel3" localSheetId="47" hidden="1">2</definedName>
    <definedName name="solver_rel3" localSheetId="51" hidden="1">2</definedName>
    <definedName name="solver_rel3" localSheetId="52" hidden="1">2</definedName>
    <definedName name="solver_rel3" localSheetId="50" hidden="1">2</definedName>
    <definedName name="solver_rel3" localSheetId="53" hidden="1">2</definedName>
    <definedName name="solver_rel3" localSheetId="49" hidden="1">2</definedName>
    <definedName name="solver_rel3" localSheetId="48" hidden="1">2</definedName>
    <definedName name="solver_rel4" localSheetId="28" hidden="1">2</definedName>
    <definedName name="solver_rel4" localSheetId="54" hidden="1">2</definedName>
    <definedName name="solver_rel4" localSheetId="45" hidden="1">2</definedName>
    <definedName name="solver_rhs1" localSheetId="24" hidden="1">1</definedName>
    <definedName name="solver_rhs1" localSheetId="28" hidden="1">'23. Balance Pre-Cl'!$O$61:$O$70</definedName>
    <definedName name="solver_rhs1" localSheetId="54" hidden="1">'23. Balance Pre-Cl (2)'!$O$61:$O$70</definedName>
    <definedName name="solver_rhs1" localSheetId="29" hidden="1">'24. Balance Pre-Cl-SCV'!$R$61:$R$70</definedName>
    <definedName name="solver_rhs1" localSheetId="45" hidden="1">0</definedName>
    <definedName name="solver_rhs1" localSheetId="46" hidden="1">0</definedName>
    <definedName name="solver_rhs1" localSheetId="47" hidden="1">0</definedName>
    <definedName name="solver_rhs1" localSheetId="51" hidden="1">'Balance Pre-Cl-SCV 27-11'!$O$61:$O$70</definedName>
    <definedName name="solver_rhs1" localSheetId="52" hidden="1">'Balance Pre-Cl-SCV Dic'!$R$62:$R$71</definedName>
    <definedName name="solver_rhs1" localSheetId="50" hidden="1">0</definedName>
    <definedName name="solver_rhs1" localSheetId="53" hidden="1">0</definedName>
    <definedName name="solver_rhs1" localSheetId="49" hidden="1">0</definedName>
    <definedName name="solver_rhs1" localSheetId="48" hidden="1">0</definedName>
    <definedName name="solver_rhs2" localSheetId="24" hidden="1">'19. Jms - Pre-Cle'!$J$38</definedName>
    <definedName name="solver_rhs2" localSheetId="28" hidden="1">'23. Balance Pre-Cl'!$O$61:$O$70</definedName>
    <definedName name="solver_rhs2" localSheetId="54" hidden="1">'23. Balance Pre-Cl (2)'!$O$61:$O$70</definedName>
    <definedName name="solver_rhs2" localSheetId="29" hidden="1">0</definedName>
    <definedName name="solver_rhs2" localSheetId="45" hidden="1">0</definedName>
    <definedName name="solver_rhs2" localSheetId="46" hidden="1">0</definedName>
    <definedName name="solver_rhs2" localSheetId="47" hidden="1">0</definedName>
    <definedName name="solver_rhs2" localSheetId="51" hidden="1">0</definedName>
    <definedName name="solver_rhs2" localSheetId="52" hidden="1">0</definedName>
    <definedName name="solver_rhs2" localSheetId="50" hidden="1">0</definedName>
    <definedName name="solver_rhs2" localSheetId="53" hidden="1">0</definedName>
    <definedName name="solver_rhs2" localSheetId="49" hidden="1">0</definedName>
    <definedName name="solver_rhs2" localSheetId="48" hidden="1">0</definedName>
    <definedName name="solver_rhs3" localSheetId="24" hidden="1">'19. Jms - Pre-Cle'!$K$38</definedName>
    <definedName name="solver_rhs3" localSheetId="28" hidden="1">0</definedName>
    <definedName name="solver_rhs3" localSheetId="54" hidden="1">0</definedName>
    <definedName name="solver_rhs3" localSheetId="29" hidden="1">0</definedName>
    <definedName name="solver_rhs3" localSheetId="45" hidden="1">0</definedName>
    <definedName name="solver_rhs3" localSheetId="46" hidden="1">0</definedName>
    <definedName name="solver_rhs3" localSheetId="47" hidden="1">0</definedName>
    <definedName name="solver_rhs3" localSheetId="51" hidden="1">0</definedName>
    <definedName name="solver_rhs3" localSheetId="52" hidden="1">0</definedName>
    <definedName name="solver_rhs3" localSheetId="50" hidden="1">0</definedName>
    <definedName name="solver_rhs3" localSheetId="53" hidden="1">0</definedName>
    <definedName name="solver_rhs3" localSheetId="49" hidden="1">0</definedName>
    <definedName name="solver_rhs3" localSheetId="48" hidden="1">0</definedName>
    <definedName name="solver_rhs4" localSheetId="28" hidden="1">0</definedName>
    <definedName name="solver_rhs4" localSheetId="54" hidden="1">0</definedName>
    <definedName name="solver_rhs4" localSheetId="45" hidden="1">0</definedName>
    <definedName name="solver_rlx" localSheetId="15" hidden="1">2</definedName>
    <definedName name="solver_rlx" localSheetId="19" hidden="1">2</definedName>
    <definedName name="solver_rlx" localSheetId="20" hidden="1">2</definedName>
    <definedName name="solver_rlx" localSheetId="22" hidden="1">2</definedName>
    <definedName name="solver_rlx" localSheetId="24" hidden="1">2</definedName>
    <definedName name="solver_rlx" localSheetId="25" hidden="1">2</definedName>
    <definedName name="solver_rlx" localSheetId="28" hidden="1">2</definedName>
    <definedName name="solver_rlx" localSheetId="54" hidden="1">2</definedName>
    <definedName name="solver_rlx" localSheetId="29" hidden="1">2</definedName>
    <definedName name="solver_rlx" localSheetId="45" hidden="1">2</definedName>
    <definedName name="solver_rlx" localSheetId="46" hidden="1">2</definedName>
    <definedName name="solver_rlx" localSheetId="47" hidden="1">2</definedName>
    <definedName name="solver_rlx" localSheetId="51" hidden="1">2</definedName>
    <definedName name="solver_rlx" localSheetId="52" hidden="1">2</definedName>
    <definedName name="solver_rlx" localSheetId="50" hidden="1">2</definedName>
    <definedName name="solver_rlx" localSheetId="53" hidden="1">2</definedName>
    <definedName name="solver_rlx" localSheetId="49" hidden="1">2</definedName>
    <definedName name="solver_rlx" localSheetId="48" hidden="1">2</definedName>
    <definedName name="solver_rsd" localSheetId="15" hidden="1">0</definedName>
    <definedName name="solver_rsd" localSheetId="19" hidden="1">0</definedName>
    <definedName name="solver_rsd" localSheetId="20" hidden="1">0</definedName>
    <definedName name="solver_rsd" localSheetId="22" hidden="1">0</definedName>
    <definedName name="solver_rsd" localSheetId="24" hidden="1">0</definedName>
    <definedName name="solver_rsd" localSheetId="25" hidden="1">0</definedName>
    <definedName name="solver_rsd" localSheetId="28" hidden="1">0</definedName>
    <definedName name="solver_rsd" localSheetId="54" hidden="1">0</definedName>
    <definedName name="solver_rsd" localSheetId="29" hidden="1">0</definedName>
    <definedName name="solver_rsd" localSheetId="45" hidden="1">0</definedName>
    <definedName name="solver_rsd" localSheetId="46" hidden="1">0</definedName>
    <definedName name="solver_rsd" localSheetId="47" hidden="1">0</definedName>
    <definedName name="solver_rsd" localSheetId="51" hidden="1">0</definedName>
    <definedName name="solver_rsd" localSheetId="52" hidden="1">0</definedName>
    <definedName name="solver_rsd" localSheetId="50" hidden="1">0</definedName>
    <definedName name="solver_rsd" localSheetId="53" hidden="1">0</definedName>
    <definedName name="solver_rsd" localSheetId="49" hidden="1">0</definedName>
    <definedName name="solver_rsd" localSheetId="48" hidden="1">0</definedName>
    <definedName name="solver_scl" localSheetId="15" hidden="1">1</definedName>
    <definedName name="solver_scl" localSheetId="19" hidden="1">1</definedName>
    <definedName name="solver_scl" localSheetId="20" hidden="1">1</definedName>
    <definedName name="solver_scl" localSheetId="22" hidden="1">1</definedName>
    <definedName name="solver_scl" localSheetId="24" hidden="1">1</definedName>
    <definedName name="solver_scl" localSheetId="25" hidden="1">1</definedName>
    <definedName name="solver_scl" localSheetId="28" hidden="1">1</definedName>
    <definedName name="solver_scl" localSheetId="54" hidden="1">1</definedName>
    <definedName name="solver_scl" localSheetId="29" hidden="1">1</definedName>
    <definedName name="solver_scl" localSheetId="45" hidden="1">1</definedName>
    <definedName name="solver_scl" localSheetId="46" hidden="1">1</definedName>
    <definedName name="solver_scl" localSheetId="47" hidden="1">1</definedName>
    <definedName name="solver_scl" localSheetId="51" hidden="1">1</definedName>
    <definedName name="solver_scl" localSheetId="52" hidden="1">1</definedName>
    <definedName name="solver_scl" localSheetId="50" hidden="1">1</definedName>
    <definedName name="solver_scl" localSheetId="53" hidden="1">1</definedName>
    <definedName name="solver_scl" localSheetId="49" hidden="1">1</definedName>
    <definedName name="solver_scl" localSheetId="48" hidden="1">1</definedName>
    <definedName name="solver_sho" localSheetId="15" hidden="1">2</definedName>
    <definedName name="solver_sho" localSheetId="19" hidden="1">2</definedName>
    <definedName name="solver_sho" localSheetId="20" hidden="1">2</definedName>
    <definedName name="solver_sho" localSheetId="22" hidden="1">2</definedName>
    <definedName name="solver_sho" localSheetId="24" hidden="1">2</definedName>
    <definedName name="solver_sho" localSheetId="25" hidden="1">2</definedName>
    <definedName name="solver_sho" localSheetId="28" hidden="1">2</definedName>
    <definedName name="solver_sho" localSheetId="54" hidden="1">2</definedName>
    <definedName name="solver_sho" localSheetId="29" hidden="1">2</definedName>
    <definedName name="solver_sho" localSheetId="45" hidden="1">2</definedName>
    <definedName name="solver_sho" localSheetId="46" hidden="1">2</definedName>
    <definedName name="solver_sho" localSheetId="47" hidden="1">2</definedName>
    <definedName name="solver_sho" localSheetId="51" hidden="1">2</definedName>
    <definedName name="solver_sho" localSheetId="52" hidden="1">2</definedName>
    <definedName name="solver_sho" localSheetId="50" hidden="1">2</definedName>
    <definedName name="solver_sho" localSheetId="53" hidden="1">2</definedName>
    <definedName name="solver_sho" localSheetId="49" hidden="1">2</definedName>
    <definedName name="solver_sho" localSheetId="48" hidden="1">2</definedName>
    <definedName name="solver_ssz" localSheetId="15" hidden="1">100</definedName>
    <definedName name="solver_ssz" localSheetId="19" hidden="1">100</definedName>
    <definedName name="solver_ssz" localSheetId="20" hidden="1">100</definedName>
    <definedName name="solver_ssz" localSheetId="22" hidden="1">100</definedName>
    <definedName name="solver_ssz" localSheetId="24" hidden="1">100</definedName>
    <definedName name="solver_ssz" localSheetId="25" hidden="1">100</definedName>
    <definedName name="solver_ssz" localSheetId="28" hidden="1">100</definedName>
    <definedName name="solver_ssz" localSheetId="54" hidden="1">100</definedName>
    <definedName name="solver_ssz" localSheetId="29" hidden="1">100</definedName>
    <definedName name="solver_ssz" localSheetId="45" hidden="1">100</definedName>
    <definedName name="solver_ssz" localSheetId="46" hidden="1">100</definedName>
    <definedName name="solver_ssz" localSheetId="47" hidden="1">100</definedName>
    <definedName name="solver_ssz" localSheetId="51" hidden="1">100</definedName>
    <definedName name="solver_ssz" localSheetId="52" hidden="1">100</definedName>
    <definedName name="solver_ssz" localSheetId="50" hidden="1">100</definedName>
    <definedName name="solver_ssz" localSheetId="53" hidden="1">100</definedName>
    <definedName name="solver_ssz" localSheetId="49" hidden="1">100</definedName>
    <definedName name="solver_ssz" localSheetId="48" hidden="1">100</definedName>
    <definedName name="solver_tim" localSheetId="15" hidden="1">2147483647</definedName>
    <definedName name="solver_tim" localSheetId="19" hidden="1">2147483647</definedName>
    <definedName name="solver_tim" localSheetId="20" hidden="1">2147483647</definedName>
    <definedName name="solver_tim" localSheetId="22" hidden="1">2147483647</definedName>
    <definedName name="solver_tim" localSheetId="24" hidden="1">2147483647</definedName>
    <definedName name="solver_tim" localSheetId="25" hidden="1">2147483647</definedName>
    <definedName name="solver_tim" localSheetId="28" hidden="1">2147483647</definedName>
    <definedName name="solver_tim" localSheetId="54" hidden="1">2147483647</definedName>
    <definedName name="solver_tim" localSheetId="29" hidden="1">2147483647</definedName>
    <definedName name="solver_tim" localSheetId="45" hidden="1">2147483647</definedName>
    <definedName name="solver_tim" localSheetId="46" hidden="1">2147483647</definedName>
    <definedName name="solver_tim" localSheetId="47" hidden="1">2147483647</definedName>
    <definedName name="solver_tim" localSheetId="51" hidden="1">2147483647</definedName>
    <definedName name="solver_tim" localSheetId="52" hidden="1">2147483647</definedName>
    <definedName name="solver_tim" localSheetId="50" hidden="1">2147483647</definedName>
    <definedName name="solver_tim" localSheetId="53" hidden="1">2147483647</definedName>
    <definedName name="solver_tim" localSheetId="49" hidden="1">2147483647</definedName>
    <definedName name="solver_tim" localSheetId="48" hidden="1">2147483647</definedName>
    <definedName name="solver_tol" localSheetId="15" hidden="1">1</definedName>
    <definedName name="solver_tol" localSheetId="19" hidden="1">0.01</definedName>
    <definedName name="solver_tol" localSheetId="20" hidden="1">0.01</definedName>
    <definedName name="solver_tol" localSheetId="22" hidden="1">1</definedName>
    <definedName name="solver_tol" localSheetId="24" hidden="1">1</definedName>
    <definedName name="solver_tol" localSheetId="25" hidden="1">1</definedName>
    <definedName name="solver_tol" localSheetId="28" hidden="1">1</definedName>
    <definedName name="solver_tol" localSheetId="54" hidden="1">1</definedName>
    <definedName name="solver_tol" localSheetId="29" hidden="1">1</definedName>
    <definedName name="solver_tol" localSheetId="45" hidden="1">1</definedName>
    <definedName name="solver_tol" localSheetId="46" hidden="1">1</definedName>
    <definedName name="solver_tol" localSheetId="47" hidden="1">1</definedName>
    <definedName name="solver_tol" localSheetId="51" hidden="1">1</definedName>
    <definedName name="solver_tol" localSheetId="52" hidden="1">1</definedName>
    <definedName name="solver_tol" localSheetId="50" hidden="1">1</definedName>
    <definedName name="solver_tol" localSheetId="53" hidden="1">1</definedName>
    <definedName name="solver_tol" localSheetId="49" hidden="1">1</definedName>
    <definedName name="solver_tol" localSheetId="48" hidden="1">1</definedName>
    <definedName name="solver_typ" localSheetId="15" hidden="1">3</definedName>
    <definedName name="solver_typ" localSheetId="19" hidden="1">3</definedName>
    <definedName name="solver_typ" localSheetId="20" hidden="1">3</definedName>
    <definedName name="solver_typ" localSheetId="22" hidden="1">3</definedName>
    <definedName name="solver_typ" localSheetId="24" hidden="1">3</definedName>
    <definedName name="solver_typ" localSheetId="25" hidden="1">3</definedName>
    <definedName name="solver_typ" localSheetId="28" hidden="1">2</definedName>
    <definedName name="solver_typ" localSheetId="54" hidden="1">2</definedName>
    <definedName name="solver_typ" localSheetId="29" hidden="1">2</definedName>
    <definedName name="solver_typ" localSheetId="45" hidden="1">2</definedName>
    <definedName name="solver_typ" localSheetId="46" hidden="1">2</definedName>
    <definedName name="solver_typ" localSheetId="47" hidden="1">2</definedName>
    <definedName name="solver_typ" localSheetId="51" hidden="1">2</definedName>
    <definedName name="solver_typ" localSheetId="52" hidden="1">2</definedName>
    <definedName name="solver_typ" localSheetId="50" hidden="1">2</definedName>
    <definedName name="solver_typ" localSheetId="53" hidden="1">2</definedName>
    <definedName name="solver_typ" localSheetId="49" hidden="1">2</definedName>
    <definedName name="solver_typ" localSheetId="48" hidden="1">2</definedName>
    <definedName name="solver_val" localSheetId="15" hidden="1">0</definedName>
    <definedName name="solver_val" localSheetId="19" hidden="1">0</definedName>
    <definedName name="solver_val" localSheetId="20" hidden="1">4.46</definedName>
    <definedName name="solver_val" localSheetId="22" hidden="1">0</definedName>
    <definedName name="solver_val" localSheetId="24" hidden="1">0</definedName>
    <definedName name="solver_val" localSheetId="25" hidden="1">0</definedName>
    <definedName name="solver_val" localSheetId="28" hidden="1">0</definedName>
    <definedName name="solver_val" localSheetId="54" hidden="1">0</definedName>
    <definedName name="solver_val" localSheetId="29" hidden="1">0</definedName>
    <definedName name="solver_val" localSheetId="45" hidden="1">0</definedName>
    <definedName name="solver_val" localSheetId="46" hidden="1">0</definedName>
    <definedName name="solver_val" localSheetId="47" hidden="1">0</definedName>
    <definedName name="solver_val" localSheetId="51" hidden="1">0</definedName>
    <definedName name="solver_val" localSheetId="52" hidden="1">0</definedName>
    <definedName name="solver_val" localSheetId="50" hidden="1">0</definedName>
    <definedName name="solver_val" localSheetId="53" hidden="1">0</definedName>
    <definedName name="solver_val" localSheetId="49" hidden="1">0</definedName>
    <definedName name="solver_val" localSheetId="48" hidden="1">0</definedName>
    <definedName name="solver_ver" localSheetId="15" hidden="1">3</definedName>
    <definedName name="solver_ver" localSheetId="19" hidden="1">3</definedName>
    <definedName name="solver_ver" localSheetId="20" hidden="1">3</definedName>
    <definedName name="solver_ver" localSheetId="22" hidden="1">3</definedName>
    <definedName name="solver_ver" localSheetId="24" hidden="1">3</definedName>
    <definedName name="solver_ver" localSheetId="25" hidden="1">3</definedName>
    <definedName name="solver_ver" localSheetId="28" hidden="1">3</definedName>
    <definedName name="solver_ver" localSheetId="54" hidden="1">3</definedName>
    <definedName name="solver_ver" localSheetId="29" hidden="1">3</definedName>
    <definedName name="solver_ver" localSheetId="45" hidden="1">3</definedName>
    <definedName name="solver_ver" localSheetId="46" hidden="1">3</definedName>
    <definedName name="solver_ver" localSheetId="47" hidden="1">3</definedName>
    <definedName name="solver_ver" localSheetId="51" hidden="1">3</definedName>
    <definedName name="solver_ver" localSheetId="52" hidden="1">3</definedName>
    <definedName name="solver_ver" localSheetId="50" hidden="1">3</definedName>
    <definedName name="solver_ver" localSheetId="53" hidden="1">3</definedName>
    <definedName name="solver_ver" localSheetId="49" hidden="1">3</definedName>
    <definedName name="solver_ver" localSheetId="48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9" i="263" l="1"/>
  <c r="AB29" i="263"/>
  <c r="AA29" i="263"/>
  <c r="Z29" i="263"/>
  <c r="Y29" i="263"/>
  <c r="Y27" i="263" s="1"/>
  <c r="X29" i="263"/>
  <c r="X31" i="263" s="1"/>
  <c r="W29" i="263"/>
  <c r="V29" i="263"/>
  <c r="V31" i="263" s="1"/>
  <c r="U29" i="263"/>
  <c r="U27" i="263" s="1"/>
  <c r="T29" i="263"/>
  <c r="T27" i="263" s="1"/>
  <c r="AC22" i="263"/>
  <c r="AB22" i="263"/>
  <c r="AA22" i="263"/>
  <c r="Z22" i="263"/>
  <c r="Y22" i="263"/>
  <c r="Y20" i="263" s="1"/>
  <c r="X22" i="263"/>
  <c r="W22" i="263"/>
  <c r="V22" i="263"/>
  <c r="U22" i="263"/>
  <c r="T22" i="263"/>
  <c r="T24" i="263" s="1"/>
  <c r="AC17" i="263"/>
  <c r="AC15" i="263" s="1"/>
  <c r="X24" i="263"/>
  <c r="AB20" i="263"/>
  <c r="AA24" i="263"/>
  <c r="W24" i="263"/>
  <c r="Z20" i="263"/>
  <c r="V24" i="263"/>
  <c r="AB17" i="263"/>
  <c r="AA17" i="263"/>
  <c r="Z17" i="263"/>
  <c r="Y17" i="263"/>
  <c r="X17" i="263"/>
  <c r="W17" i="263"/>
  <c r="V17" i="263"/>
  <c r="U17" i="263"/>
  <c r="T17" i="263"/>
  <c r="N61" i="263"/>
  <c r="N60" i="263"/>
  <c r="N59" i="263"/>
  <c r="N58" i="263"/>
  <c r="N57" i="263"/>
  <c r="N56" i="263"/>
  <c r="F56" i="263" s="1"/>
  <c r="M56" i="263" s="1"/>
  <c r="N55" i="263"/>
  <c r="N54" i="263"/>
  <c r="N53" i="263"/>
  <c r="N52" i="263"/>
  <c r="J53" i="263"/>
  <c r="L53" i="263" s="1"/>
  <c r="F53" i="263" s="1"/>
  <c r="M53" i="263" s="1"/>
  <c r="K53" i="263"/>
  <c r="J54" i="263"/>
  <c r="K54" i="263"/>
  <c r="J55" i="263"/>
  <c r="K55" i="263"/>
  <c r="J56" i="263"/>
  <c r="K56" i="263"/>
  <c r="J57" i="263"/>
  <c r="L57" i="263" s="1"/>
  <c r="K57" i="263"/>
  <c r="J58" i="263"/>
  <c r="L58" i="263" s="1"/>
  <c r="F58" i="263" s="1"/>
  <c r="K58" i="263"/>
  <c r="J59" i="263"/>
  <c r="L59" i="263" s="1"/>
  <c r="F59" i="263" s="1"/>
  <c r="M59" i="263" s="1"/>
  <c r="K59" i="263"/>
  <c r="J60" i="263"/>
  <c r="L60" i="263" s="1"/>
  <c r="F60" i="263" s="1"/>
  <c r="K60" i="263"/>
  <c r="J61" i="263"/>
  <c r="K61" i="263"/>
  <c r="K52" i="263"/>
  <c r="J52" i="263"/>
  <c r="D53" i="263"/>
  <c r="E53" i="263"/>
  <c r="D54" i="263"/>
  <c r="E54" i="263"/>
  <c r="D55" i="263"/>
  <c r="E55" i="263"/>
  <c r="D56" i="263"/>
  <c r="E56" i="263"/>
  <c r="D57" i="263"/>
  <c r="E57" i="263"/>
  <c r="D58" i="263"/>
  <c r="E58" i="263"/>
  <c r="I58" i="263" s="1"/>
  <c r="D59" i="263"/>
  <c r="E59" i="263"/>
  <c r="I59" i="263" s="1"/>
  <c r="D60" i="263"/>
  <c r="E60" i="263"/>
  <c r="I60" i="263" s="1"/>
  <c r="D61" i="263"/>
  <c r="E61" i="263"/>
  <c r="I61" i="263" s="1"/>
  <c r="E52" i="263"/>
  <c r="D52" i="263"/>
  <c r="L61" i="263"/>
  <c r="I57" i="263"/>
  <c r="L56" i="263"/>
  <c r="I56" i="263"/>
  <c r="L55" i="263"/>
  <c r="F55" i="263" s="1"/>
  <c r="I55" i="263"/>
  <c r="L54" i="263"/>
  <c r="I54" i="263"/>
  <c r="F54" i="263"/>
  <c r="M54" i="263" s="1"/>
  <c r="I53" i="263"/>
  <c r="L52" i="263"/>
  <c r="I52" i="263"/>
  <c r="J45" i="263"/>
  <c r="K45" i="263" s="1"/>
  <c r="G45" i="263"/>
  <c r="F45" i="263"/>
  <c r="J44" i="263"/>
  <c r="K44" i="263" s="1"/>
  <c r="G44" i="263"/>
  <c r="F44" i="263"/>
  <c r="J43" i="263"/>
  <c r="K43" i="263" s="1"/>
  <c r="G43" i="263"/>
  <c r="F43" i="263"/>
  <c r="Q42" i="263"/>
  <c r="J42" i="263"/>
  <c r="K42" i="263" s="1"/>
  <c r="G42" i="263"/>
  <c r="F42" i="263"/>
  <c r="Q41" i="263"/>
  <c r="K41" i="263"/>
  <c r="J41" i="263"/>
  <c r="G41" i="263"/>
  <c r="F41" i="263"/>
  <c r="Q40" i="263"/>
  <c r="J40" i="263"/>
  <c r="K40" i="263" s="1"/>
  <c r="G40" i="263"/>
  <c r="F40" i="263"/>
  <c r="Q39" i="263"/>
  <c r="J39" i="263"/>
  <c r="K39" i="263" s="1"/>
  <c r="G39" i="263"/>
  <c r="F39" i="263"/>
  <c r="Y38" i="263"/>
  <c r="X38" i="263"/>
  <c r="W38" i="263"/>
  <c r="U38" i="263"/>
  <c r="Q38" i="263"/>
  <c r="J38" i="263"/>
  <c r="K38" i="263" s="1"/>
  <c r="G38" i="263"/>
  <c r="F38" i="263"/>
  <c r="AA37" i="263"/>
  <c r="Y37" i="263"/>
  <c r="Y36" i="263" s="1"/>
  <c r="X37" i="263"/>
  <c r="X36" i="263" s="1"/>
  <c r="W37" i="263"/>
  <c r="W36" i="263" s="1"/>
  <c r="U37" i="263"/>
  <c r="U36" i="263" s="1"/>
  <c r="J37" i="263"/>
  <c r="K37" i="263" s="1"/>
  <c r="G37" i="263"/>
  <c r="F37" i="263"/>
  <c r="J36" i="263"/>
  <c r="K36" i="263" s="1"/>
  <c r="G36" i="263"/>
  <c r="F36" i="263"/>
  <c r="Y35" i="263"/>
  <c r="X35" i="263"/>
  <c r="W35" i="263"/>
  <c r="U35" i="263"/>
  <c r="AC32" i="263"/>
  <c r="AB32" i="263"/>
  <c r="AA32" i="263"/>
  <c r="Z32" i="263"/>
  <c r="Y32" i="263"/>
  <c r="X32" i="263"/>
  <c r="W32" i="263"/>
  <c r="V32" i="263"/>
  <c r="U32" i="263"/>
  <c r="T32" i="263"/>
  <c r="S41" i="263" s="1"/>
  <c r="AB31" i="263"/>
  <c r="AA31" i="263"/>
  <c r="W31" i="263"/>
  <c r="AC28" i="263"/>
  <c r="AC27" i="263" s="1"/>
  <c r="AB28" i="263"/>
  <c r="AA28" i="263"/>
  <c r="Z28" i="263"/>
  <c r="Y28" i="263"/>
  <c r="X28" i="263"/>
  <c r="V28" i="263"/>
  <c r="U28" i="263"/>
  <c r="T28" i="263"/>
  <c r="AB27" i="263"/>
  <c r="AA27" i="263"/>
  <c r="Z27" i="263"/>
  <c r="W27" i="263"/>
  <c r="AC25" i="263"/>
  <c r="AB25" i="263"/>
  <c r="AA25" i="263"/>
  <c r="Z25" i="263"/>
  <c r="Y25" i="263"/>
  <c r="X25" i="263"/>
  <c r="W25" i="263"/>
  <c r="V25" i="263"/>
  <c r="U25" i="263"/>
  <c r="AA36" i="263" s="1"/>
  <c r="T25" i="263"/>
  <c r="R38" i="263" s="1"/>
  <c r="AC21" i="263"/>
  <c r="AA21" i="263"/>
  <c r="Z21" i="263"/>
  <c r="X21" i="263"/>
  <c r="W21" i="263"/>
  <c r="V21" i="263"/>
  <c r="U21" i="263"/>
  <c r="T21" i="263"/>
  <c r="T20" i="263" s="1"/>
  <c r="X20" i="263"/>
  <c r="W20" i="263"/>
  <c r="V20" i="263"/>
  <c r="U20" i="263"/>
  <c r="AB16" i="263"/>
  <c r="AB15" i="263" s="1"/>
  <c r="AA16" i="263"/>
  <c r="AA15" i="263" s="1"/>
  <c r="Z16" i="263"/>
  <c r="Y16" i="263"/>
  <c r="Y15" i="263" s="1"/>
  <c r="V16" i="263"/>
  <c r="U16" i="263"/>
  <c r="X15" i="263"/>
  <c r="W15" i="263"/>
  <c r="V15" i="263"/>
  <c r="T15" i="263"/>
  <c r="AC12" i="263"/>
  <c r="AB12" i="263"/>
  <c r="AA12" i="263"/>
  <c r="Z12" i="263"/>
  <c r="Y12" i="263"/>
  <c r="X12" i="263"/>
  <c r="W12" i="263"/>
  <c r="V12" i="263"/>
  <c r="U12" i="263"/>
  <c r="T12" i="263"/>
  <c r="S12" i="263"/>
  <c r="R12" i="263"/>
  <c r="Q12" i="263"/>
  <c r="Y38" i="258"/>
  <c r="X38" i="258"/>
  <c r="W38" i="258"/>
  <c r="U38" i="258"/>
  <c r="AA37" i="258"/>
  <c r="Y37" i="258"/>
  <c r="X37" i="258"/>
  <c r="W37" i="258"/>
  <c r="U37" i="258"/>
  <c r="AA36" i="258"/>
  <c r="Y36" i="258"/>
  <c r="X36" i="258"/>
  <c r="W36" i="258"/>
  <c r="U36" i="258"/>
  <c r="AA35" i="258"/>
  <c r="AA38" i="258" s="1"/>
  <c r="Y35" i="258"/>
  <c r="X35" i="258"/>
  <c r="W35" i="258"/>
  <c r="U35" i="258"/>
  <c r="AA37" i="255"/>
  <c r="AA38" i="255"/>
  <c r="AA36" i="255"/>
  <c r="AA35" i="255"/>
  <c r="Y38" i="255"/>
  <c r="Y37" i="255"/>
  <c r="Y36" i="255"/>
  <c r="Y35" i="255"/>
  <c r="X38" i="255"/>
  <c r="X37" i="255"/>
  <c r="X36" i="255"/>
  <c r="X35" i="255"/>
  <c r="W36" i="255"/>
  <c r="W38" i="255"/>
  <c r="W37" i="255"/>
  <c r="W35" i="255"/>
  <c r="U38" i="255"/>
  <c r="U37" i="255"/>
  <c r="U35" i="255"/>
  <c r="Y31" i="263" l="1"/>
  <c r="X27" i="263"/>
  <c r="V27" i="263"/>
  <c r="T31" i="263"/>
  <c r="AC24" i="263"/>
  <c r="AC31" i="263"/>
  <c r="U24" i="263"/>
  <c r="AB24" i="263"/>
  <c r="Z24" i="263"/>
  <c r="AA20" i="263"/>
  <c r="Y24" i="263"/>
  <c r="AC20" i="263"/>
  <c r="Z31" i="263"/>
  <c r="Z15" i="263"/>
  <c r="U15" i="263"/>
  <c r="U31" i="263"/>
  <c r="Q45" i="263"/>
  <c r="F61" i="263"/>
  <c r="M61" i="263" s="1"/>
  <c r="S39" i="263"/>
  <c r="R41" i="263"/>
  <c r="F57" i="263"/>
  <c r="M57" i="263" s="1"/>
  <c r="F52" i="263"/>
  <c r="M52" i="263" s="1"/>
  <c r="M60" i="263"/>
  <c r="G60" i="263"/>
  <c r="H60" i="263" s="1"/>
  <c r="G55" i="263"/>
  <c r="H55" i="263"/>
  <c r="M55" i="263"/>
  <c r="G58" i="263"/>
  <c r="H58" i="263" s="1"/>
  <c r="M58" i="263"/>
  <c r="R42" i="263"/>
  <c r="G59" i="263"/>
  <c r="S42" i="263"/>
  <c r="H59" i="263"/>
  <c r="G56" i="263"/>
  <c r="H56" i="263" s="1"/>
  <c r="AA35" i="263"/>
  <c r="AA38" i="263" s="1"/>
  <c r="G53" i="263"/>
  <c r="H53" i="263" s="1"/>
  <c r="R40" i="263"/>
  <c r="S40" i="263"/>
  <c r="G52" i="263"/>
  <c r="H52" i="263" s="1"/>
  <c r="R39" i="263"/>
  <c r="S38" i="263"/>
  <c r="G54" i="263"/>
  <c r="H54" i="263" s="1"/>
  <c r="G61" i="263"/>
  <c r="U36" i="255"/>
  <c r="Q33" i="263" l="1"/>
  <c r="Q46" i="263"/>
  <c r="Q47" i="263"/>
  <c r="H61" i="263"/>
  <c r="G57" i="263"/>
  <c r="H57" i="263" s="1"/>
  <c r="K12" i="198"/>
  <c r="K6" i="198"/>
  <c r="W39" i="261" l="1"/>
  <c r="V39" i="261"/>
  <c r="Y39" i="261"/>
  <c r="X39" i="261"/>
  <c r="U39" i="261"/>
  <c r="C108" i="246"/>
  <c r="N104" i="246"/>
  <c r="N103" i="246"/>
  <c r="N102" i="246"/>
  <c r="N108" i="246"/>
  <c r="AA37" i="261"/>
  <c r="AA37" i="260"/>
  <c r="AA36" i="260"/>
  <c r="AA35" i="260"/>
  <c r="AA38" i="260" s="1"/>
  <c r="AB36" i="260" s="1"/>
  <c r="AA37" i="259"/>
  <c r="U38" i="261"/>
  <c r="U37" i="261"/>
  <c r="X35" i="261"/>
  <c r="T27" i="228"/>
  <c r="AD33" i="230"/>
  <c r="AA39" i="230"/>
  <c r="AA32" i="230"/>
  <c r="X37" i="261"/>
  <c r="Y37" i="261"/>
  <c r="AD32" i="230"/>
  <c r="BA66" i="256"/>
  <c r="T25" i="259"/>
  <c r="Y25" i="259"/>
  <c r="W29" i="230"/>
  <c r="Y36" i="260"/>
  <c r="W27" i="230"/>
  <c r="U38" i="259"/>
  <c r="U37" i="259"/>
  <c r="U35" i="259"/>
  <c r="Y38" i="259"/>
  <c r="X38" i="259"/>
  <c r="Y37" i="259"/>
  <c r="X37" i="259"/>
  <c r="Y35" i="259"/>
  <c r="X35" i="259"/>
  <c r="Y38" i="260"/>
  <c r="X38" i="260"/>
  <c r="U38" i="260"/>
  <c r="Y37" i="260"/>
  <c r="X37" i="260"/>
  <c r="U37" i="260"/>
  <c r="X36" i="260"/>
  <c r="U36" i="260"/>
  <c r="Y35" i="260"/>
  <c r="X35" i="260"/>
  <c r="U35" i="260"/>
  <c r="W36" i="230"/>
  <c r="W35" i="230"/>
  <c r="W34" i="230"/>
  <c r="W28" i="230"/>
  <c r="Y38" i="261"/>
  <c r="Y35" i="261"/>
  <c r="X38" i="261"/>
  <c r="U35" i="261"/>
  <c r="N59" i="261"/>
  <c r="N58" i="261"/>
  <c r="F58" i="261" s="1"/>
  <c r="M58" i="261" s="1"/>
  <c r="N57" i="261"/>
  <c r="N56" i="261"/>
  <c r="N55" i="261"/>
  <c r="N54" i="261"/>
  <c r="N53" i="261"/>
  <c r="F53" i="261" s="1"/>
  <c r="N52" i="261"/>
  <c r="F52" i="261" s="1"/>
  <c r="M52" i="261" s="1"/>
  <c r="M36" i="261"/>
  <c r="T29" i="261" s="1"/>
  <c r="T27" i="261" s="1"/>
  <c r="M37" i="261"/>
  <c r="U29" i="261" s="1"/>
  <c r="U27" i="261" s="1"/>
  <c r="M38" i="261"/>
  <c r="V29" i="261" s="1"/>
  <c r="M39" i="261"/>
  <c r="M40" i="261"/>
  <c r="M41" i="261"/>
  <c r="M42" i="261"/>
  <c r="Z29" i="261" s="1"/>
  <c r="M43" i="261"/>
  <c r="AA29" i="261" s="1"/>
  <c r="AA27" i="261" s="1"/>
  <c r="L37" i="261"/>
  <c r="L38" i="261"/>
  <c r="L39" i="261"/>
  <c r="L40" i="261"/>
  <c r="L41" i="261"/>
  <c r="Y22" i="261" s="1"/>
  <c r="Y20" i="261" s="1"/>
  <c r="L42" i="261"/>
  <c r="L43" i="261"/>
  <c r="L36" i="261"/>
  <c r="I36" i="261"/>
  <c r="J36" i="261" s="1"/>
  <c r="I37" i="261"/>
  <c r="J37" i="261" s="1"/>
  <c r="I38" i="261"/>
  <c r="I39" i="261"/>
  <c r="I40" i="261"/>
  <c r="I41" i="261"/>
  <c r="I42" i="261"/>
  <c r="I43" i="261"/>
  <c r="H37" i="261"/>
  <c r="H38" i="261"/>
  <c r="H39" i="261"/>
  <c r="H40" i="261"/>
  <c r="H41" i="261"/>
  <c r="H42" i="261"/>
  <c r="J42" i="261" s="1"/>
  <c r="H43" i="261"/>
  <c r="J43" i="261" s="1"/>
  <c r="H36" i="261"/>
  <c r="E52" i="261"/>
  <c r="E53" i="261"/>
  <c r="E54" i="261"/>
  <c r="E55" i="261"/>
  <c r="E56" i="261"/>
  <c r="I56" i="261" s="1"/>
  <c r="E57" i="261"/>
  <c r="I57" i="261" s="1"/>
  <c r="E58" i="261"/>
  <c r="E59" i="261"/>
  <c r="D53" i="261"/>
  <c r="D54" i="261"/>
  <c r="D55" i="261"/>
  <c r="D56" i="261"/>
  <c r="D57" i="261"/>
  <c r="D58" i="261"/>
  <c r="D59" i="261"/>
  <c r="D52" i="261"/>
  <c r="E36" i="261"/>
  <c r="E37" i="261"/>
  <c r="E38" i="261"/>
  <c r="E39" i="261"/>
  <c r="E40" i="261"/>
  <c r="F40" i="261" s="1"/>
  <c r="E41" i="261"/>
  <c r="E42" i="261"/>
  <c r="E43" i="261"/>
  <c r="D37" i="261"/>
  <c r="G37" i="261" s="1"/>
  <c r="D38" i="261"/>
  <c r="G38" i="261" s="1"/>
  <c r="D39" i="261"/>
  <c r="D40" i="261"/>
  <c r="D41" i="261"/>
  <c r="D42" i="261"/>
  <c r="D43" i="261"/>
  <c r="D36" i="261"/>
  <c r="Y29" i="261"/>
  <c r="X29" i="261"/>
  <c r="W29" i="261"/>
  <c r="W27" i="261" s="1"/>
  <c r="AA22" i="261"/>
  <c r="Z22" i="261"/>
  <c r="Z20" i="261" s="1"/>
  <c r="X22" i="261"/>
  <c r="W22" i="261"/>
  <c r="W20" i="261" s="1"/>
  <c r="V22" i="261"/>
  <c r="U22" i="261"/>
  <c r="T22" i="261"/>
  <c r="L61" i="261"/>
  <c r="I61" i="261"/>
  <c r="F61" i="261"/>
  <c r="M61" i="261" s="1"/>
  <c r="L60" i="261"/>
  <c r="I60" i="261"/>
  <c r="F60" i="261"/>
  <c r="M60" i="261" s="1"/>
  <c r="L59" i="261"/>
  <c r="I59" i="261"/>
  <c r="L58" i="261"/>
  <c r="I58" i="261"/>
  <c r="L57" i="261"/>
  <c r="L56" i="261"/>
  <c r="L55" i="261"/>
  <c r="F55" i="261" s="1"/>
  <c r="I55" i="261"/>
  <c r="L54" i="261"/>
  <c r="I54" i="261"/>
  <c r="L53" i="261"/>
  <c r="I53" i="261"/>
  <c r="L52" i="261"/>
  <c r="I52" i="261"/>
  <c r="K45" i="261"/>
  <c r="J45" i="261"/>
  <c r="G45" i="261"/>
  <c r="F45" i="261"/>
  <c r="K44" i="261"/>
  <c r="J44" i="261"/>
  <c r="G44" i="261"/>
  <c r="F44" i="261"/>
  <c r="Q42" i="261"/>
  <c r="Q41" i="261"/>
  <c r="J41" i="261"/>
  <c r="Q40" i="261"/>
  <c r="J40" i="261"/>
  <c r="Q39" i="261"/>
  <c r="J39" i="261"/>
  <c r="K39" i="261" s="1"/>
  <c r="W17" i="261" s="1"/>
  <c r="G39" i="261"/>
  <c r="F39" i="261"/>
  <c r="Q38" i="261"/>
  <c r="J38" i="261"/>
  <c r="K38" i="261" s="1"/>
  <c r="V17" i="261" s="1"/>
  <c r="AA32" i="261"/>
  <c r="Z32" i="261"/>
  <c r="Y32" i="261"/>
  <c r="X32" i="261"/>
  <c r="W32" i="261"/>
  <c r="V32" i="261"/>
  <c r="U32" i="261"/>
  <c r="T32" i="261"/>
  <c r="AA25" i="261"/>
  <c r="Z25" i="261"/>
  <c r="Y25" i="261"/>
  <c r="X25" i="261"/>
  <c r="W25" i="261"/>
  <c r="V25" i="261"/>
  <c r="U25" i="261"/>
  <c r="AA35" i="261" s="1"/>
  <c r="AA38" i="261" s="1"/>
  <c r="T25" i="261"/>
  <c r="U20" i="261"/>
  <c r="AA20" i="261"/>
  <c r="X20" i="261"/>
  <c r="V20" i="261"/>
  <c r="AA12" i="261"/>
  <c r="Z12" i="261"/>
  <c r="Y12" i="261"/>
  <c r="X12" i="261"/>
  <c r="W12" i="261"/>
  <c r="V12" i="261"/>
  <c r="U12" i="261"/>
  <c r="T12" i="261"/>
  <c r="S12" i="261"/>
  <c r="R12" i="261"/>
  <c r="Q12" i="261"/>
  <c r="K36" i="260"/>
  <c r="L61" i="260"/>
  <c r="I61" i="260"/>
  <c r="F61" i="260"/>
  <c r="M61" i="260" s="1"/>
  <c r="L60" i="260"/>
  <c r="I60" i="260"/>
  <c r="F60" i="260"/>
  <c r="M60" i="260" s="1"/>
  <c r="L59" i="260"/>
  <c r="I59" i="260"/>
  <c r="F59" i="260"/>
  <c r="L58" i="260"/>
  <c r="F58" i="260" s="1"/>
  <c r="I58" i="260"/>
  <c r="L57" i="260"/>
  <c r="F57" i="260" s="1"/>
  <c r="I57" i="260"/>
  <c r="L56" i="260"/>
  <c r="I56" i="260"/>
  <c r="F56" i="260"/>
  <c r="M56" i="260" s="1"/>
  <c r="L55" i="260"/>
  <c r="F55" i="260" s="1"/>
  <c r="I55" i="260"/>
  <c r="L54" i="260"/>
  <c r="F54" i="260" s="1"/>
  <c r="M54" i="260" s="1"/>
  <c r="I54" i="260"/>
  <c r="L53" i="260"/>
  <c r="I53" i="260"/>
  <c r="F53" i="260"/>
  <c r="L52" i="260"/>
  <c r="I52" i="260"/>
  <c r="F52" i="260"/>
  <c r="M52" i="260" s="1"/>
  <c r="J45" i="260"/>
  <c r="K45" i="260" s="1"/>
  <c r="G45" i="260"/>
  <c r="F45" i="260"/>
  <c r="J44" i="260"/>
  <c r="K44" i="260" s="1"/>
  <c r="G44" i="260"/>
  <c r="F44" i="260"/>
  <c r="J43" i="260"/>
  <c r="K43" i="260" s="1"/>
  <c r="G43" i="260"/>
  <c r="F43" i="260"/>
  <c r="Q42" i="260"/>
  <c r="J42" i="260"/>
  <c r="K42" i="260" s="1"/>
  <c r="G42" i="260"/>
  <c r="F42" i="260"/>
  <c r="Q41" i="260"/>
  <c r="J41" i="260"/>
  <c r="K41" i="260" s="1"/>
  <c r="G41" i="260"/>
  <c r="F41" i="260"/>
  <c r="Q40" i="260"/>
  <c r="J40" i="260"/>
  <c r="K40" i="260" s="1"/>
  <c r="G40" i="260"/>
  <c r="F40" i="260"/>
  <c r="Q39" i="260"/>
  <c r="J39" i="260"/>
  <c r="K39" i="260" s="1"/>
  <c r="G39" i="260"/>
  <c r="F39" i="260"/>
  <c r="Q38" i="260"/>
  <c r="J38" i="260"/>
  <c r="K38" i="260" s="1"/>
  <c r="G38" i="260"/>
  <c r="F38" i="260"/>
  <c r="J37" i="260"/>
  <c r="K37" i="260" s="1"/>
  <c r="G37" i="260"/>
  <c r="F37" i="260"/>
  <c r="J36" i="260"/>
  <c r="G36" i="260"/>
  <c r="F36" i="260"/>
  <c r="AA32" i="260"/>
  <c r="Z32" i="260"/>
  <c r="Y32" i="260"/>
  <c r="X32" i="260"/>
  <c r="W32" i="260"/>
  <c r="V32" i="260"/>
  <c r="U32" i="260"/>
  <c r="T32" i="260"/>
  <c r="AA31" i="260"/>
  <c r="Z31" i="260"/>
  <c r="Y31" i="260"/>
  <c r="X31" i="260"/>
  <c r="W31" i="260"/>
  <c r="V31" i="260"/>
  <c r="U31" i="260"/>
  <c r="T31" i="260"/>
  <c r="Q47" i="260" s="1"/>
  <c r="AA28" i="260"/>
  <c r="AA27" i="260" s="1"/>
  <c r="Z28" i="260"/>
  <c r="Z27" i="260" s="1"/>
  <c r="Y28" i="260"/>
  <c r="Y27" i="260" s="1"/>
  <c r="X28" i="260"/>
  <c r="X27" i="260" s="1"/>
  <c r="V28" i="260"/>
  <c r="V27" i="260" s="1"/>
  <c r="U28" i="260"/>
  <c r="T28" i="260"/>
  <c r="W27" i="260"/>
  <c r="U27" i="260"/>
  <c r="T27" i="260"/>
  <c r="AA25" i="260"/>
  <c r="Z25" i="260"/>
  <c r="Y25" i="260"/>
  <c r="X25" i="260"/>
  <c r="W25" i="260"/>
  <c r="V25" i="260"/>
  <c r="U25" i="260"/>
  <c r="T25" i="260"/>
  <c r="AA24" i="260"/>
  <c r="Z24" i="260"/>
  <c r="Y24" i="260"/>
  <c r="X24" i="260"/>
  <c r="W24" i="260"/>
  <c r="V24" i="260"/>
  <c r="U24" i="260"/>
  <c r="T24" i="260"/>
  <c r="AA21" i="260"/>
  <c r="Z21" i="260"/>
  <c r="X21" i="260"/>
  <c r="W21" i="260"/>
  <c r="V21" i="260"/>
  <c r="U21" i="260"/>
  <c r="T21" i="260"/>
  <c r="T20" i="260" s="1"/>
  <c r="AA20" i="260"/>
  <c r="Z20" i="260"/>
  <c r="Y20" i="260"/>
  <c r="X20" i="260"/>
  <c r="W20" i="260"/>
  <c r="V20" i="260"/>
  <c r="U20" i="260"/>
  <c r="AA16" i="260"/>
  <c r="Z16" i="260"/>
  <c r="Y16" i="260"/>
  <c r="V16" i="260"/>
  <c r="U16" i="260"/>
  <c r="AA15" i="260"/>
  <c r="Z15" i="260"/>
  <c r="Y15" i="260"/>
  <c r="X15" i="260"/>
  <c r="W15" i="260"/>
  <c r="V15" i="260"/>
  <c r="U15" i="260"/>
  <c r="T15" i="260"/>
  <c r="AA12" i="260"/>
  <c r="Z12" i="260"/>
  <c r="Y12" i="260"/>
  <c r="X12" i="260"/>
  <c r="W12" i="260"/>
  <c r="V12" i="260"/>
  <c r="Q45" i="260" s="1"/>
  <c r="U12" i="260"/>
  <c r="T12" i="260"/>
  <c r="S12" i="260"/>
  <c r="R12" i="260"/>
  <c r="Q12" i="260"/>
  <c r="Z24" i="259"/>
  <c r="Y24" i="259"/>
  <c r="X24" i="259"/>
  <c r="W24" i="259"/>
  <c r="V24" i="259"/>
  <c r="T24" i="259"/>
  <c r="L61" i="259"/>
  <c r="I61" i="259"/>
  <c r="F61" i="259"/>
  <c r="M61" i="259" s="1"/>
  <c r="L60" i="259"/>
  <c r="I60" i="259"/>
  <c r="F60" i="259"/>
  <c r="L59" i="259"/>
  <c r="I59" i="259"/>
  <c r="F59" i="259"/>
  <c r="L58" i="259"/>
  <c r="F58" i="259" s="1"/>
  <c r="I58" i="259"/>
  <c r="L57" i="259"/>
  <c r="I57" i="259"/>
  <c r="F57" i="259"/>
  <c r="M57" i="259" s="1"/>
  <c r="L56" i="259"/>
  <c r="F56" i="259" s="1"/>
  <c r="I56" i="259"/>
  <c r="L55" i="259"/>
  <c r="F55" i="259" s="1"/>
  <c r="I55" i="259"/>
  <c r="L54" i="259"/>
  <c r="F54" i="259" s="1"/>
  <c r="M54" i="259" s="1"/>
  <c r="I54" i="259"/>
  <c r="L53" i="259"/>
  <c r="F53" i="259" s="1"/>
  <c r="M53" i="259" s="1"/>
  <c r="I53" i="259"/>
  <c r="L52" i="259"/>
  <c r="I52" i="259"/>
  <c r="F52" i="259"/>
  <c r="J45" i="259"/>
  <c r="K45" i="259" s="1"/>
  <c r="G45" i="259"/>
  <c r="F45" i="259"/>
  <c r="J44" i="259"/>
  <c r="K44" i="259" s="1"/>
  <c r="G44" i="259"/>
  <c r="F44" i="259"/>
  <c r="J43" i="259"/>
  <c r="K43" i="259" s="1"/>
  <c r="G43" i="259"/>
  <c r="F43" i="259"/>
  <c r="Q42" i="259"/>
  <c r="J42" i="259"/>
  <c r="K42" i="259" s="1"/>
  <c r="G42" i="259"/>
  <c r="F42" i="259"/>
  <c r="Q41" i="259"/>
  <c r="J41" i="259"/>
  <c r="K41" i="259" s="1"/>
  <c r="G41" i="259"/>
  <c r="F41" i="259"/>
  <c r="Q40" i="259"/>
  <c r="J40" i="259"/>
  <c r="K40" i="259" s="1"/>
  <c r="G40" i="259"/>
  <c r="F40" i="259"/>
  <c r="Q39" i="259"/>
  <c r="K39" i="259"/>
  <c r="J39" i="259"/>
  <c r="G39" i="259"/>
  <c r="F39" i="259"/>
  <c r="Q38" i="259"/>
  <c r="J38" i="259"/>
  <c r="K38" i="259" s="1"/>
  <c r="G38" i="259"/>
  <c r="F38" i="259"/>
  <c r="J37" i="259"/>
  <c r="K37" i="259" s="1"/>
  <c r="G37" i="259"/>
  <c r="F37" i="259"/>
  <c r="J36" i="259"/>
  <c r="K36" i="259" s="1"/>
  <c r="G36" i="259"/>
  <c r="F36" i="259"/>
  <c r="AA32" i="259"/>
  <c r="Z32" i="259"/>
  <c r="Y32" i="259"/>
  <c r="X32" i="259"/>
  <c r="W32" i="259"/>
  <c r="V32" i="259"/>
  <c r="U32" i="259"/>
  <c r="T32" i="259"/>
  <c r="AA31" i="259"/>
  <c r="Z31" i="259"/>
  <c r="Y31" i="259"/>
  <c r="W31" i="259"/>
  <c r="V31" i="259"/>
  <c r="U31" i="259"/>
  <c r="T31" i="259"/>
  <c r="AA27" i="259"/>
  <c r="Z27" i="259"/>
  <c r="Y27" i="259"/>
  <c r="X27" i="259"/>
  <c r="W27" i="259"/>
  <c r="V27" i="259"/>
  <c r="U27" i="259"/>
  <c r="T27" i="259"/>
  <c r="AA25" i="259"/>
  <c r="Z25" i="259"/>
  <c r="X25" i="259"/>
  <c r="W25" i="259"/>
  <c r="V25" i="259"/>
  <c r="U25" i="259"/>
  <c r="AA24" i="259"/>
  <c r="U24" i="259"/>
  <c r="AA20" i="259"/>
  <c r="Z20" i="259"/>
  <c r="Y20" i="259"/>
  <c r="X20" i="259"/>
  <c r="W20" i="259"/>
  <c r="V20" i="259"/>
  <c r="U20" i="259"/>
  <c r="T20" i="259"/>
  <c r="AA15" i="259"/>
  <c r="Z15" i="259"/>
  <c r="Y15" i="259"/>
  <c r="X15" i="259"/>
  <c r="W15" i="259"/>
  <c r="V15" i="259"/>
  <c r="U15" i="259"/>
  <c r="T15" i="259"/>
  <c r="AA12" i="259"/>
  <c r="Z12" i="259"/>
  <c r="Y12" i="259"/>
  <c r="X12" i="259"/>
  <c r="W12" i="259"/>
  <c r="V12" i="259"/>
  <c r="U12" i="259"/>
  <c r="T12" i="259"/>
  <c r="S12" i="259"/>
  <c r="R12" i="259"/>
  <c r="Q12" i="259"/>
  <c r="Q45" i="258"/>
  <c r="L61" i="258"/>
  <c r="I61" i="258"/>
  <c r="F61" i="258"/>
  <c r="M61" i="258" s="1"/>
  <c r="L60" i="258"/>
  <c r="I60" i="258"/>
  <c r="F60" i="258"/>
  <c r="M60" i="258" s="1"/>
  <c r="L59" i="258"/>
  <c r="F59" i="258" s="1"/>
  <c r="I59" i="258"/>
  <c r="L58" i="258"/>
  <c r="F58" i="258" s="1"/>
  <c r="I58" i="258"/>
  <c r="L57" i="258"/>
  <c r="F57" i="258" s="1"/>
  <c r="M57" i="258" s="1"/>
  <c r="I57" i="258"/>
  <c r="L56" i="258"/>
  <c r="I56" i="258"/>
  <c r="F56" i="258"/>
  <c r="M56" i="258" s="1"/>
  <c r="L55" i="258"/>
  <c r="F55" i="258" s="1"/>
  <c r="I55" i="258"/>
  <c r="L54" i="258"/>
  <c r="F54" i="258" s="1"/>
  <c r="M54" i="258" s="1"/>
  <c r="I54" i="258"/>
  <c r="L53" i="258"/>
  <c r="I53" i="258"/>
  <c r="F53" i="258"/>
  <c r="M53" i="258" s="1"/>
  <c r="L52" i="258"/>
  <c r="I52" i="258"/>
  <c r="F52" i="258"/>
  <c r="M52" i="258" s="1"/>
  <c r="J45" i="258"/>
  <c r="K45" i="258" s="1"/>
  <c r="G45" i="258"/>
  <c r="F45" i="258"/>
  <c r="J44" i="258"/>
  <c r="K44" i="258" s="1"/>
  <c r="G44" i="258"/>
  <c r="F44" i="258"/>
  <c r="J43" i="258"/>
  <c r="K43" i="258" s="1"/>
  <c r="G43" i="258"/>
  <c r="F43" i="258"/>
  <c r="Q42" i="258"/>
  <c r="J42" i="258"/>
  <c r="K42" i="258" s="1"/>
  <c r="G42" i="258"/>
  <c r="F42" i="258"/>
  <c r="Q41" i="258"/>
  <c r="J41" i="258"/>
  <c r="K41" i="258" s="1"/>
  <c r="G41" i="258"/>
  <c r="F41" i="258"/>
  <c r="Q40" i="258"/>
  <c r="J40" i="258"/>
  <c r="K40" i="258" s="1"/>
  <c r="G40" i="258"/>
  <c r="F40" i="258"/>
  <c r="Q39" i="258"/>
  <c r="K39" i="258"/>
  <c r="J39" i="258"/>
  <c r="G39" i="258"/>
  <c r="F39" i="258"/>
  <c r="Q38" i="258"/>
  <c r="J38" i="258"/>
  <c r="K38" i="258" s="1"/>
  <c r="G38" i="258"/>
  <c r="F38" i="258"/>
  <c r="J37" i="258"/>
  <c r="K37" i="258" s="1"/>
  <c r="G37" i="258"/>
  <c r="F37" i="258"/>
  <c r="J36" i="258"/>
  <c r="K36" i="258" s="1"/>
  <c r="G36" i="258"/>
  <c r="F36" i="258"/>
  <c r="AC32" i="258"/>
  <c r="AB32" i="258"/>
  <c r="AA32" i="258"/>
  <c r="Z32" i="258"/>
  <c r="Y32" i="258"/>
  <c r="X32" i="258"/>
  <c r="W32" i="258"/>
  <c r="V32" i="258"/>
  <c r="U32" i="258"/>
  <c r="T32" i="258"/>
  <c r="AC31" i="258"/>
  <c r="AB31" i="258"/>
  <c r="AA31" i="258"/>
  <c r="Z31" i="258"/>
  <c r="Y31" i="258"/>
  <c r="X31" i="258"/>
  <c r="W31" i="258"/>
  <c r="V31" i="258"/>
  <c r="U31" i="258"/>
  <c r="T31" i="258"/>
  <c r="AC28" i="258"/>
  <c r="AC27" i="258" s="1"/>
  <c r="AB28" i="258"/>
  <c r="AA28" i="258"/>
  <c r="Z28" i="258"/>
  <c r="Y28" i="258"/>
  <c r="X28" i="258"/>
  <c r="V28" i="258"/>
  <c r="U28" i="258"/>
  <c r="T28" i="258"/>
  <c r="AB27" i="258"/>
  <c r="AA27" i="258"/>
  <c r="Z27" i="258"/>
  <c r="Y27" i="258"/>
  <c r="X27" i="258"/>
  <c r="W27" i="258"/>
  <c r="V27" i="258"/>
  <c r="U27" i="258"/>
  <c r="T27" i="258"/>
  <c r="AC25" i="258"/>
  <c r="AB25" i="258"/>
  <c r="AA25" i="258"/>
  <c r="Z25" i="258"/>
  <c r="Y25" i="258"/>
  <c r="X25" i="258"/>
  <c r="W25" i="258"/>
  <c r="V25" i="258"/>
  <c r="U25" i="258"/>
  <c r="T25" i="258"/>
  <c r="AC24" i="258"/>
  <c r="AB24" i="258"/>
  <c r="AA24" i="258"/>
  <c r="Z24" i="258"/>
  <c r="Y24" i="258"/>
  <c r="X24" i="258"/>
  <c r="W24" i="258"/>
  <c r="V24" i="258"/>
  <c r="U24" i="258"/>
  <c r="T24" i="258"/>
  <c r="Q46" i="258" s="1"/>
  <c r="AC21" i="258"/>
  <c r="AC20" i="258" s="1"/>
  <c r="AA21" i="258"/>
  <c r="AA20" i="258" s="1"/>
  <c r="Z21" i="258"/>
  <c r="X21" i="258"/>
  <c r="W21" i="258"/>
  <c r="V21" i="258"/>
  <c r="U21" i="258"/>
  <c r="T21" i="258"/>
  <c r="AB20" i="258"/>
  <c r="Z20" i="258"/>
  <c r="Y20" i="258"/>
  <c r="X20" i="258"/>
  <c r="W20" i="258"/>
  <c r="V20" i="258"/>
  <c r="U20" i="258"/>
  <c r="T20" i="258"/>
  <c r="AB16" i="258"/>
  <c r="AB15" i="258" s="1"/>
  <c r="AA16" i="258"/>
  <c r="AA15" i="258" s="1"/>
  <c r="Z16" i="258"/>
  <c r="Z15" i="258" s="1"/>
  <c r="Y16" i="258"/>
  <c r="Y15" i="258" s="1"/>
  <c r="V16" i="258"/>
  <c r="U16" i="258"/>
  <c r="AC15" i="258"/>
  <c r="X15" i="258"/>
  <c r="W15" i="258"/>
  <c r="V15" i="258"/>
  <c r="U15" i="258"/>
  <c r="T15" i="258"/>
  <c r="AC12" i="258"/>
  <c r="AB12" i="258"/>
  <c r="AA12" i="258"/>
  <c r="Z12" i="258"/>
  <c r="Y12" i="258"/>
  <c r="X12" i="258"/>
  <c r="W12" i="258"/>
  <c r="V12" i="258"/>
  <c r="U12" i="258"/>
  <c r="T12" i="258"/>
  <c r="S12" i="258"/>
  <c r="R12" i="258"/>
  <c r="Q12" i="258"/>
  <c r="T31" i="255"/>
  <c r="AC31" i="255"/>
  <c r="AB31" i="255"/>
  <c r="AA31" i="255"/>
  <c r="Z31" i="255"/>
  <c r="Y31" i="255"/>
  <c r="X31" i="255"/>
  <c r="W31" i="255"/>
  <c r="V31" i="255"/>
  <c r="U31" i="255"/>
  <c r="AC32" i="255"/>
  <c r="T24" i="255"/>
  <c r="AC24" i="255"/>
  <c r="AB24" i="255"/>
  <c r="AA24" i="255"/>
  <c r="Z24" i="255"/>
  <c r="Y24" i="255"/>
  <c r="X24" i="255"/>
  <c r="W24" i="255"/>
  <c r="V24" i="255"/>
  <c r="U24" i="255"/>
  <c r="T25" i="255"/>
  <c r="AD114" i="256"/>
  <c r="AD113" i="256"/>
  <c r="AE112" i="256"/>
  <c r="AD112" i="256"/>
  <c r="AD111" i="256"/>
  <c r="AD110" i="256"/>
  <c r="AD109" i="256"/>
  <c r="AD108" i="256"/>
  <c r="AD107" i="256"/>
  <c r="AD106" i="256"/>
  <c r="AD105" i="256"/>
  <c r="AE114" i="256" s="1"/>
  <c r="AV102" i="256"/>
  <c r="AV101" i="256"/>
  <c r="AV100" i="256"/>
  <c r="AV98" i="256"/>
  <c r="BA96" i="256"/>
  <c r="BA93" i="256"/>
  <c r="BB92" i="256"/>
  <c r="BA92" i="256"/>
  <c r="BA91" i="256"/>
  <c r="BA90" i="256"/>
  <c r="BA88" i="256"/>
  <c r="Z88" i="256" a="1"/>
  <c r="Z88" i="256" s="1"/>
  <c r="AE88" i="256" s="1" a="1"/>
  <c r="AE88" i="256" s="1"/>
  <c r="BA87" i="256"/>
  <c r="BA85" i="256"/>
  <c r="BA84" i="256"/>
  <c r="BA86" i="256" s="1"/>
  <c r="Y83" i="256"/>
  <c r="Y81" i="256"/>
  <c r="AH74" i="256"/>
  <c r="AG74" i="256"/>
  <c r="AF74" i="256"/>
  <c r="AE74" i="256"/>
  <c r="AD74" i="256"/>
  <c r="AC74" i="256"/>
  <c r="AB74" i="256"/>
  <c r="AA74" i="256"/>
  <c r="Z74" i="256"/>
  <c r="Y74" i="256"/>
  <c r="AH72" i="256"/>
  <c r="AG72" i="256"/>
  <c r="AF72" i="256"/>
  <c r="AE72" i="256"/>
  <c r="AD72" i="256"/>
  <c r="AC72" i="256"/>
  <c r="AB72" i="256"/>
  <c r="AA72" i="256"/>
  <c r="Z72" i="256"/>
  <c r="Y72" i="256"/>
  <c r="Y88" i="256" s="1" a="1"/>
  <c r="AH68" i="256"/>
  <c r="AG68" i="256"/>
  <c r="Y82" i="256" s="1"/>
  <c r="AF68" i="256"/>
  <c r="AE68" i="256"/>
  <c r="AD68" i="256"/>
  <c r="AC68" i="256"/>
  <c r="AB68" i="256"/>
  <c r="AA68" i="256"/>
  <c r="Z68" i="256"/>
  <c r="Y68" i="256"/>
  <c r="AV66" i="256"/>
  <c r="AV66" i="256" a="1"/>
  <c r="AU66" i="256" a="1"/>
  <c r="AU66" i="256" s="1"/>
  <c r="AT66" i="256" a="1"/>
  <c r="AX72" i="256" s="1"/>
  <c r="AW65" i="256"/>
  <c r="AH65" i="256"/>
  <c r="AG65" i="256"/>
  <c r="AF65" i="256"/>
  <c r="AE65" i="256"/>
  <c r="AD65" i="256"/>
  <c r="AC65" i="256"/>
  <c r="AB65" i="256"/>
  <c r="AA65" i="256"/>
  <c r="Z65" i="256"/>
  <c r="Y65" i="256"/>
  <c r="X88" i="256" s="1" a="1"/>
  <c r="AW64" i="256"/>
  <c r="H64" i="256"/>
  <c r="AW63" i="256"/>
  <c r="AH61" i="256"/>
  <c r="AG61" i="256"/>
  <c r="AF61" i="256"/>
  <c r="AE61" i="256"/>
  <c r="AD61" i="256"/>
  <c r="AC61" i="256"/>
  <c r="AB61" i="256"/>
  <c r="AA61" i="256"/>
  <c r="Z61" i="256"/>
  <c r="Y61" i="256"/>
  <c r="R54" i="256"/>
  <c r="Q54" i="256"/>
  <c r="R53" i="256"/>
  <c r="Q53" i="256"/>
  <c r="AH52" i="256"/>
  <c r="AG52" i="256"/>
  <c r="AF52" i="256"/>
  <c r="AE52" i="256"/>
  <c r="AD52" i="256"/>
  <c r="AC52" i="256"/>
  <c r="AB52" i="256"/>
  <c r="AA52" i="256"/>
  <c r="Z52" i="256"/>
  <c r="Y52" i="256"/>
  <c r="Y55" i="256" s="1"/>
  <c r="R52" i="256"/>
  <c r="Q52" i="256"/>
  <c r="R51" i="256"/>
  <c r="Q51" i="256"/>
  <c r="L51" i="256"/>
  <c r="K51" i="256"/>
  <c r="H51" i="256"/>
  <c r="E51" i="256"/>
  <c r="R50" i="256"/>
  <c r="Q50" i="256"/>
  <c r="K50" i="256"/>
  <c r="L50" i="256" s="1"/>
  <c r="H50" i="256"/>
  <c r="E50" i="256"/>
  <c r="R49" i="256"/>
  <c r="Q49" i="256"/>
  <c r="K49" i="256"/>
  <c r="L49" i="256" s="1"/>
  <c r="H49" i="256"/>
  <c r="R48" i="256"/>
  <c r="Q48" i="256"/>
  <c r="K48" i="256"/>
  <c r="L48" i="256" s="1"/>
  <c r="H48" i="256"/>
  <c r="E48" i="256"/>
  <c r="F48" i="256" s="1"/>
  <c r="R47" i="256"/>
  <c r="Q47" i="256"/>
  <c r="P47" i="256"/>
  <c r="L47" i="256"/>
  <c r="K47" i="256"/>
  <c r="E47" i="256" s="1"/>
  <c r="H47" i="256"/>
  <c r="R46" i="256"/>
  <c r="Q46" i="256"/>
  <c r="K46" i="256"/>
  <c r="L46" i="256" s="1"/>
  <c r="H46" i="256"/>
  <c r="E46" i="256"/>
  <c r="F46" i="256" s="1"/>
  <c r="R45" i="256"/>
  <c r="Q45" i="256"/>
  <c r="K45" i="256"/>
  <c r="E45" i="256" s="1"/>
  <c r="H45" i="256"/>
  <c r="R44" i="256"/>
  <c r="Q44" i="256"/>
  <c r="K44" i="256"/>
  <c r="L44" i="256" s="1"/>
  <c r="H44" i="256"/>
  <c r="E44" i="256"/>
  <c r="F44" i="256" s="1"/>
  <c r="R43" i="256"/>
  <c r="Q43" i="256"/>
  <c r="K43" i="256"/>
  <c r="E43" i="256" s="1"/>
  <c r="H43" i="256"/>
  <c r="R42" i="256"/>
  <c r="Q42" i="256"/>
  <c r="K42" i="256"/>
  <c r="L42" i="256" s="1"/>
  <c r="H42" i="256"/>
  <c r="E42" i="256"/>
  <c r="K41" i="256"/>
  <c r="L41" i="256" s="1"/>
  <c r="K40" i="256"/>
  <c r="L40" i="256" s="1"/>
  <c r="AD39" i="256"/>
  <c r="W39" i="256"/>
  <c r="L39" i="256"/>
  <c r="K39" i="256"/>
  <c r="AD38" i="256"/>
  <c r="AA38" i="256"/>
  <c r="AD37" i="256"/>
  <c r="AD36" i="256"/>
  <c r="T36" i="256"/>
  <c r="S36" i="256"/>
  <c r="K36" i="256"/>
  <c r="L36" i="256" s="1"/>
  <c r="P18" i="256" s="1"/>
  <c r="H36" i="256"/>
  <c r="E36" i="256"/>
  <c r="W35" i="256"/>
  <c r="T35" i="256"/>
  <c r="S35" i="256"/>
  <c r="W27" i="256" s="1"/>
  <c r="W29" i="256" s="1"/>
  <c r="AA39" i="256" s="1"/>
  <c r="AA37" i="256" s="1"/>
  <c r="K35" i="256"/>
  <c r="L35" i="256" s="1"/>
  <c r="P17" i="256" s="1"/>
  <c r="H35" i="256"/>
  <c r="E35" i="256"/>
  <c r="T34" i="256"/>
  <c r="S34" i="256"/>
  <c r="L34" i="256"/>
  <c r="P16" i="256" s="1"/>
  <c r="K34" i="256"/>
  <c r="H34" i="256"/>
  <c r="E34" i="256"/>
  <c r="AD33" i="256"/>
  <c r="AA33" i="256"/>
  <c r="T33" i="256"/>
  <c r="S33" i="256"/>
  <c r="K33" i="256"/>
  <c r="L33" i="256" s="1"/>
  <c r="H33" i="256"/>
  <c r="E33" i="256"/>
  <c r="AD32" i="256"/>
  <c r="AD31" i="256" s="1"/>
  <c r="AA32" i="256"/>
  <c r="AA31" i="256" s="1"/>
  <c r="T32" i="256"/>
  <c r="Z14" i="256" s="1"/>
  <c r="S32" i="256"/>
  <c r="W36" i="256" s="1"/>
  <c r="K32" i="256"/>
  <c r="L32" i="256" s="1"/>
  <c r="H32" i="256"/>
  <c r="E32" i="256"/>
  <c r="T31" i="256"/>
  <c r="Z13" i="256" s="1"/>
  <c r="S31" i="256"/>
  <c r="Y13" i="256" s="1"/>
  <c r="K31" i="256"/>
  <c r="L31" i="256" s="1"/>
  <c r="H31" i="256"/>
  <c r="E31" i="256"/>
  <c r="AD30" i="256"/>
  <c r="AA30" i="256"/>
  <c r="W30" i="256"/>
  <c r="AA36" i="256" s="1"/>
  <c r="T30" i="256"/>
  <c r="Z11" i="256" s="1"/>
  <c r="S30" i="256"/>
  <c r="Y11" i="256" s="1"/>
  <c r="L30" i="256"/>
  <c r="P12" i="256" s="1"/>
  <c r="K30" i="256"/>
  <c r="H30" i="256"/>
  <c r="E30" i="256"/>
  <c r="T29" i="256"/>
  <c r="Z10" i="256" s="1"/>
  <c r="S29" i="256"/>
  <c r="L29" i="256"/>
  <c r="K29" i="256"/>
  <c r="H29" i="256"/>
  <c r="E29" i="256"/>
  <c r="X28" i="256"/>
  <c r="W28" i="256"/>
  <c r="T28" i="256"/>
  <c r="Z15" i="256" s="1"/>
  <c r="S28" i="256"/>
  <c r="W34" i="256" s="1"/>
  <c r="K28" i="256"/>
  <c r="L28" i="256" s="1"/>
  <c r="H28" i="256"/>
  <c r="E28" i="256"/>
  <c r="AD27" i="256"/>
  <c r="AD25" i="256" s="1"/>
  <c r="AA27" i="256"/>
  <c r="T27" i="256"/>
  <c r="S27" i="256"/>
  <c r="Y9" i="256" s="1"/>
  <c r="K27" i="256"/>
  <c r="L27" i="256" s="1"/>
  <c r="H27" i="256"/>
  <c r="E27" i="256"/>
  <c r="AD26" i="256"/>
  <c r="AA26" i="256"/>
  <c r="S26" i="256"/>
  <c r="K26" i="256"/>
  <c r="L26" i="256" s="1"/>
  <c r="P8" i="256" s="1"/>
  <c r="AA25" i="256"/>
  <c r="S25" i="256"/>
  <c r="K25" i="256"/>
  <c r="L25" i="256" s="1"/>
  <c r="P7" i="256" s="1"/>
  <c r="AD24" i="256"/>
  <c r="AA24" i="256"/>
  <c r="S24" i="256"/>
  <c r="Y8" i="256" s="1"/>
  <c r="L24" i="256"/>
  <c r="P6" i="256" s="1"/>
  <c r="K24" i="256"/>
  <c r="BE21" i="256"/>
  <c r="BE19" i="256" s="1"/>
  <c r="BE20" i="256"/>
  <c r="BE18" i="256"/>
  <c r="BE15" i="256"/>
  <c r="BB15" i="256"/>
  <c r="X15" i="256"/>
  <c r="BE14" i="256"/>
  <c r="BB14" i="256"/>
  <c r="AF14" i="256"/>
  <c r="AE14" i="256"/>
  <c r="AD14" i="256"/>
  <c r="Y14" i="256"/>
  <c r="X14" i="256"/>
  <c r="BE13" i="256"/>
  <c r="BB13" i="256"/>
  <c r="AF13" i="256"/>
  <c r="AE13" i="256"/>
  <c r="AD13" i="256"/>
  <c r="X13" i="256"/>
  <c r="BE12" i="256"/>
  <c r="BB12" i="256"/>
  <c r="AF12" i="256"/>
  <c r="AE12" i="256"/>
  <c r="AD12" i="256"/>
  <c r="Z12" i="256"/>
  <c r="Y12" i="256"/>
  <c r="X12" i="256"/>
  <c r="AF11" i="256"/>
  <c r="AE11" i="256"/>
  <c r="AD11" i="256"/>
  <c r="X11" i="256"/>
  <c r="P11" i="256"/>
  <c r="T11" i="256" s="1"/>
  <c r="AN10" i="256"/>
  <c r="AF10" i="256"/>
  <c r="AE10" i="256"/>
  <c r="AD10" i="256"/>
  <c r="Y10" i="256"/>
  <c r="X10" i="256"/>
  <c r="BE9" i="256"/>
  <c r="Z9" i="256"/>
  <c r="X9" i="256"/>
  <c r="BE8" i="256"/>
  <c r="AM8" i="256"/>
  <c r="AL8" i="256"/>
  <c r="AK8" i="256"/>
  <c r="Z8" i="256"/>
  <c r="X8" i="256"/>
  <c r="BE7" i="256"/>
  <c r="AM7" i="256"/>
  <c r="AL7" i="256"/>
  <c r="AK7" i="256"/>
  <c r="BE6" i="256"/>
  <c r="AM6" i="256"/>
  <c r="AL6" i="256"/>
  <c r="AK6" i="256"/>
  <c r="AM5" i="256"/>
  <c r="AL5" i="256"/>
  <c r="AK5" i="256"/>
  <c r="Q42" i="255"/>
  <c r="Q41" i="255"/>
  <c r="Q40" i="255"/>
  <c r="Q39" i="255"/>
  <c r="Q38" i="255"/>
  <c r="AB32" i="255"/>
  <c r="AA32" i="255"/>
  <c r="Z32" i="255"/>
  <c r="Y32" i="255"/>
  <c r="X32" i="255"/>
  <c r="W32" i="255"/>
  <c r="V32" i="255"/>
  <c r="U32" i="255"/>
  <c r="T32" i="255"/>
  <c r="AC28" i="255"/>
  <c r="AC27" i="255" s="1"/>
  <c r="AB28" i="255"/>
  <c r="AB27" i="255" s="1"/>
  <c r="AA28" i="255"/>
  <c r="AA27" i="255" s="1"/>
  <c r="Z28" i="255"/>
  <c r="Z27" i="255" s="1"/>
  <c r="Y28" i="255"/>
  <c r="Y27" i="255" s="1"/>
  <c r="X28" i="255"/>
  <c r="X27" i="255" s="1"/>
  <c r="V28" i="255"/>
  <c r="V27" i="255" s="1"/>
  <c r="U28" i="255"/>
  <c r="U27" i="255" s="1"/>
  <c r="T28" i="255"/>
  <c r="T27" i="255" s="1"/>
  <c r="W27" i="255"/>
  <c r="AC25" i="255"/>
  <c r="AB25" i="255"/>
  <c r="AA25" i="255"/>
  <c r="Z25" i="255"/>
  <c r="Y25" i="255"/>
  <c r="X25" i="255"/>
  <c r="W25" i="255"/>
  <c r="V25" i="255"/>
  <c r="U25" i="255"/>
  <c r="AC21" i="255"/>
  <c r="AC20" i="255" s="1"/>
  <c r="AA21" i="255"/>
  <c r="AA20" i="255" s="1"/>
  <c r="Z21" i="255"/>
  <c r="Z20" i="255" s="1"/>
  <c r="X21" i="255"/>
  <c r="X20" i="255" s="1"/>
  <c r="W21" i="255"/>
  <c r="W20" i="255" s="1"/>
  <c r="V21" i="255"/>
  <c r="V20" i="255" s="1"/>
  <c r="U21" i="255"/>
  <c r="U20" i="255" s="1"/>
  <c r="T21" i="255"/>
  <c r="T20" i="255" s="1"/>
  <c r="AB20" i="255"/>
  <c r="Y20" i="255"/>
  <c r="AB16" i="255"/>
  <c r="AB15" i="255" s="1"/>
  <c r="AA16" i="255"/>
  <c r="AA15" i="255" s="1"/>
  <c r="Z16" i="255"/>
  <c r="Z15" i="255" s="1"/>
  <c r="Y16" i="255"/>
  <c r="Y15" i="255" s="1"/>
  <c r="V16" i="255"/>
  <c r="V15" i="255" s="1"/>
  <c r="U16" i="255"/>
  <c r="U15" i="255" s="1"/>
  <c r="AC15" i="255"/>
  <c r="X15" i="255"/>
  <c r="W15" i="255"/>
  <c r="T15" i="255"/>
  <c r="AC12" i="255"/>
  <c r="AB12" i="255"/>
  <c r="AA12" i="255"/>
  <c r="Z12" i="255"/>
  <c r="Y12" i="255"/>
  <c r="X12" i="255"/>
  <c r="W12" i="255"/>
  <c r="V12" i="255"/>
  <c r="U12" i="255"/>
  <c r="T12" i="255"/>
  <c r="S12" i="255"/>
  <c r="R12" i="255"/>
  <c r="Q12" i="255"/>
  <c r="L61" i="255"/>
  <c r="F61" i="255" s="1"/>
  <c r="I61" i="255"/>
  <c r="L60" i="255"/>
  <c r="F60" i="255" s="1"/>
  <c r="I60" i="255"/>
  <c r="L59" i="255"/>
  <c r="F59" i="255" s="1"/>
  <c r="M59" i="255" s="1"/>
  <c r="I59" i="255"/>
  <c r="L58" i="255"/>
  <c r="F58" i="255" s="1"/>
  <c r="I58" i="255"/>
  <c r="L57" i="255"/>
  <c r="F57" i="255" s="1"/>
  <c r="M57" i="255" s="1"/>
  <c r="I57" i="255"/>
  <c r="L56" i="255"/>
  <c r="F56" i="255" s="1"/>
  <c r="I56" i="255"/>
  <c r="L55" i="255"/>
  <c r="F55" i="255" s="1"/>
  <c r="M55" i="255" s="1"/>
  <c r="I55" i="255"/>
  <c r="L54" i="255"/>
  <c r="F54" i="255" s="1"/>
  <c r="I54" i="255"/>
  <c r="L53" i="255"/>
  <c r="F53" i="255" s="1"/>
  <c r="M53" i="255" s="1"/>
  <c r="I53" i="255"/>
  <c r="L52" i="255"/>
  <c r="I52" i="255"/>
  <c r="J45" i="255"/>
  <c r="K45" i="255" s="1"/>
  <c r="G45" i="255"/>
  <c r="F45" i="255"/>
  <c r="J44" i="255"/>
  <c r="K44" i="255" s="1"/>
  <c r="G44" i="255"/>
  <c r="F44" i="255"/>
  <c r="J43" i="255"/>
  <c r="K43" i="255" s="1"/>
  <c r="G43" i="255"/>
  <c r="F43" i="255"/>
  <c r="J42" i="255"/>
  <c r="K42" i="255" s="1"/>
  <c r="G42" i="255"/>
  <c r="F42" i="255"/>
  <c r="J41" i="255"/>
  <c r="K41" i="255" s="1"/>
  <c r="G41" i="255"/>
  <c r="F41" i="255"/>
  <c r="J40" i="255"/>
  <c r="K40" i="255" s="1"/>
  <c r="G40" i="255"/>
  <c r="F40" i="255"/>
  <c r="J39" i="255"/>
  <c r="K39" i="255" s="1"/>
  <c r="G39" i="255"/>
  <c r="F39" i="255"/>
  <c r="J38" i="255"/>
  <c r="K38" i="255" s="1"/>
  <c r="G38" i="255"/>
  <c r="F38" i="255"/>
  <c r="J37" i="255"/>
  <c r="K37" i="255" s="1"/>
  <c r="G37" i="255"/>
  <c r="F37" i="255"/>
  <c r="J36" i="255"/>
  <c r="K36" i="255" s="1"/>
  <c r="G36" i="255"/>
  <c r="F36" i="255"/>
  <c r="K27" i="230"/>
  <c r="E17" i="253"/>
  <c r="AA35" i="259" l="1"/>
  <c r="AA38" i="259" s="1"/>
  <c r="AB36" i="259" s="1"/>
  <c r="AA36" i="259"/>
  <c r="U36" i="261"/>
  <c r="X36" i="261"/>
  <c r="AA36" i="261"/>
  <c r="Y36" i="261"/>
  <c r="F54" i="261"/>
  <c r="V36" i="259"/>
  <c r="Y36" i="259"/>
  <c r="U36" i="259"/>
  <c r="X36" i="259"/>
  <c r="W36" i="259"/>
  <c r="Z36" i="259"/>
  <c r="F56" i="261"/>
  <c r="G56" i="261" s="1"/>
  <c r="H56" i="261" s="1"/>
  <c r="F59" i="261"/>
  <c r="S41" i="261"/>
  <c r="R40" i="261"/>
  <c r="F57" i="261"/>
  <c r="M57" i="261" s="1"/>
  <c r="V27" i="261"/>
  <c r="Y27" i="261"/>
  <c r="T20" i="261"/>
  <c r="K42" i="261"/>
  <c r="Z17" i="261" s="1"/>
  <c r="Z24" i="261" s="1"/>
  <c r="K36" i="261"/>
  <c r="T17" i="261" s="1"/>
  <c r="W31" i="261"/>
  <c r="W24" i="261"/>
  <c r="W15" i="261"/>
  <c r="V31" i="261"/>
  <c r="V24" i="261"/>
  <c r="V15" i="261"/>
  <c r="T15" i="261"/>
  <c r="T24" i="261"/>
  <c r="T31" i="261"/>
  <c r="X31" i="261"/>
  <c r="F36" i="261"/>
  <c r="G52" i="261" s="1"/>
  <c r="H52" i="261" s="1"/>
  <c r="G36" i="261"/>
  <c r="K43" i="261"/>
  <c r="AA17" i="261" s="1"/>
  <c r="G43" i="261"/>
  <c r="K37" i="261"/>
  <c r="U17" i="261" s="1"/>
  <c r="G42" i="261"/>
  <c r="Y15" i="261"/>
  <c r="G41" i="261"/>
  <c r="G40" i="261"/>
  <c r="K40" i="261"/>
  <c r="X17" i="261" s="1"/>
  <c r="K41" i="261"/>
  <c r="Y17" i="261" s="1"/>
  <c r="F41" i="261"/>
  <c r="F37" i="261"/>
  <c r="F42" i="261"/>
  <c r="G58" i="261" s="1"/>
  <c r="H58" i="261" s="1"/>
  <c r="G53" i="261"/>
  <c r="H53" i="261" s="1"/>
  <c r="F38" i="261"/>
  <c r="F43" i="261"/>
  <c r="Z27" i="261"/>
  <c r="X27" i="261"/>
  <c r="G55" i="261"/>
  <c r="H55" i="261" s="1"/>
  <c r="M55" i="261"/>
  <c r="G54" i="261"/>
  <c r="H54" i="261" s="1"/>
  <c r="M54" i="261"/>
  <c r="M56" i="261"/>
  <c r="M59" i="261"/>
  <c r="R39" i="261"/>
  <c r="S39" i="261"/>
  <c r="R42" i="261"/>
  <c r="S42" i="261"/>
  <c r="S40" i="261"/>
  <c r="M53" i="261"/>
  <c r="G60" i="261"/>
  <c r="H60" i="261" s="1"/>
  <c r="R38" i="261"/>
  <c r="G61" i="261"/>
  <c r="H61" i="261" s="1"/>
  <c r="S38" i="261"/>
  <c r="R41" i="261"/>
  <c r="R41" i="260"/>
  <c r="S41" i="260"/>
  <c r="S42" i="260"/>
  <c r="Q46" i="260"/>
  <c r="Q33" i="260"/>
  <c r="G58" i="260"/>
  <c r="H58" i="260" s="1"/>
  <c r="M58" i="260"/>
  <c r="G55" i="260"/>
  <c r="M55" i="260"/>
  <c r="H55" i="260"/>
  <c r="M57" i="260"/>
  <c r="G57" i="260"/>
  <c r="H57" i="260" s="1"/>
  <c r="H59" i="260"/>
  <c r="S40" i="260"/>
  <c r="G52" i="260"/>
  <c r="H52" i="260" s="1"/>
  <c r="S39" i="260"/>
  <c r="G56" i="260"/>
  <c r="H56" i="260"/>
  <c r="G53" i="260"/>
  <c r="H53" i="260" s="1"/>
  <c r="M59" i="260"/>
  <c r="G60" i="260"/>
  <c r="H60" i="260" s="1"/>
  <c r="M53" i="260"/>
  <c r="G54" i="260"/>
  <c r="H54" i="260" s="1"/>
  <c r="R39" i="260"/>
  <c r="R42" i="260"/>
  <c r="G59" i="260"/>
  <c r="R40" i="260"/>
  <c r="R38" i="260"/>
  <c r="G61" i="260"/>
  <c r="S38" i="260"/>
  <c r="H61" i="260"/>
  <c r="S40" i="259"/>
  <c r="R42" i="259"/>
  <c r="R41" i="259"/>
  <c r="S41" i="259"/>
  <c r="Q47" i="259"/>
  <c r="Q45" i="259"/>
  <c r="Q46" i="259"/>
  <c r="X31" i="259"/>
  <c r="G59" i="259"/>
  <c r="H59" i="259" s="1"/>
  <c r="G60" i="259"/>
  <c r="G55" i="259"/>
  <c r="M55" i="259"/>
  <c r="H55" i="259"/>
  <c r="G58" i="259"/>
  <c r="H58" i="259" s="1"/>
  <c r="M58" i="259"/>
  <c r="Q33" i="259"/>
  <c r="G52" i="259"/>
  <c r="H52" i="259" s="1"/>
  <c r="M52" i="259"/>
  <c r="G53" i="259"/>
  <c r="H53" i="259"/>
  <c r="R40" i="259"/>
  <c r="G57" i="259"/>
  <c r="H57" i="259" s="1"/>
  <c r="G61" i="259"/>
  <c r="H61" i="259" s="1"/>
  <c r="R39" i="259"/>
  <c r="S39" i="259"/>
  <c r="S42" i="259"/>
  <c r="M59" i="259"/>
  <c r="M56" i="259"/>
  <c r="H60" i="259"/>
  <c r="G54" i="259"/>
  <c r="M60" i="259"/>
  <c r="H54" i="259"/>
  <c r="R38" i="259"/>
  <c r="S38" i="259"/>
  <c r="G56" i="259"/>
  <c r="H56" i="259" s="1"/>
  <c r="Q47" i="255"/>
  <c r="S41" i="258"/>
  <c r="R41" i="258"/>
  <c r="S40" i="258"/>
  <c r="R42" i="258"/>
  <c r="Q47" i="258"/>
  <c r="G55" i="258"/>
  <c r="H55" i="258"/>
  <c r="M55" i="258"/>
  <c r="G58" i="258"/>
  <c r="H58" i="258" s="1"/>
  <c r="M58" i="258"/>
  <c r="M59" i="258"/>
  <c r="G59" i="258"/>
  <c r="H59" i="258"/>
  <c r="Q33" i="258"/>
  <c r="R39" i="258"/>
  <c r="G52" i="258"/>
  <c r="H52" i="258" s="1"/>
  <c r="S39" i="258"/>
  <c r="S42" i="258"/>
  <c r="G53" i="258"/>
  <c r="H53" i="258" s="1"/>
  <c r="R40" i="258"/>
  <c r="G60" i="258"/>
  <c r="H60" i="258" s="1"/>
  <c r="G57" i="258"/>
  <c r="H57" i="258"/>
  <c r="G61" i="258"/>
  <c r="H61" i="258" s="1"/>
  <c r="S38" i="258"/>
  <c r="G56" i="258"/>
  <c r="H56" i="258" s="1"/>
  <c r="G54" i="258"/>
  <c r="H54" i="258" s="1"/>
  <c r="R38" i="258"/>
  <c r="Q46" i="255"/>
  <c r="F52" i="255"/>
  <c r="M52" i="255" s="1"/>
  <c r="R42" i="255"/>
  <c r="Q45" i="255"/>
  <c r="G54" i="255"/>
  <c r="H54" i="255" s="1"/>
  <c r="S42" i="255"/>
  <c r="S40" i="255"/>
  <c r="AA40" i="256"/>
  <c r="S7" i="256"/>
  <c r="P43" i="256"/>
  <c r="F45" i="256"/>
  <c r="G45" i="256"/>
  <c r="D65" i="256"/>
  <c r="P13" i="256"/>
  <c r="G51" i="256"/>
  <c r="P42" i="256"/>
  <c r="S6" i="256"/>
  <c r="AC88" i="256" a="1"/>
  <c r="AC88" i="256" s="1"/>
  <c r="X88" i="256"/>
  <c r="G42" i="256"/>
  <c r="P44" i="256"/>
  <c r="S8" i="256"/>
  <c r="P53" i="256"/>
  <c r="S17" i="256"/>
  <c r="T17" i="256"/>
  <c r="Y84" i="256"/>
  <c r="F47" i="256"/>
  <c r="G47" i="256" s="1"/>
  <c r="T18" i="256"/>
  <c r="S18" i="256"/>
  <c r="P54" i="256"/>
  <c r="S12" i="256"/>
  <c r="T12" i="256"/>
  <c r="P48" i="256"/>
  <c r="P10" i="256"/>
  <c r="C64" i="256"/>
  <c r="P52" i="256"/>
  <c r="T16" i="256"/>
  <c r="S16" i="256"/>
  <c r="G50" i="256"/>
  <c r="P14" i="256"/>
  <c r="C65" i="256"/>
  <c r="AD88" i="256" a="1"/>
  <c r="AD88" i="256" s="1"/>
  <c r="Y88" i="256"/>
  <c r="F43" i="256"/>
  <c r="G43" i="256"/>
  <c r="D64" i="256"/>
  <c r="I64" i="256" s="1"/>
  <c r="P9" i="256"/>
  <c r="P15" i="256"/>
  <c r="H65" i="256"/>
  <c r="BA78" i="256"/>
  <c r="AX69" i="256"/>
  <c r="AE105" i="256"/>
  <c r="AX73" i="256"/>
  <c r="AW70" i="256"/>
  <c r="AE106" i="256"/>
  <c r="G48" i="256"/>
  <c r="AE107" i="256"/>
  <c r="AX71" i="256"/>
  <c r="S11" i="256"/>
  <c r="AE109" i="256"/>
  <c r="AW69" i="256"/>
  <c r="AX67" i="256"/>
  <c r="AW71" i="256"/>
  <c r="G46" i="256"/>
  <c r="AE108" i="256"/>
  <c r="W33" i="256"/>
  <c r="G44" i="256"/>
  <c r="F42" i="256"/>
  <c r="F51" i="256"/>
  <c r="AE110" i="256"/>
  <c r="W31" i="256"/>
  <c r="E49" i="256"/>
  <c r="AU100" i="256"/>
  <c r="L45" i="256"/>
  <c r="AW73" i="256"/>
  <c r="F50" i="256"/>
  <c r="L43" i="256"/>
  <c r="AZ60" i="256"/>
  <c r="AW67" i="256"/>
  <c r="AX70" i="256"/>
  <c r="BA67" i="256"/>
  <c r="BB20" i="256" s="1"/>
  <c r="Y15" i="256"/>
  <c r="AE111" i="256"/>
  <c r="AW74" i="256"/>
  <c r="AU101" i="256"/>
  <c r="AT66" i="256"/>
  <c r="AU98" i="256" s="1"/>
  <c r="AE113" i="256"/>
  <c r="AX68" i="256"/>
  <c r="AW72" i="256"/>
  <c r="AX75" i="256"/>
  <c r="AU102" i="256"/>
  <c r="AX74" i="256"/>
  <c r="AW68" i="256"/>
  <c r="AW75" i="256"/>
  <c r="G60" i="255"/>
  <c r="H60" i="255" s="1"/>
  <c r="M60" i="255"/>
  <c r="M61" i="255"/>
  <c r="G61" i="255"/>
  <c r="H61" i="255" s="1"/>
  <c r="G58" i="255"/>
  <c r="H58" i="255" s="1"/>
  <c r="M58" i="255"/>
  <c r="Q33" i="255"/>
  <c r="M56" i="255"/>
  <c r="R38" i="255"/>
  <c r="G56" i="255"/>
  <c r="H56" i="255" s="1"/>
  <c r="M54" i="255"/>
  <c r="S38" i="255"/>
  <c r="G59" i="255"/>
  <c r="H59" i="255" s="1"/>
  <c r="R39" i="255"/>
  <c r="G57" i="255"/>
  <c r="S39" i="255"/>
  <c r="H57" i="255"/>
  <c r="G55" i="255"/>
  <c r="H55" i="255" s="1"/>
  <c r="R40" i="255"/>
  <c r="G53" i="255"/>
  <c r="H53" i="255" s="1"/>
  <c r="S41" i="255"/>
  <c r="R41" i="255"/>
  <c r="E128" i="254"/>
  <c r="E127" i="254"/>
  <c r="E126" i="254"/>
  <c r="E120" i="254"/>
  <c r="E119" i="254"/>
  <c r="E118" i="254"/>
  <c r="E112" i="254"/>
  <c r="E111" i="254"/>
  <c r="E110" i="254"/>
  <c r="E104" i="254"/>
  <c r="E103" i="254"/>
  <c r="E102" i="254"/>
  <c r="E96" i="254"/>
  <c r="E95" i="254"/>
  <c r="E94" i="254"/>
  <c r="E88" i="254"/>
  <c r="E87" i="254"/>
  <c r="E86" i="254"/>
  <c r="E80" i="254"/>
  <c r="E79" i="254"/>
  <c r="E78" i="254"/>
  <c r="E72" i="254"/>
  <c r="E71" i="254"/>
  <c r="E70" i="254"/>
  <c r="G57" i="261" l="1"/>
  <c r="H57" i="261" s="1"/>
  <c r="G59" i="261"/>
  <c r="H59" i="261" s="1"/>
  <c r="Z31" i="261"/>
  <c r="Z15" i="261"/>
  <c r="Y31" i="261"/>
  <c r="Y24" i="261"/>
  <c r="U31" i="261"/>
  <c r="U24" i="261"/>
  <c r="U15" i="261"/>
  <c r="AA31" i="261"/>
  <c r="AA24" i="261"/>
  <c r="AA15" i="261"/>
  <c r="X24" i="261"/>
  <c r="X15" i="261"/>
  <c r="Q45" i="261"/>
  <c r="G52" i="255"/>
  <c r="H52" i="255" s="1"/>
  <c r="AT100" i="256"/>
  <c r="BA72" i="256"/>
  <c r="P49" i="256"/>
  <c r="T13" i="256"/>
  <c r="S13" i="256"/>
  <c r="S14" i="256"/>
  <c r="P50" i="256"/>
  <c r="T14" i="256"/>
  <c r="I65" i="256"/>
  <c r="T10" i="256"/>
  <c r="AF15" i="256" s="1"/>
  <c r="S10" i="256"/>
  <c r="AE15" i="256" s="1"/>
  <c r="AD15" i="256"/>
  <c r="P46" i="256"/>
  <c r="F49" i="256"/>
  <c r="G49" i="256" s="1"/>
  <c r="P51" i="256"/>
  <c r="T15" i="256"/>
  <c r="S15" i="256"/>
  <c r="BA75" i="256"/>
  <c r="AT102" i="256"/>
  <c r="BA69" i="256"/>
  <c r="BA74" i="256"/>
  <c r="AT101" i="256"/>
  <c r="AW66" i="256"/>
  <c r="BA68" i="256" s="1"/>
  <c r="BB21" i="256" s="1"/>
  <c r="BB19" i="256" s="1"/>
  <c r="BB22" i="256" s="1"/>
  <c r="AX66" i="256"/>
  <c r="T9" i="256"/>
  <c r="S9" i="256"/>
  <c r="P45" i="256"/>
  <c r="E64" i="254"/>
  <c r="E63" i="254"/>
  <c r="E62" i="254"/>
  <c r="E56" i="254"/>
  <c r="E55" i="254"/>
  <c r="E54" i="254"/>
  <c r="E48" i="254"/>
  <c r="E47" i="254"/>
  <c r="E46" i="254"/>
  <c r="E40" i="254"/>
  <c r="E39" i="254"/>
  <c r="E38" i="254"/>
  <c r="E32" i="254"/>
  <c r="E31" i="254"/>
  <c r="E30" i="254"/>
  <c r="E24" i="254"/>
  <c r="E23" i="254"/>
  <c r="E22" i="254"/>
  <c r="E16" i="254"/>
  <c r="E15" i="254"/>
  <c r="E14" i="254"/>
  <c r="E8" i="254"/>
  <c r="E7" i="254"/>
  <c r="E6" i="254"/>
  <c r="Q33" i="261" l="1"/>
  <c r="Q46" i="261"/>
  <c r="Q47" i="261"/>
  <c r="Y57" i="256" a="1"/>
  <c r="Y57" i="256" s="1"/>
  <c r="BA73" i="256"/>
  <c r="BB18" i="256"/>
  <c r="BA70" i="256"/>
  <c r="Y56" i="256" a="1"/>
  <c r="Y56" i="256" s="1"/>
  <c r="V2" i="256"/>
  <c r="AT98" i="256"/>
  <c r="E136" i="253"/>
  <c r="E135" i="253"/>
  <c r="E134" i="253"/>
  <c r="E127" i="253"/>
  <c r="E126" i="253"/>
  <c r="E125" i="253"/>
  <c r="E118" i="253"/>
  <c r="E117" i="253"/>
  <c r="E116" i="253"/>
  <c r="E109" i="253"/>
  <c r="E108" i="253"/>
  <c r="E107" i="253"/>
  <c r="E100" i="253"/>
  <c r="E99" i="253"/>
  <c r="E98" i="253"/>
  <c r="E91" i="253"/>
  <c r="E90" i="253"/>
  <c r="E89" i="253"/>
  <c r="E82" i="253"/>
  <c r="E81" i="253"/>
  <c r="E80" i="253"/>
  <c r="E73" i="253" l="1"/>
  <c r="E72" i="253"/>
  <c r="E71" i="253"/>
  <c r="E64" i="253"/>
  <c r="E63" i="253"/>
  <c r="E62" i="253"/>
  <c r="E55" i="253"/>
  <c r="E54" i="253"/>
  <c r="E53" i="253"/>
  <c r="E37" i="253"/>
  <c r="E36" i="253"/>
  <c r="E35" i="253"/>
  <c r="E46" i="253"/>
  <c r="E45" i="253"/>
  <c r="E44" i="253"/>
  <c r="E28" i="253"/>
  <c r="E27" i="253"/>
  <c r="E26" i="253"/>
  <c r="E19" i="253"/>
  <c r="E18" i="253"/>
  <c r="E9" i="253"/>
  <c r="E8" i="253"/>
  <c r="E7" i="253"/>
  <c r="K18" i="224" l="1"/>
  <c r="J24" i="224"/>
  <c r="J22" i="224"/>
  <c r="J19" i="224"/>
  <c r="J23" i="224"/>
  <c r="J21" i="224"/>
  <c r="J20" i="224"/>
  <c r="J18" i="224"/>
  <c r="H19" i="224"/>
  <c r="H18" i="224"/>
  <c r="G17" i="224"/>
  <c r="J119" i="208" l="1"/>
  <c r="D152" i="208" s="1"/>
  <c r="J112" i="208"/>
  <c r="G65" i="215" l="1"/>
  <c r="G53" i="215"/>
  <c r="K111" i="246"/>
  <c r="J54" i="215"/>
  <c r="G62" i="215"/>
  <c r="G59" i="215"/>
  <c r="D109" i="246"/>
  <c r="D112" i="246"/>
  <c r="D113" i="246"/>
  <c r="D114" i="246"/>
  <c r="I89" i="246"/>
  <c r="C89" i="246"/>
  <c r="D99" i="246"/>
  <c r="D103" i="246"/>
  <c r="N105" i="246"/>
  <c r="J96" i="246"/>
  <c r="J97" i="246"/>
  <c r="J98" i="246"/>
  <c r="I104" i="246"/>
  <c r="I105" i="246"/>
  <c r="C111" i="246"/>
  <c r="J108" i="246" s="1"/>
  <c r="H77" i="246"/>
  <c r="N96" i="246"/>
  <c r="D90" i="191" l="1"/>
  <c r="D91" i="191"/>
  <c r="D88" i="191"/>
  <c r="D87" i="191"/>
  <c r="D89" i="191"/>
  <c r="D86" i="191"/>
  <c r="C86" i="191"/>
  <c r="C90" i="191"/>
  <c r="C91" i="191"/>
  <c r="C89" i="191"/>
  <c r="C87" i="191"/>
  <c r="C88" i="191"/>
  <c r="D84" i="191"/>
  <c r="C84" i="191"/>
  <c r="S20" i="224"/>
  <c r="T21" i="224"/>
  <c r="S21" i="224"/>
  <c r="T20" i="224"/>
  <c r="T7" i="224"/>
  <c r="T8" i="224"/>
  <c r="S8" i="224"/>
  <c r="S7" i="224"/>
  <c r="L21" i="224" l="1"/>
  <c r="L17" i="224"/>
  <c r="H17" i="224"/>
  <c r="J17" i="224" s="1"/>
  <c r="J47" i="208"/>
  <c r="G24" i="224"/>
  <c r="G23" i="224"/>
  <c r="G22" i="224"/>
  <c r="G21" i="224"/>
  <c r="G20" i="224"/>
  <c r="G19" i="224"/>
  <c r="G18" i="224"/>
  <c r="D17" i="224"/>
  <c r="D18" i="224" s="1"/>
  <c r="D19" i="224" s="1"/>
  <c r="D20" i="224" s="1"/>
  <c r="D21" i="224" s="1"/>
  <c r="P47" i="208"/>
  <c r="O47" i="208"/>
  <c r="L47" i="208"/>
  <c r="K47" i="208"/>
  <c r="G11" i="224"/>
  <c r="G9" i="224"/>
  <c r="G10" i="224"/>
  <c r="E12" i="224"/>
  <c r="L4" i="224" s="1"/>
  <c r="M4" i="224" s="1"/>
  <c r="H53" i="208"/>
  <c r="H52" i="208"/>
  <c r="H47" i="208"/>
  <c r="H4" i="224"/>
  <c r="J4" i="224" s="1"/>
  <c r="H48" i="208"/>
  <c r="G47" i="208"/>
  <c r="G5" i="224"/>
  <c r="G6" i="224"/>
  <c r="G7" i="224"/>
  <c r="G8" i="224"/>
  <c r="G4" i="224"/>
  <c r="D4" i="224"/>
  <c r="D5" i="224" s="1"/>
  <c r="D6" i="224" s="1"/>
  <c r="D7" i="224" s="1"/>
  <c r="D8" i="224" s="1"/>
  <c r="D145" i="208"/>
  <c r="C146" i="208"/>
  <c r="O17" i="224" l="1"/>
  <c r="M17" i="224"/>
  <c r="L23" i="224"/>
  <c r="L19" i="224"/>
  <c r="L11" i="224"/>
  <c r="L9" i="224"/>
  <c r="L18" i="224"/>
  <c r="M18" i="224" s="1"/>
  <c r="L8" i="224"/>
  <c r="L10" i="224"/>
  <c r="L7" i="224"/>
  <c r="L20" i="224"/>
  <c r="L6" i="224"/>
  <c r="L22" i="224"/>
  <c r="L5" i="224"/>
  <c r="M5" i="224" s="1"/>
  <c r="L24" i="224"/>
  <c r="O4" i="224"/>
  <c r="H5" i="224"/>
  <c r="O5" i="224" l="1"/>
  <c r="J5" i="224"/>
  <c r="M19" i="224"/>
  <c r="O18" i="224"/>
  <c r="M20" i="224"/>
  <c r="M21" i="224" s="1"/>
  <c r="M22" i="224" s="1"/>
  <c r="M23" i="224" s="1"/>
  <c r="M24" i="224" s="1"/>
  <c r="H20" i="224"/>
  <c r="M6" i="224"/>
  <c r="M7" i="224" s="1"/>
  <c r="M8" i="224" s="1"/>
  <c r="M9" i="224" s="1"/>
  <c r="M10" i="224" s="1"/>
  <c r="M11" i="224" s="1"/>
  <c r="H6" i="224"/>
  <c r="J6" i="224" l="1"/>
  <c r="O6" i="224"/>
  <c r="O19" i="224"/>
  <c r="O20" i="224"/>
  <c r="H21" i="224"/>
  <c r="H7" i="224"/>
  <c r="J7" i="224" l="1"/>
  <c r="O7" i="224"/>
  <c r="O21" i="224"/>
  <c r="H22" i="224"/>
  <c r="H8" i="224"/>
  <c r="J8" i="224" l="1"/>
  <c r="O8" i="224"/>
  <c r="O22" i="224"/>
  <c r="H23" i="224"/>
  <c r="H9" i="224"/>
  <c r="O9" i="224" l="1"/>
  <c r="J9" i="224"/>
  <c r="O23" i="224"/>
  <c r="H24" i="224"/>
  <c r="H10" i="224"/>
  <c r="J10" i="224" l="1"/>
  <c r="O10" i="224"/>
  <c r="K19" i="224"/>
  <c r="O24" i="224"/>
  <c r="P23" i="224" s="1"/>
  <c r="K24" i="224"/>
  <c r="P24" i="224"/>
  <c r="P17" i="224"/>
  <c r="P18" i="224"/>
  <c r="P19" i="224"/>
  <c r="P20" i="224"/>
  <c r="P21" i="224"/>
  <c r="P22" i="224"/>
  <c r="K17" i="224"/>
  <c r="H11" i="224"/>
  <c r="K22" i="224" l="1"/>
  <c r="O11" i="224"/>
  <c r="P10" i="224" s="1"/>
  <c r="J11" i="224"/>
  <c r="K4" i="224" s="1"/>
  <c r="P4" i="224"/>
  <c r="P5" i="224"/>
  <c r="P6" i="224"/>
  <c r="P7" i="224"/>
  <c r="P9" i="224"/>
  <c r="P8" i="224"/>
  <c r="K21" i="224"/>
  <c r="K20" i="224"/>
  <c r="K23" i="224"/>
  <c r="K7" i="224" l="1"/>
  <c r="K11" i="224"/>
  <c r="K10" i="224"/>
  <c r="P11" i="224"/>
  <c r="K6" i="224"/>
  <c r="K5" i="224"/>
  <c r="K9" i="224"/>
  <c r="K8" i="224"/>
  <c r="P11" i="230" l="1"/>
  <c r="AF15" i="230" l="1"/>
  <c r="AE15" i="230"/>
  <c r="AD15" i="230"/>
  <c r="U8" i="248" l="1"/>
  <c r="X6" i="223"/>
  <c r="S32" i="215"/>
  <c r="S31" i="215"/>
  <c r="P32" i="215"/>
  <c r="P31" i="215"/>
  <c r="K112" i="208"/>
  <c r="K119" i="208" l="1"/>
  <c r="K118" i="208"/>
  <c r="K117" i="208"/>
  <c r="K116" i="208"/>
  <c r="K115" i="208"/>
  <c r="K114" i="208"/>
  <c r="K113" i="208"/>
  <c r="H112" i="208"/>
  <c r="H113" i="208"/>
  <c r="G116" i="208"/>
  <c r="H115" i="208"/>
  <c r="H114" i="208"/>
  <c r="N111" i="246" l="1"/>
  <c r="N110" i="246"/>
  <c r="N109" i="246"/>
  <c r="Q102" i="246"/>
  <c r="C43" i="215"/>
  <c r="AA37" i="248" l="1"/>
  <c r="T28" i="248"/>
  <c r="AA38" i="248"/>
  <c r="AA36" i="248"/>
  <c r="T30" i="248"/>
  <c r="AA33" i="248"/>
  <c r="AA31" i="248" s="1"/>
  <c r="AA32" i="248"/>
  <c r="AA30" i="248"/>
  <c r="AA27" i="248"/>
  <c r="AA25" i="248" s="1"/>
  <c r="AA26" i="248"/>
  <c r="AA24" i="248"/>
  <c r="X39" i="248"/>
  <c r="X38" i="248"/>
  <c r="X36" i="248"/>
  <c r="X33" i="248"/>
  <c r="X32" i="248"/>
  <c r="X30" i="248"/>
  <c r="AA39" i="248"/>
  <c r="AC10" i="248"/>
  <c r="AC12" i="248"/>
  <c r="AH3" i="248"/>
  <c r="AI3" i="248"/>
  <c r="AJ3" i="248"/>
  <c r="AH6" i="248"/>
  <c r="AI6" i="248"/>
  <c r="AJ6" i="248"/>
  <c r="O53" i="248"/>
  <c r="N53" i="248"/>
  <c r="O52" i="248"/>
  <c r="N52" i="248"/>
  <c r="O51" i="248"/>
  <c r="N51" i="248"/>
  <c r="O50" i="248"/>
  <c r="N50" i="248"/>
  <c r="O49" i="248"/>
  <c r="N49" i="248"/>
  <c r="D49" i="248"/>
  <c r="O48" i="248"/>
  <c r="N48" i="248"/>
  <c r="O47" i="248"/>
  <c r="N47" i="248"/>
  <c r="O46" i="248"/>
  <c r="N46" i="248"/>
  <c r="O45" i="248"/>
  <c r="N45" i="248"/>
  <c r="O44" i="248"/>
  <c r="N44" i="248"/>
  <c r="M44" i="248"/>
  <c r="O43" i="248"/>
  <c r="N43" i="248"/>
  <c r="O42" i="248"/>
  <c r="N42" i="248"/>
  <c r="O41" i="248"/>
  <c r="N41" i="248"/>
  <c r="T38" i="248"/>
  <c r="Q36" i="248"/>
  <c r="P36" i="248"/>
  <c r="H36" i="248"/>
  <c r="J36" i="248" s="1"/>
  <c r="E36" i="248"/>
  <c r="Q35" i="248"/>
  <c r="P35" i="248"/>
  <c r="H35" i="248"/>
  <c r="J35" i="248" s="1"/>
  <c r="E35" i="248"/>
  <c r="Q34" i="248"/>
  <c r="P34" i="248"/>
  <c r="J34" i="248"/>
  <c r="I34" i="248"/>
  <c r="H34" i="248"/>
  <c r="E34" i="248"/>
  <c r="T33" i="248"/>
  <c r="Q33" i="248"/>
  <c r="P33" i="248"/>
  <c r="V12" i="248" s="1"/>
  <c r="H33" i="248"/>
  <c r="J33" i="248" s="1"/>
  <c r="E33" i="248"/>
  <c r="Q32" i="248"/>
  <c r="W15" i="248" s="1"/>
  <c r="P32" i="248"/>
  <c r="T36" i="248" s="1"/>
  <c r="J32" i="248"/>
  <c r="I32" i="248"/>
  <c r="M14" i="248" s="1"/>
  <c r="H32" i="248"/>
  <c r="E32" i="248"/>
  <c r="Q31" i="248"/>
  <c r="P31" i="248"/>
  <c r="T35" i="248" s="1"/>
  <c r="J31" i="248"/>
  <c r="H31" i="248"/>
  <c r="I31" i="248" s="1"/>
  <c r="E31" i="248"/>
  <c r="Q30" i="248"/>
  <c r="P30" i="248"/>
  <c r="J30" i="248"/>
  <c r="I30" i="248"/>
  <c r="M12" i="248" s="1"/>
  <c r="H30" i="248"/>
  <c r="E30" i="248"/>
  <c r="Q29" i="248"/>
  <c r="W11" i="248" s="1"/>
  <c r="P29" i="248"/>
  <c r="H29" i="248"/>
  <c r="J29" i="248" s="1"/>
  <c r="E29" i="248"/>
  <c r="Q28" i="248"/>
  <c r="P28" i="248"/>
  <c r="H28" i="248"/>
  <c r="J28" i="248" s="1"/>
  <c r="E28" i="248"/>
  <c r="Q27" i="248"/>
  <c r="P27" i="248"/>
  <c r="J27" i="248"/>
  <c r="I27" i="248"/>
  <c r="H27" i="248"/>
  <c r="E27" i="248"/>
  <c r="P26" i="248"/>
  <c r="V8" i="248" s="1"/>
  <c r="H26" i="248"/>
  <c r="I26" i="248" s="1"/>
  <c r="M8" i="248" s="1"/>
  <c r="P25" i="248"/>
  <c r="I25" i="248"/>
  <c r="H25" i="248"/>
  <c r="P24" i="248"/>
  <c r="H24" i="248"/>
  <c r="I24" i="248" s="1"/>
  <c r="M6" i="248" s="1"/>
  <c r="Q16" i="248"/>
  <c r="P16" i="248"/>
  <c r="M16" i="248"/>
  <c r="M51" i="248" s="1"/>
  <c r="U15" i="248"/>
  <c r="AB14" i="248"/>
  <c r="AA14" i="248"/>
  <c r="U14" i="248"/>
  <c r="AB13" i="248"/>
  <c r="AA13" i="248"/>
  <c r="W13" i="248"/>
  <c r="V13" i="248"/>
  <c r="U13" i="248"/>
  <c r="AB12" i="248"/>
  <c r="AA12" i="248"/>
  <c r="W12" i="248"/>
  <c r="U12" i="248"/>
  <c r="AB11" i="248"/>
  <c r="AA11" i="248"/>
  <c r="V11" i="248"/>
  <c r="U11" i="248"/>
  <c r="AB10" i="248"/>
  <c r="AA10" i="248"/>
  <c r="W10" i="248"/>
  <c r="V10" i="248"/>
  <c r="U10" i="248"/>
  <c r="W9" i="248"/>
  <c r="V9" i="248"/>
  <c r="U9" i="248"/>
  <c r="M9" i="248"/>
  <c r="Q9" i="248" s="1"/>
  <c r="W8" i="248"/>
  <c r="M7" i="248"/>
  <c r="P7" i="248" s="1"/>
  <c r="AA37" i="230"/>
  <c r="W31" i="230"/>
  <c r="AA38" i="230"/>
  <c r="W30" i="230"/>
  <c r="AA36" i="230" s="1"/>
  <c r="AD38" i="230"/>
  <c r="AD39" i="230"/>
  <c r="AD37" i="230" s="1"/>
  <c r="AD36" i="230"/>
  <c r="X28" i="230"/>
  <c r="AD31" i="230"/>
  <c r="AD26" i="230"/>
  <c r="AD30" i="230"/>
  <c r="AD27" i="230"/>
  <c r="AD25" i="230"/>
  <c r="AD24" i="230"/>
  <c r="AA33" i="230"/>
  <c r="AA30" i="230"/>
  <c r="C44" i="215"/>
  <c r="G68" i="215" s="1"/>
  <c r="G67" i="215"/>
  <c r="C55" i="215"/>
  <c r="C54" i="215"/>
  <c r="C53" i="215"/>
  <c r="E40" i="215"/>
  <c r="D49" i="215"/>
  <c r="E49" i="215"/>
  <c r="G49" i="215"/>
  <c r="H49" i="215"/>
  <c r="I49" i="215"/>
  <c r="C49" i="215"/>
  <c r="F49" i="215" s="1"/>
  <c r="J43" i="215"/>
  <c r="D44" i="215"/>
  <c r="E44" i="215"/>
  <c r="G44" i="215"/>
  <c r="J44" i="215" s="1"/>
  <c r="H44" i="215"/>
  <c r="I44" i="215"/>
  <c r="D43" i="215"/>
  <c r="E43" i="215"/>
  <c r="G43" i="215"/>
  <c r="H43" i="215"/>
  <c r="I43" i="215"/>
  <c r="G40" i="215"/>
  <c r="H40" i="215"/>
  <c r="I40" i="215"/>
  <c r="C75" i="246"/>
  <c r="C74" i="246"/>
  <c r="C40" i="215"/>
  <c r="C77" i="246"/>
  <c r="C41" i="215"/>
  <c r="K80" i="246"/>
  <c r="L80" i="246"/>
  <c r="M80" i="246"/>
  <c r="N80" i="246"/>
  <c r="O80" i="246"/>
  <c r="J80" i="246"/>
  <c r="C13" i="220"/>
  <c r="C90" i="246"/>
  <c r="O83" i="246"/>
  <c r="S125" i="246"/>
  <c r="S124" i="246"/>
  <c r="S123" i="246"/>
  <c r="S122" i="246"/>
  <c r="S121" i="246"/>
  <c r="S120" i="246"/>
  <c r="F114" i="246"/>
  <c r="E114" i="246"/>
  <c r="F111" i="246"/>
  <c r="E111" i="246"/>
  <c r="D111" i="246"/>
  <c r="K108" i="246" s="1"/>
  <c r="F109" i="246"/>
  <c r="E109" i="246"/>
  <c r="I111" i="246"/>
  <c r="F108" i="246"/>
  <c r="E108" i="246"/>
  <c r="I110" i="246"/>
  <c r="I109" i="246"/>
  <c r="F106" i="246"/>
  <c r="E106" i="246"/>
  <c r="I108" i="246"/>
  <c r="F105" i="246"/>
  <c r="E105" i="246"/>
  <c r="C103" i="246"/>
  <c r="C102" i="246"/>
  <c r="J105" i="246" s="1"/>
  <c r="C101" i="246"/>
  <c r="J104" i="246" s="1"/>
  <c r="I100" i="246"/>
  <c r="C100" i="246"/>
  <c r="J103" i="246" s="1"/>
  <c r="I99" i="246"/>
  <c r="C99" i="246"/>
  <c r="J102" i="246" s="1"/>
  <c r="K98" i="246"/>
  <c r="C98" i="246"/>
  <c r="J101" i="246" s="1"/>
  <c r="K97" i="246"/>
  <c r="C97" i="246"/>
  <c r="J100" i="246" s="1"/>
  <c r="K96" i="246"/>
  <c r="C96" i="246"/>
  <c r="J99" i="246" s="1"/>
  <c r="H92" i="246"/>
  <c r="F92" i="246"/>
  <c r="D92" i="246"/>
  <c r="C92" i="246"/>
  <c r="H91" i="246"/>
  <c r="F91" i="246"/>
  <c r="D91" i="246"/>
  <c r="C91" i="246"/>
  <c r="H90" i="246"/>
  <c r="F90" i="246"/>
  <c r="D90" i="246"/>
  <c r="H89" i="246"/>
  <c r="F89" i="246"/>
  <c r="D89" i="246"/>
  <c r="N83" i="246"/>
  <c r="M83" i="246"/>
  <c r="L83" i="246"/>
  <c r="K83" i="246"/>
  <c r="J83" i="246"/>
  <c r="H83" i="246"/>
  <c r="G83" i="246"/>
  <c r="F83" i="246"/>
  <c r="E83" i="246"/>
  <c r="D83" i="246"/>
  <c r="C83" i="246"/>
  <c r="H80" i="246"/>
  <c r="G80" i="246"/>
  <c r="F80" i="246"/>
  <c r="E80" i="246"/>
  <c r="D80" i="246"/>
  <c r="C80" i="246"/>
  <c r="O78" i="246"/>
  <c r="N78" i="246"/>
  <c r="M78" i="246"/>
  <c r="L78" i="246"/>
  <c r="K78" i="246"/>
  <c r="J78" i="246"/>
  <c r="H78" i="246"/>
  <c r="H81" i="246" s="1"/>
  <c r="G78" i="246"/>
  <c r="F78" i="246"/>
  <c r="E78" i="246"/>
  <c r="D78" i="246"/>
  <c r="C78" i="246"/>
  <c r="O77" i="246"/>
  <c r="N77" i="246"/>
  <c r="M77" i="246"/>
  <c r="L77" i="246"/>
  <c r="K77" i="246"/>
  <c r="J77" i="246"/>
  <c r="G77" i="246"/>
  <c r="F77" i="246"/>
  <c r="E77" i="246"/>
  <c r="D77" i="246"/>
  <c r="O75" i="246"/>
  <c r="N75" i="246"/>
  <c r="M75" i="246"/>
  <c r="L75" i="246"/>
  <c r="K75" i="246"/>
  <c r="J75" i="246"/>
  <c r="H75" i="246"/>
  <c r="G75" i="246"/>
  <c r="F75" i="246"/>
  <c r="E75" i="246"/>
  <c r="D75" i="246"/>
  <c r="O74" i="246"/>
  <c r="N74" i="246"/>
  <c r="M74" i="246"/>
  <c r="L74" i="246"/>
  <c r="K74" i="246"/>
  <c r="J74" i="246"/>
  <c r="H74" i="246"/>
  <c r="G74" i="246"/>
  <c r="F74" i="246"/>
  <c r="E74" i="246"/>
  <c r="D74" i="246"/>
  <c r="P72" i="246"/>
  <c r="I72" i="246"/>
  <c r="P71" i="246"/>
  <c r="I71" i="246"/>
  <c r="D102" i="246" s="1"/>
  <c r="K105" i="246" s="1"/>
  <c r="P70" i="246"/>
  <c r="I70" i="246"/>
  <c r="D101" i="246" s="1"/>
  <c r="K104" i="246" s="1"/>
  <c r="P69" i="246"/>
  <c r="I69" i="246"/>
  <c r="D100" i="246" s="1"/>
  <c r="K103" i="246" s="1"/>
  <c r="P68" i="246"/>
  <c r="I68" i="246"/>
  <c r="K102" i="246" s="1"/>
  <c r="P67" i="246"/>
  <c r="I67" i="246"/>
  <c r="D98" i="246" s="1"/>
  <c r="K101" i="246" s="1"/>
  <c r="P66" i="246"/>
  <c r="I66" i="246"/>
  <c r="D97" i="246" s="1"/>
  <c r="P65" i="246"/>
  <c r="I65" i="246"/>
  <c r="D96" i="246" s="1"/>
  <c r="F57" i="246"/>
  <c r="C57" i="246"/>
  <c r="F56" i="246"/>
  <c r="C56" i="246"/>
  <c r="F55" i="246"/>
  <c r="C55" i="246"/>
  <c r="F54" i="246"/>
  <c r="C54" i="246"/>
  <c r="K52" i="246"/>
  <c r="J52" i="246"/>
  <c r="I52" i="246"/>
  <c r="H52" i="246"/>
  <c r="F52" i="246"/>
  <c r="E52" i="246"/>
  <c r="D52" i="246"/>
  <c r="C52" i="246"/>
  <c r="K49" i="246"/>
  <c r="J49" i="246"/>
  <c r="I49" i="246"/>
  <c r="H49" i="246"/>
  <c r="F49" i="246"/>
  <c r="D49" i="246"/>
  <c r="C49" i="246"/>
  <c r="K47" i="246"/>
  <c r="J47" i="246"/>
  <c r="I47" i="246"/>
  <c r="H47" i="246"/>
  <c r="F47" i="246"/>
  <c r="E47" i="246"/>
  <c r="D47" i="246"/>
  <c r="C47" i="246"/>
  <c r="K46" i="246"/>
  <c r="J46" i="246"/>
  <c r="I46" i="246"/>
  <c r="H46" i="246"/>
  <c r="F46" i="246"/>
  <c r="E46" i="246"/>
  <c r="D46" i="246"/>
  <c r="C46" i="246"/>
  <c r="K44" i="246"/>
  <c r="J44" i="246"/>
  <c r="I44" i="246"/>
  <c r="H44" i="246"/>
  <c r="F44" i="246"/>
  <c r="E44" i="246"/>
  <c r="D44" i="246"/>
  <c r="C44" i="246"/>
  <c r="K43" i="246"/>
  <c r="J43" i="246"/>
  <c r="I43" i="246"/>
  <c r="H43" i="246"/>
  <c r="F43" i="246"/>
  <c r="E43" i="246"/>
  <c r="D43" i="246"/>
  <c r="C43" i="246"/>
  <c r="L41" i="246"/>
  <c r="G41" i="246"/>
  <c r="L40" i="246"/>
  <c r="G40" i="246"/>
  <c r="L39" i="246"/>
  <c r="G39" i="246"/>
  <c r="L38" i="246"/>
  <c r="G38" i="246"/>
  <c r="L37" i="246"/>
  <c r="G37" i="246"/>
  <c r="L36" i="246"/>
  <c r="G36" i="246"/>
  <c r="L35" i="246"/>
  <c r="G35" i="246"/>
  <c r="L34" i="246"/>
  <c r="G34" i="246"/>
  <c r="D96" i="204"/>
  <c r="E28" i="230"/>
  <c r="E29" i="230"/>
  <c r="E30" i="230"/>
  <c r="E31" i="230"/>
  <c r="E32" i="230"/>
  <c r="E33" i="230"/>
  <c r="E34" i="230"/>
  <c r="E35" i="230"/>
  <c r="E36" i="230"/>
  <c r="E27" i="230"/>
  <c r="K51" i="230"/>
  <c r="L51" i="230" s="1"/>
  <c r="H51" i="230"/>
  <c r="K50" i="230"/>
  <c r="L50" i="230" s="1"/>
  <c r="H50" i="230"/>
  <c r="K49" i="230"/>
  <c r="L49" i="230" s="1"/>
  <c r="H49" i="230"/>
  <c r="K48" i="230"/>
  <c r="L48" i="230" s="1"/>
  <c r="H48" i="230"/>
  <c r="K47" i="230"/>
  <c r="L47" i="230" s="1"/>
  <c r="H47" i="230"/>
  <c r="K46" i="230"/>
  <c r="L46" i="230" s="1"/>
  <c r="H46" i="230"/>
  <c r="K45" i="230"/>
  <c r="L45" i="230" s="1"/>
  <c r="H45" i="230"/>
  <c r="K44" i="230"/>
  <c r="L44" i="230" s="1"/>
  <c r="H44" i="230"/>
  <c r="K43" i="230"/>
  <c r="L43" i="230" s="1"/>
  <c r="H43" i="230"/>
  <c r="K42" i="230"/>
  <c r="L42" i="230" s="1"/>
  <c r="H42" i="230"/>
  <c r="K41" i="230"/>
  <c r="L41" i="230" s="1"/>
  <c r="K40" i="230"/>
  <c r="L40" i="230" s="1"/>
  <c r="K39" i="230"/>
  <c r="L39" i="230" s="1"/>
  <c r="G43" i="211"/>
  <c r="G44" i="211"/>
  <c r="G45" i="211"/>
  <c r="G46" i="211"/>
  <c r="G47" i="211"/>
  <c r="G48" i="211"/>
  <c r="G49" i="211"/>
  <c r="G50" i="211"/>
  <c r="G51" i="211"/>
  <c r="G42" i="211"/>
  <c r="H42" i="211"/>
  <c r="E28" i="211"/>
  <c r="E29" i="211"/>
  <c r="E30" i="211"/>
  <c r="E31" i="211"/>
  <c r="E32" i="211"/>
  <c r="E33" i="211"/>
  <c r="E34" i="211"/>
  <c r="E35" i="211"/>
  <c r="E36" i="211"/>
  <c r="F51" i="211" s="1"/>
  <c r="E27" i="211"/>
  <c r="F42" i="211" s="1"/>
  <c r="K42" i="211"/>
  <c r="E42" i="211" s="1"/>
  <c r="L42" i="211" s="1"/>
  <c r="K51" i="211"/>
  <c r="E51" i="211" s="1"/>
  <c r="L51" i="211" s="1"/>
  <c r="H51" i="211"/>
  <c r="K50" i="211"/>
  <c r="E50" i="211" s="1"/>
  <c r="L50" i="211" s="1"/>
  <c r="H50" i="211"/>
  <c r="K49" i="211"/>
  <c r="E49" i="211" s="1"/>
  <c r="L49" i="211" s="1"/>
  <c r="H49" i="211"/>
  <c r="K48" i="211"/>
  <c r="E48" i="211" s="1"/>
  <c r="L48" i="211" s="1"/>
  <c r="H48" i="211"/>
  <c r="K47" i="211"/>
  <c r="E47" i="211" s="1"/>
  <c r="H47" i="211"/>
  <c r="K46" i="211"/>
  <c r="E46" i="211" s="1"/>
  <c r="H46" i="211"/>
  <c r="K45" i="211"/>
  <c r="E45" i="211" s="1"/>
  <c r="L45" i="211" s="1"/>
  <c r="H45" i="211"/>
  <c r="K44" i="211"/>
  <c r="E44" i="211" s="1"/>
  <c r="L44" i="211" s="1"/>
  <c r="H44" i="211"/>
  <c r="K43" i="211"/>
  <c r="E43" i="211" s="1"/>
  <c r="L43" i="211" s="1"/>
  <c r="H43" i="211"/>
  <c r="K41" i="211"/>
  <c r="L41" i="211" s="1"/>
  <c r="K40" i="211"/>
  <c r="L40" i="211" s="1"/>
  <c r="K39" i="211"/>
  <c r="L39" i="211" s="1"/>
  <c r="H27" i="211"/>
  <c r="AN10" i="230"/>
  <c r="H52" i="207"/>
  <c r="H51" i="207"/>
  <c r="H36" i="207"/>
  <c r="H35" i="207"/>
  <c r="L81" i="246" l="1"/>
  <c r="N81" i="246"/>
  <c r="E81" i="246"/>
  <c r="G81" i="246"/>
  <c r="I75" i="246"/>
  <c r="D50" i="246"/>
  <c r="J50" i="246"/>
  <c r="I50" i="246"/>
  <c r="I51" i="246" s="1"/>
  <c r="L52" i="246"/>
  <c r="I74" i="246"/>
  <c r="L44" i="246"/>
  <c r="G46" i="246"/>
  <c r="C109" i="246"/>
  <c r="J81" i="246"/>
  <c r="J82" i="246" s="1"/>
  <c r="G44" i="246"/>
  <c r="G47" i="246"/>
  <c r="D108" i="246"/>
  <c r="I77" i="246"/>
  <c r="C114" i="246"/>
  <c r="J111" i="246" s="1"/>
  <c r="C105" i="246"/>
  <c r="F50" i="246"/>
  <c r="F51" i="246" s="1"/>
  <c r="E112" i="246"/>
  <c r="P74" i="246"/>
  <c r="F81" i="246"/>
  <c r="F82" i="246" s="1"/>
  <c r="L46" i="246"/>
  <c r="K81" i="246"/>
  <c r="K82" i="246" s="1"/>
  <c r="C81" i="246"/>
  <c r="M81" i="246"/>
  <c r="M82" i="246" s="1"/>
  <c r="C82" i="246"/>
  <c r="C112" i="246"/>
  <c r="J109" i="246" s="1"/>
  <c r="P77" i="246"/>
  <c r="L47" i="246"/>
  <c r="I78" i="246"/>
  <c r="G43" i="246"/>
  <c r="P75" i="246"/>
  <c r="O81" i="246"/>
  <c r="O82" i="246" s="1"/>
  <c r="K50" i="246"/>
  <c r="K51" i="246" s="1"/>
  <c r="E50" i="246"/>
  <c r="E51" i="246" s="1"/>
  <c r="D81" i="246"/>
  <c r="F112" i="246"/>
  <c r="F113" i="246" s="1"/>
  <c r="G54" i="246"/>
  <c r="G52" i="246"/>
  <c r="L43" i="246"/>
  <c r="P78" i="246"/>
  <c r="D51" i="246"/>
  <c r="L49" i="246"/>
  <c r="G55" i="215"/>
  <c r="G49" i="246"/>
  <c r="E82" i="246"/>
  <c r="G82" i="246"/>
  <c r="E113" i="246"/>
  <c r="H82" i="246"/>
  <c r="L82" i="246"/>
  <c r="J51" i="246"/>
  <c r="N82" i="246"/>
  <c r="I80" i="246"/>
  <c r="H47" i="215"/>
  <c r="E47" i="215"/>
  <c r="D47" i="215"/>
  <c r="G56" i="215"/>
  <c r="N99" i="246" s="1"/>
  <c r="G47" i="215"/>
  <c r="C47" i="215"/>
  <c r="AA24" i="230"/>
  <c r="X24" i="248" s="1"/>
  <c r="AA26" i="230"/>
  <c r="X26" i="248" s="1"/>
  <c r="N98" i="246"/>
  <c r="AA27" i="230"/>
  <c r="X27" i="248" s="1"/>
  <c r="I47" i="215"/>
  <c r="T31" i="248"/>
  <c r="X37" i="248"/>
  <c r="X31" i="248"/>
  <c r="AC13" i="248"/>
  <c r="AC14" i="248"/>
  <c r="AC11" i="248"/>
  <c r="P6" i="248"/>
  <c r="M41" i="248"/>
  <c r="Q12" i="248"/>
  <c r="P12" i="248"/>
  <c r="M47" i="248"/>
  <c r="M49" i="248"/>
  <c r="Q14" i="248"/>
  <c r="P14" i="248"/>
  <c r="M43" i="248"/>
  <c r="P8" i="248"/>
  <c r="M13" i="248"/>
  <c r="D50" i="248"/>
  <c r="C50" i="248"/>
  <c r="T27" i="248"/>
  <c r="T29" i="248" s="1"/>
  <c r="T34" i="248"/>
  <c r="I36" i="248"/>
  <c r="M18" i="248" s="1"/>
  <c r="V14" i="248"/>
  <c r="I29" i="248"/>
  <c r="W14" i="248"/>
  <c r="V15" i="248"/>
  <c r="I28" i="248"/>
  <c r="I35" i="248"/>
  <c r="M17" i="248" s="1"/>
  <c r="M42" i="248"/>
  <c r="P9" i="248"/>
  <c r="I33" i="248"/>
  <c r="E50" i="230"/>
  <c r="AA31" i="230"/>
  <c r="E49" i="230"/>
  <c r="E48" i="230"/>
  <c r="E47" i="230"/>
  <c r="E46" i="230"/>
  <c r="E45" i="230"/>
  <c r="E42" i="230"/>
  <c r="E44" i="230"/>
  <c r="E51" i="230"/>
  <c r="E43" i="230"/>
  <c r="F44" i="215"/>
  <c r="F43" i="215"/>
  <c r="P80" i="246"/>
  <c r="D105" i="246"/>
  <c r="K100" i="246"/>
  <c r="D106" i="246"/>
  <c r="K99" i="246"/>
  <c r="H50" i="246"/>
  <c r="I83" i="246"/>
  <c r="C50" i="246"/>
  <c r="C106" i="246"/>
  <c r="L46" i="211"/>
  <c r="F46" i="211"/>
  <c r="F47" i="211"/>
  <c r="L47" i="211"/>
  <c r="F50" i="211"/>
  <c r="F49" i="211"/>
  <c r="F48" i="211"/>
  <c r="F45" i="211"/>
  <c r="F44" i="211"/>
  <c r="F43" i="211"/>
  <c r="AK5" i="230"/>
  <c r="AL5" i="230"/>
  <c r="AM5" i="230"/>
  <c r="AK8" i="230"/>
  <c r="AL8" i="230"/>
  <c r="AM8" i="230"/>
  <c r="AN8" i="211"/>
  <c r="AK7" i="230" s="1"/>
  <c r="AH5" i="248" s="1"/>
  <c r="AP8" i="211"/>
  <c r="AM7" i="230" s="1"/>
  <c r="AJ5" i="248" s="1"/>
  <c r="AO8" i="211"/>
  <c r="AL7" i="230" s="1"/>
  <c r="AI5" i="248" s="1"/>
  <c r="O53" i="191"/>
  <c r="N53" i="191"/>
  <c r="M53" i="191"/>
  <c r="T38" i="212"/>
  <c r="W39" i="230"/>
  <c r="K19" i="213"/>
  <c r="C123" i="207"/>
  <c r="H223" i="184"/>
  <c r="D13" i="220"/>
  <c r="E13" i="220"/>
  <c r="F13" i="220"/>
  <c r="G13" i="220"/>
  <c r="H13" i="220"/>
  <c r="I13" i="220"/>
  <c r="J13" i="220"/>
  <c r="K13" i="220"/>
  <c r="L13" i="220"/>
  <c r="L10" i="220"/>
  <c r="L11" i="220"/>
  <c r="G10" i="220"/>
  <c r="G11" i="220"/>
  <c r="L7" i="220"/>
  <c r="L8" i="220"/>
  <c r="L6" i="220"/>
  <c r="G7" i="220"/>
  <c r="G8" i="220"/>
  <c r="G6" i="220"/>
  <c r="C50" i="204"/>
  <c r="D10" i="220"/>
  <c r="E10" i="220"/>
  <c r="F10" i="220"/>
  <c r="H10" i="220"/>
  <c r="I10" i="220"/>
  <c r="J10" i="220"/>
  <c r="K10" i="220"/>
  <c r="C10" i="220"/>
  <c r="C46" i="204"/>
  <c r="K11" i="220"/>
  <c r="D11" i="220"/>
  <c r="E11" i="220"/>
  <c r="F11" i="220"/>
  <c r="H11" i="220"/>
  <c r="I11" i="220"/>
  <c r="J11" i="220"/>
  <c r="C11" i="220"/>
  <c r="G54" i="204"/>
  <c r="P81" i="246" l="1"/>
  <c r="I81" i="246"/>
  <c r="C113" i="246"/>
  <c r="J110" i="246" s="1"/>
  <c r="D82" i="246"/>
  <c r="I82" i="246" s="1"/>
  <c r="E46" i="215"/>
  <c r="C46" i="215"/>
  <c r="D46" i="215"/>
  <c r="D48" i="215" s="1"/>
  <c r="E48" i="215"/>
  <c r="C48" i="215"/>
  <c r="G66" i="215" s="1"/>
  <c r="I46" i="215"/>
  <c r="I48" i="215" s="1"/>
  <c r="J46" i="215"/>
  <c r="G46" i="215"/>
  <c r="G48" i="215" s="1"/>
  <c r="H46" i="215"/>
  <c r="H48" i="215" s="1"/>
  <c r="P82" i="246"/>
  <c r="F47" i="215"/>
  <c r="J47" i="215"/>
  <c r="M53" i="248"/>
  <c r="Q18" i="248"/>
  <c r="P18" i="248"/>
  <c r="Q17" i="248"/>
  <c r="P17" i="248"/>
  <c r="M52" i="248"/>
  <c r="M10" i="248"/>
  <c r="C49" i="248"/>
  <c r="P13" i="248"/>
  <c r="M48" i="248"/>
  <c r="Q13" i="248"/>
  <c r="M11" i="248"/>
  <c r="E49" i="248"/>
  <c r="F49" i="248" s="1"/>
  <c r="M15" i="248"/>
  <c r="E50" i="248"/>
  <c r="F50" i="248" s="1"/>
  <c r="F50" i="230"/>
  <c r="G50" i="230" s="1"/>
  <c r="F42" i="230"/>
  <c r="G42" i="230" s="1"/>
  <c r="F45" i="230"/>
  <c r="G45" i="230" s="1"/>
  <c r="F46" i="230"/>
  <c r="G46" i="230" s="1"/>
  <c r="F47" i="230"/>
  <c r="G47" i="230" s="1"/>
  <c r="F43" i="230"/>
  <c r="G43" i="230" s="1"/>
  <c r="F48" i="230"/>
  <c r="G48" i="230" s="1"/>
  <c r="F51" i="230"/>
  <c r="G51" i="230" s="1"/>
  <c r="F49" i="230"/>
  <c r="G49" i="230" s="1"/>
  <c r="F44" i="230"/>
  <c r="G44" i="230" s="1"/>
  <c r="H51" i="246"/>
  <c r="L51" i="246" s="1"/>
  <c r="L50" i="246"/>
  <c r="G50" i="246"/>
  <c r="C51" i="246"/>
  <c r="G51" i="246" s="1"/>
  <c r="C25" i="213"/>
  <c r="C52" i="204"/>
  <c r="J32" i="215"/>
  <c r="J33" i="215"/>
  <c r="D58" i="215" s="1"/>
  <c r="J34" i="215"/>
  <c r="D59" i="215" s="1"/>
  <c r="J35" i="215"/>
  <c r="J36" i="215"/>
  <c r="D61" i="215" s="1"/>
  <c r="J37" i="215"/>
  <c r="D62" i="215" s="1"/>
  <c r="J38" i="215"/>
  <c r="J31" i="215"/>
  <c r="D56" i="215" s="1"/>
  <c r="F32" i="215"/>
  <c r="F33" i="215"/>
  <c r="C58" i="215" s="1"/>
  <c r="F34" i="215"/>
  <c r="C59" i="215" s="1"/>
  <c r="F35" i="215"/>
  <c r="C60" i="215" s="1"/>
  <c r="F36" i="215"/>
  <c r="C61" i="215" s="1"/>
  <c r="F37" i="215"/>
  <c r="C62" i="215" s="1"/>
  <c r="F38" i="215"/>
  <c r="C63" i="215" s="1"/>
  <c r="F31" i="215"/>
  <c r="C56" i="215" s="1"/>
  <c r="I41" i="215"/>
  <c r="D41" i="215"/>
  <c r="E41" i="215"/>
  <c r="G41" i="215"/>
  <c r="H41" i="215"/>
  <c r="D40" i="215"/>
  <c r="C43" i="204"/>
  <c r="Q105" i="246" l="1"/>
  <c r="Q99" i="246"/>
  <c r="Q98" i="246"/>
  <c r="Q97" i="246" s="1"/>
  <c r="Q96" i="246"/>
  <c r="Q104" i="246"/>
  <c r="Q103" i="246" s="1"/>
  <c r="F46" i="215"/>
  <c r="J48" i="215"/>
  <c r="J41" i="215"/>
  <c r="D60" i="215"/>
  <c r="J59" i="215"/>
  <c r="J62" i="215"/>
  <c r="J56" i="215"/>
  <c r="J53" i="215"/>
  <c r="J61" i="215"/>
  <c r="D57" i="215"/>
  <c r="J40" i="215"/>
  <c r="J55" i="215"/>
  <c r="C57" i="215"/>
  <c r="F40" i="215"/>
  <c r="D63" i="215"/>
  <c r="J49" i="215"/>
  <c r="Q11" i="248"/>
  <c r="P11" i="248"/>
  <c r="M46" i="248"/>
  <c r="AA15" i="248"/>
  <c r="M45" i="248"/>
  <c r="Q10" i="248"/>
  <c r="AC15" i="248" s="1"/>
  <c r="P10" i="248"/>
  <c r="M50" i="248"/>
  <c r="Q15" i="248"/>
  <c r="P15" i="248"/>
  <c r="F41" i="215"/>
  <c r="K110" i="246"/>
  <c r="K109" i="246"/>
  <c r="A11" i="240"/>
  <c r="A15" i="240" s="1"/>
  <c r="A19" i="240" s="1"/>
  <c r="A23" i="240" s="1"/>
  <c r="A27" i="240" s="1"/>
  <c r="A10" i="240"/>
  <c r="A14" i="240" s="1"/>
  <c r="A18" i="240" s="1"/>
  <c r="A22" i="240" s="1"/>
  <c r="A26" i="240" s="1"/>
  <c r="A9" i="240"/>
  <c r="A13" i="240" s="1"/>
  <c r="A17" i="240" s="1"/>
  <c r="A21" i="240" s="1"/>
  <c r="A25" i="240" s="1"/>
  <c r="A8" i="240"/>
  <c r="A12" i="240" s="1"/>
  <c r="A16" i="240" s="1"/>
  <c r="A20" i="240" s="1"/>
  <c r="A24" i="240" s="1"/>
  <c r="G54" i="215" l="1"/>
  <c r="N97" i="246" s="1"/>
  <c r="F48" i="215"/>
  <c r="J60" i="215"/>
  <c r="G61" i="215"/>
  <c r="G60" i="215" s="1"/>
  <c r="AB15" i="248"/>
  <c r="S2" i="248"/>
  <c r="A15" i="235"/>
  <c r="A21" i="235" s="1"/>
  <c r="A27" i="235" s="1"/>
  <c r="A33" i="235" s="1"/>
  <c r="A39" i="235" s="1"/>
  <c r="A14" i="235"/>
  <c r="A20" i="235" s="1"/>
  <c r="A26" i="235" s="1"/>
  <c r="A32" i="235" s="1"/>
  <c r="A38" i="235" s="1"/>
  <c r="A13" i="235"/>
  <c r="A19" i="235" s="1"/>
  <c r="A25" i="235" s="1"/>
  <c r="A31" i="235" s="1"/>
  <c r="A37" i="235" s="1"/>
  <c r="A12" i="235"/>
  <c r="A18" i="235" s="1"/>
  <c r="A24" i="235" s="1"/>
  <c r="A30" i="235" s="1"/>
  <c r="A36" i="235" s="1"/>
  <c r="A11" i="235"/>
  <c r="A17" i="235" s="1"/>
  <c r="A23" i="235" s="1"/>
  <c r="A29" i="235" s="1"/>
  <c r="A35" i="235" s="1"/>
  <c r="A10" i="235"/>
  <c r="A16" i="235" s="1"/>
  <c r="A22" i="235" s="1"/>
  <c r="A28" i="235" s="1"/>
  <c r="A34" i="235" s="1"/>
  <c r="Y5" i="223"/>
  <c r="AA9" i="223" s="1"/>
  <c r="X5" i="223"/>
  <c r="Z7" i="223" s="1"/>
  <c r="W38" i="211"/>
  <c r="T38" i="228"/>
  <c r="AA25" i="230" l="1"/>
  <c r="X25" i="248" s="1"/>
  <c r="AA7" i="223"/>
  <c r="Z9" i="223"/>
  <c r="R45" i="230"/>
  <c r="A19" i="218" l="1"/>
  <c r="A27" i="218" s="1"/>
  <c r="A35" i="218" s="1"/>
  <c r="A43" i="218" s="1"/>
  <c r="A51" i="218" s="1"/>
  <c r="A18" i="218"/>
  <c r="A26" i="218" s="1"/>
  <c r="A34" i="218" s="1"/>
  <c r="A42" i="218" s="1"/>
  <c r="A50" i="218" s="1"/>
  <c r="A17" i="218"/>
  <c r="A25" i="218" s="1"/>
  <c r="A33" i="218" s="1"/>
  <c r="A41" i="218" s="1"/>
  <c r="A49" i="218" s="1"/>
  <c r="A16" i="218"/>
  <c r="A24" i="218" s="1"/>
  <c r="A32" i="218" s="1"/>
  <c r="A40" i="218" s="1"/>
  <c r="A48" i="218" s="1"/>
  <c r="A15" i="218"/>
  <c r="A23" i="218" s="1"/>
  <c r="A31" i="218" s="1"/>
  <c r="A39" i="218" s="1"/>
  <c r="A47" i="218" s="1"/>
  <c r="A14" i="218"/>
  <c r="A22" i="218" s="1"/>
  <c r="A30" i="218" s="1"/>
  <c r="A38" i="218" s="1"/>
  <c r="A46" i="218" s="1"/>
  <c r="A13" i="218"/>
  <c r="A21" i="218" s="1"/>
  <c r="A29" i="218" s="1"/>
  <c r="A37" i="218" s="1"/>
  <c r="A45" i="218" s="1"/>
  <c r="A12" i="218"/>
  <c r="A20" i="218" s="1"/>
  <c r="A28" i="218" s="1"/>
  <c r="A36" i="218" s="1"/>
  <c r="A44" i="218" s="1"/>
  <c r="E62" i="208"/>
  <c r="L54" i="208"/>
  <c r="J49" i="208"/>
  <c r="K49" i="208" s="1"/>
  <c r="J54" i="208"/>
  <c r="L34" i="208"/>
  <c r="E40" i="208"/>
  <c r="J34" i="208"/>
  <c r="H39" i="208"/>
  <c r="H49" i="208"/>
  <c r="H35" i="208"/>
  <c r="L49" i="208"/>
  <c r="Z8" i="223" l="1"/>
  <c r="Z10" i="223"/>
  <c r="E70" i="208"/>
  <c r="U10" i="228"/>
  <c r="P27" i="228"/>
  <c r="Q27" i="228"/>
  <c r="P28" i="228"/>
  <c r="Q28" i="228"/>
  <c r="P29" i="228"/>
  <c r="Q29" i="228"/>
  <c r="P30" i="228"/>
  <c r="Q30" i="228"/>
  <c r="P31" i="228"/>
  <c r="Q31" i="228"/>
  <c r="P32" i="228"/>
  <c r="Q32" i="228"/>
  <c r="P33" i="228"/>
  <c r="Q33" i="228"/>
  <c r="P34" i="228"/>
  <c r="Q34" i="228"/>
  <c r="P35" i="228"/>
  <c r="Q35" i="228"/>
  <c r="P36" i="228"/>
  <c r="Q36" i="228"/>
  <c r="H29" i="228"/>
  <c r="I29" i="228" s="1"/>
  <c r="E28" i="228"/>
  <c r="H28" i="228"/>
  <c r="O45" i="228" l="1"/>
  <c r="R54" i="230"/>
  <c r="Q54" i="230"/>
  <c r="R53" i="230"/>
  <c r="Q53" i="230"/>
  <c r="R52" i="230"/>
  <c r="Q52" i="230"/>
  <c r="R51" i="230"/>
  <c r="Q51" i="230"/>
  <c r="R50" i="230"/>
  <c r="Q50" i="230"/>
  <c r="R49" i="230"/>
  <c r="Q49" i="230"/>
  <c r="R48" i="230"/>
  <c r="Q48" i="230"/>
  <c r="R47" i="230"/>
  <c r="Q47" i="230"/>
  <c r="R46" i="230"/>
  <c r="Q46" i="230"/>
  <c r="Q45" i="230"/>
  <c r="R44" i="230"/>
  <c r="Q44" i="230"/>
  <c r="R43" i="230"/>
  <c r="Q43" i="230"/>
  <c r="R42" i="230"/>
  <c r="Q42" i="230"/>
  <c r="T36" i="230"/>
  <c r="S36" i="230"/>
  <c r="K36" i="230"/>
  <c r="L36" i="230" s="1"/>
  <c r="P18" i="230" s="1"/>
  <c r="S18" i="230" s="1"/>
  <c r="H36" i="230"/>
  <c r="T35" i="230"/>
  <c r="S35" i="230"/>
  <c r="K35" i="230"/>
  <c r="L35" i="230" s="1"/>
  <c r="P17" i="230" s="1"/>
  <c r="H35" i="230"/>
  <c r="T34" i="230"/>
  <c r="S34" i="230"/>
  <c r="K34" i="230"/>
  <c r="L34" i="230" s="1"/>
  <c r="P16" i="230" s="1"/>
  <c r="H34" i="230"/>
  <c r="T33" i="230"/>
  <c r="S33" i="230"/>
  <c r="K33" i="230"/>
  <c r="L33" i="230" s="1"/>
  <c r="H33" i="230"/>
  <c r="T32" i="230"/>
  <c r="S32" i="230"/>
  <c r="K32" i="230"/>
  <c r="L32" i="230" s="1"/>
  <c r="H32" i="230"/>
  <c r="T31" i="230"/>
  <c r="S31" i="230"/>
  <c r="K31" i="230"/>
  <c r="L31" i="230" s="1"/>
  <c r="H31" i="230"/>
  <c r="T30" i="230"/>
  <c r="S30" i="230"/>
  <c r="K30" i="230"/>
  <c r="L30" i="230" s="1"/>
  <c r="P12" i="230" s="1"/>
  <c r="H30" i="230"/>
  <c r="T29" i="230"/>
  <c r="S29" i="230"/>
  <c r="K29" i="230"/>
  <c r="L29" i="230" s="1"/>
  <c r="H29" i="230"/>
  <c r="T28" i="230"/>
  <c r="S28" i="230"/>
  <c r="K28" i="230"/>
  <c r="L28" i="230" s="1"/>
  <c r="H28" i="230"/>
  <c r="T27" i="230"/>
  <c r="Z9" i="230" s="1"/>
  <c r="S27" i="230"/>
  <c r="L27" i="230"/>
  <c r="P9" i="230" s="1"/>
  <c r="H27" i="230"/>
  <c r="S26" i="230"/>
  <c r="K26" i="230"/>
  <c r="L26" i="230" s="1"/>
  <c r="P8" i="230" s="1"/>
  <c r="S25" i="230"/>
  <c r="K25" i="230"/>
  <c r="L25" i="230" s="1"/>
  <c r="P7" i="230" s="1"/>
  <c r="S24" i="230"/>
  <c r="K24" i="230"/>
  <c r="L24" i="230" s="1"/>
  <c r="P6" i="230" s="1"/>
  <c r="X15" i="230"/>
  <c r="AF14" i="230"/>
  <c r="AE14" i="230"/>
  <c r="AD14" i="230"/>
  <c r="X14" i="230"/>
  <c r="AF13" i="230"/>
  <c r="AE13" i="230"/>
  <c r="AD13" i="230"/>
  <c r="X13" i="230"/>
  <c r="AF12" i="230"/>
  <c r="AE12" i="230"/>
  <c r="AD12" i="230"/>
  <c r="X12" i="230"/>
  <c r="AF11" i="230"/>
  <c r="AE11" i="230"/>
  <c r="AD11" i="230"/>
  <c r="X11" i="230"/>
  <c r="AF10" i="230"/>
  <c r="AE10" i="230"/>
  <c r="AD10" i="230"/>
  <c r="X10" i="230"/>
  <c r="X9" i="230"/>
  <c r="Z8" i="230"/>
  <c r="X8" i="230"/>
  <c r="W28" i="211"/>
  <c r="Y6" i="223"/>
  <c r="X28" i="211"/>
  <c r="T28" i="228"/>
  <c r="O53" i="228"/>
  <c r="N53" i="228"/>
  <c r="O52" i="228"/>
  <c r="N52" i="228"/>
  <c r="O51" i="228"/>
  <c r="N51" i="228"/>
  <c r="O50" i="228"/>
  <c r="N50" i="228"/>
  <c r="O49" i="228"/>
  <c r="N49" i="228"/>
  <c r="O48" i="228"/>
  <c r="N48" i="228"/>
  <c r="O47" i="228"/>
  <c r="N47" i="228"/>
  <c r="O46" i="228"/>
  <c r="N46" i="228"/>
  <c r="N45" i="228"/>
  <c r="O44" i="228"/>
  <c r="N44" i="228"/>
  <c r="O43" i="228"/>
  <c r="N43" i="228"/>
  <c r="O42" i="228"/>
  <c r="N42" i="228"/>
  <c r="O41" i="228"/>
  <c r="N41" i="228"/>
  <c r="H36" i="228"/>
  <c r="I36" i="228" s="1"/>
  <c r="M18" i="228" s="1"/>
  <c r="M53" i="228" s="1"/>
  <c r="E36" i="228"/>
  <c r="H35" i="228"/>
  <c r="I35" i="228" s="1"/>
  <c r="M17" i="228" s="1"/>
  <c r="E35" i="228"/>
  <c r="H34" i="228"/>
  <c r="I34" i="228" s="1"/>
  <c r="M16" i="228" s="1"/>
  <c r="E34" i="228"/>
  <c r="H33" i="228"/>
  <c r="I33" i="228" s="1"/>
  <c r="E33" i="228"/>
  <c r="H32" i="228"/>
  <c r="I32" i="228" s="1"/>
  <c r="E32" i="228"/>
  <c r="H31" i="228"/>
  <c r="I31" i="228" s="1"/>
  <c r="E31" i="228"/>
  <c r="H30" i="228"/>
  <c r="I30" i="228" s="1"/>
  <c r="M12" i="228" s="1"/>
  <c r="E30" i="228"/>
  <c r="E29" i="228"/>
  <c r="U28" i="228"/>
  <c r="I28" i="228"/>
  <c r="W9" i="228"/>
  <c r="V9" i="228"/>
  <c r="H27" i="228"/>
  <c r="I27" i="228" s="1"/>
  <c r="E27" i="228"/>
  <c r="P26" i="228"/>
  <c r="H26" i="228"/>
  <c r="I26" i="228" s="1"/>
  <c r="M8" i="228" s="1"/>
  <c r="P25" i="228"/>
  <c r="V8" i="228" s="1"/>
  <c r="H25" i="228"/>
  <c r="I25" i="228" s="1"/>
  <c r="M7" i="228" s="1"/>
  <c r="P24" i="228"/>
  <c r="H24" i="228"/>
  <c r="I24" i="228" s="1"/>
  <c r="M6" i="228" s="1"/>
  <c r="U15" i="228"/>
  <c r="AC14" i="228"/>
  <c r="AB14" i="228"/>
  <c r="AA14" i="228"/>
  <c r="U14" i="228"/>
  <c r="AC13" i="228"/>
  <c r="AB13" i="228"/>
  <c r="AA13" i="228"/>
  <c r="U13" i="228"/>
  <c r="AC12" i="228"/>
  <c r="AB12" i="228"/>
  <c r="AA12" i="228"/>
  <c r="U12" i="228"/>
  <c r="AC11" i="228"/>
  <c r="AB11" i="228"/>
  <c r="AA11" i="228"/>
  <c r="U11" i="228"/>
  <c r="AC10" i="228"/>
  <c r="AB10" i="228"/>
  <c r="AA10" i="228"/>
  <c r="U9" i="228"/>
  <c r="W8" i="228"/>
  <c r="U8" i="228"/>
  <c r="Y8" i="230" l="1"/>
  <c r="Y9" i="230"/>
  <c r="AA8" i="223"/>
  <c r="AA10" i="223"/>
  <c r="T30" i="228"/>
  <c r="T31" i="228" s="1"/>
  <c r="T35" i="228"/>
  <c r="T36" i="228"/>
  <c r="D65" i="230"/>
  <c r="Y12" i="230"/>
  <c r="Z12" i="230"/>
  <c r="Z11" i="230"/>
  <c r="Y11" i="230"/>
  <c r="Z14" i="230"/>
  <c r="W33" i="230"/>
  <c r="Y13" i="230"/>
  <c r="Z13" i="230"/>
  <c r="Y14" i="230"/>
  <c r="Z15" i="230"/>
  <c r="P48" i="230"/>
  <c r="T12" i="230"/>
  <c r="S12" i="230"/>
  <c r="S17" i="230"/>
  <c r="P53" i="230"/>
  <c r="T17" i="230"/>
  <c r="C64" i="230"/>
  <c r="P10" i="230"/>
  <c r="S6" i="230"/>
  <c r="P42" i="230"/>
  <c r="S7" i="230"/>
  <c r="P43" i="230"/>
  <c r="D64" i="230"/>
  <c r="H64" i="230"/>
  <c r="P52" i="230"/>
  <c r="T16" i="230"/>
  <c r="S16" i="230"/>
  <c r="P44" i="230"/>
  <c r="S8" i="230"/>
  <c r="C65" i="230"/>
  <c r="P14" i="230"/>
  <c r="H65" i="230"/>
  <c r="P15" i="230"/>
  <c r="P13" i="230"/>
  <c r="T18" i="230"/>
  <c r="Z10" i="230"/>
  <c r="Y15" i="230"/>
  <c r="P54" i="230"/>
  <c r="Y10" i="230"/>
  <c r="V11" i="228"/>
  <c r="V14" i="228"/>
  <c r="T34" i="228"/>
  <c r="W11" i="228"/>
  <c r="W12" i="228"/>
  <c r="T33" i="228"/>
  <c r="W14" i="228"/>
  <c r="V12" i="228"/>
  <c r="W13" i="228"/>
  <c r="W15" i="228"/>
  <c r="M15" i="228"/>
  <c r="E50" i="228"/>
  <c r="F50" i="228" s="1"/>
  <c r="E49" i="228"/>
  <c r="M11" i="228"/>
  <c r="Q16" i="228"/>
  <c r="P16" i="228"/>
  <c r="M51" i="228"/>
  <c r="M41" i="228"/>
  <c r="P6" i="228"/>
  <c r="M42" i="228"/>
  <c r="P7" i="228"/>
  <c r="P12" i="228"/>
  <c r="Q12" i="228"/>
  <c r="M47" i="228"/>
  <c r="P17" i="228"/>
  <c r="Q17" i="228"/>
  <c r="M52" i="228"/>
  <c r="M43" i="228"/>
  <c r="P8" i="228"/>
  <c r="M13" i="228"/>
  <c r="D50" i="228"/>
  <c r="M9" i="228"/>
  <c r="D49" i="228"/>
  <c r="M14" i="228"/>
  <c r="C50" i="228"/>
  <c r="C49" i="228"/>
  <c r="M10" i="228"/>
  <c r="W10" i="228"/>
  <c r="Q18" i="228"/>
  <c r="V10" i="228"/>
  <c r="P18" i="228"/>
  <c r="V13" i="228"/>
  <c r="V15" i="228"/>
  <c r="I64" i="230" l="1"/>
  <c r="T29" i="228"/>
  <c r="AA15" i="228"/>
  <c r="I65" i="230"/>
  <c r="T11" i="230"/>
  <c r="S11" i="230"/>
  <c r="P47" i="230"/>
  <c r="S9" i="230"/>
  <c r="P45" i="230"/>
  <c r="T9" i="230"/>
  <c r="P46" i="230"/>
  <c r="T10" i="230"/>
  <c r="S10" i="230"/>
  <c r="T14" i="230"/>
  <c r="S14" i="230"/>
  <c r="P50" i="230"/>
  <c r="P49" i="230"/>
  <c r="T13" i="230"/>
  <c r="S13" i="230"/>
  <c r="P51" i="230"/>
  <c r="T15" i="230"/>
  <c r="S15" i="230"/>
  <c r="F49" i="228"/>
  <c r="Q9" i="228"/>
  <c r="P9" i="228"/>
  <c r="M44" i="228"/>
  <c r="Q13" i="228"/>
  <c r="P13" i="228"/>
  <c r="M48" i="228"/>
  <c r="M50" i="228"/>
  <c r="Q15" i="228"/>
  <c r="P15" i="228"/>
  <c r="Q10" i="228"/>
  <c r="M45" i="228"/>
  <c r="P10" i="228"/>
  <c r="P14" i="228"/>
  <c r="M49" i="228"/>
  <c r="Q14" i="228"/>
  <c r="Q11" i="228"/>
  <c r="P11" i="228"/>
  <c r="M46" i="228"/>
  <c r="V2" i="230" l="1"/>
  <c r="S2" i="228"/>
  <c r="AC15" i="228"/>
  <c r="AB15" i="228"/>
  <c r="D47" i="204"/>
  <c r="D46" i="204"/>
  <c r="D50" i="204"/>
  <c r="D49" i="204"/>
  <c r="E52" i="204"/>
  <c r="C5" i="213"/>
  <c r="M184" i="184" l="1"/>
  <c r="M176" i="184"/>
  <c r="M180" i="184"/>
  <c r="M181" i="184" s="1"/>
  <c r="M177" i="184"/>
  <c r="M178" i="184" s="1"/>
  <c r="M172" i="184"/>
  <c r="M173" i="184" s="1"/>
  <c r="M171" i="184"/>
  <c r="M162" i="184"/>
  <c r="H36" i="211"/>
  <c r="H35" i="211"/>
  <c r="H34" i="211"/>
  <c r="H33" i="211"/>
  <c r="H32" i="211"/>
  <c r="H31" i="211"/>
  <c r="H30" i="211"/>
  <c r="H29" i="211"/>
  <c r="H28" i="211"/>
  <c r="E28" i="212"/>
  <c r="E29" i="212"/>
  <c r="E30" i="212"/>
  <c r="E31" i="212"/>
  <c r="E32" i="212"/>
  <c r="E33" i="212"/>
  <c r="E34" i="212"/>
  <c r="E35" i="212"/>
  <c r="E36" i="212"/>
  <c r="E27" i="212"/>
  <c r="M183" i="184" l="1"/>
  <c r="M186" i="184" s="1"/>
  <c r="M175" i="184"/>
  <c r="H92" i="204" l="1"/>
  <c r="D92" i="204"/>
  <c r="C92" i="204"/>
  <c r="F92" i="204"/>
  <c r="F57" i="204"/>
  <c r="C57" i="204"/>
  <c r="F56" i="204"/>
  <c r="C56" i="204"/>
  <c r="D91" i="204"/>
  <c r="F91" i="204"/>
  <c r="H91" i="204"/>
  <c r="C91" i="204"/>
  <c r="I72" i="213"/>
  <c r="H72" i="213"/>
  <c r="F70" i="213"/>
  <c r="G70" i="213"/>
  <c r="I68" i="213"/>
  <c r="H68" i="213"/>
  <c r="G68" i="213"/>
  <c r="F68" i="213"/>
  <c r="C73" i="213"/>
  <c r="D73" i="213"/>
  <c r="I89" i="204"/>
  <c r="D70" i="213"/>
  <c r="C70" i="213"/>
  <c r="D68" i="213"/>
  <c r="C68" i="213"/>
  <c r="D237" i="184"/>
  <c r="C237" i="184"/>
  <c r="D234" i="184"/>
  <c r="C234" i="184"/>
  <c r="D233" i="184"/>
  <c r="C233" i="184"/>
  <c r="C235" i="184" s="1"/>
  <c r="C236" i="184" s="1"/>
  <c r="G229" i="184" s="1"/>
  <c r="D71" i="213" l="1"/>
  <c r="C71" i="213"/>
  <c r="C238" i="184"/>
  <c r="D235" i="184"/>
  <c r="D236" i="184" s="1"/>
  <c r="D238" i="184" l="1"/>
  <c r="H229" i="184"/>
  <c r="D200" i="208"/>
  <c r="F43" i="178"/>
  <c r="F42" i="178"/>
  <c r="F44" i="178"/>
  <c r="F23" i="178"/>
  <c r="F21" i="178"/>
  <c r="F22" i="178"/>
  <c r="D211" i="184" l="1"/>
  <c r="D224" i="184"/>
  <c r="D90" i="204" l="1"/>
  <c r="F90" i="204"/>
  <c r="H90" i="204"/>
  <c r="C90" i="204"/>
  <c r="C55" i="204"/>
  <c r="F55" i="204"/>
  <c r="H183" i="207" l="1"/>
  <c r="H184" i="207"/>
  <c r="H185" i="207"/>
  <c r="H186" i="207"/>
  <c r="H187" i="207"/>
  <c r="I173" i="207"/>
  <c r="H175" i="207"/>
  <c r="H176" i="207"/>
  <c r="H177" i="207"/>
  <c r="H178" i="207"/>
  <c r="H179" i="207"/>
  <c r="AF14" i="211"/>
  <c r="AE14" i="211"/>
  <c r="AD14" i="211"/>
  <c r="AF13" i="211"/>
  <c r="AE13" i="211"/>
  <c r="AD13" i="211"/>
  <c r="AF12" i="211"/>
  <c r="AE12" i="211"/>
  <c r="AD12" i="211"/>
  <c r="AF11" i="211"/>
  <c r="AE11" i="211"/>
  <c r="AD11" i="211"/>
  <c r="AF10" i="211"/>
  <c r="AE10" i="211"/>
  <c r="AD10" i="211"/>
  <c r="AC14" i="212"/>
  <c r="AB14" i="212"/>
  <c r="AA14" i="212"/>
  <c r="AC13" i="212"/>
  <c r="AB13" i="212"/>
  <c r="AA13" i="212"/>
  <c r="AC12" i="212"/>
  <c r="AB12" i="212"/>
  <c r="AA12" i="212"/>
  <c r="AC11" i="212"/>
  <c r="AB11" i="212"/>
  <c r="AA11" i="212"/>
  <c r="AC10" i="212"/>
  <c r="AB10" i="212"/>
  <c r="AA10" i="212"/>
  <c r="K97" i="204"/>
  <c r="J97" i="204"/>
  <c r="K98" i="204"/>
  <c r="J98" i="204"/>
  <c r="K96" i="204"/>
  <c r="J96" i="204"/>
  <c r="K103" i="204"/>
  <c r="J103" i="204"/>
  <c r="I99" i="204"/>
  <c r="I100" i="204"/>
  <c r="I101" i="204"/>
  <c r="I102" i="204"/>
  <c r="I105" i="204"/>
  <c r="I106" i="204"/>
  <c r="I107" i="204"/>
  <c r="I108" i="204"/>
  <c r="D89" i="204"/>
  <c r="F89" i="204"/>
  <c r="H89" i="204"/>
  <c r="C89" i="204"/>
  <c r="F54" i="204"/>
  <c r="C54" i="204"/>
  <c r="S121" i="204"/>
  <c r="S122" i="204"/>
  <c r="S123" i="204"/>
  <c r="S124" i="204"/>
  <c r="S125" i="204"/>
  <c r="S120" i="204"/>
  <c r="O75" i="204"/>
  <c r="D5" i="213"/>
  <c r="M13" i="213"/>
  <c r="J13" i="213"/>
  <c r="E13" i="213"/>
  <c r="M12" i="213"/>
  <c r="J12" i="213"/>
  <c r="E12" i="213"/>
  <c r="M11" i="213"/>
  <c r="J11" i="213"/>
  <c r="E11" i="213"/>
  <c r="M23" i="213"/>
  <c r="K23" i="213"/>
  <c r="M22" i="213"/>
  <c r="K22" i="213"/>
  <c r="M21" i="213"/>
  <c r="K21" i="213"/>
  <c r="M20" i="213"/>
  <c r="K20" i="213"/>
  <c r="M19" i="213"/>
  <c r="M18" i="213"/>
  <c r="K18" i="213"/>
  <c r="M17" i="213"/>
  <c r="K17" i="213"/>
  <c r="M16" i="213"/>
  <c r="K16" i="213"/>
  <c r="M15" i="213"/>
  <c r="K15" i="213"/>
  <c r="M14" i="213"/>
  <c r="K14" i="213"/>
  <c r="N30" i="213"/>
  <c r="I31" i="213"/>
  <c r="H31" i="213"/>
  <c r="G31" i="213"/>
  <c r="F31" i="213"/>
  <c r="D31" i="213"/>
  <c r="E31" i="213" s="1"/>
  <c r="C31" i="213"/>
  <c r="I30" i="213"/>
  <c r="H30" i="213"/>
  <c r="G30" i="213"/>
  <c r="F30" i="213"/>
  <c r="D30" i="213"/>
  <c r="C30" i="213"/>
  <c r="I28" i="213"/>
  <c r="H28" i="213"/>
  <c r="G28" i="213"/>
  <c r="F28" i="213"/>
  <c r="D28" i="213"/>
  <c r="C28" i="213"/>
  <c r="E28" i="213" s="1"/>
  <c r="I27" i="213"/>
  <c r="H27" i="213"/>
  <c r="G27" i="213"/>
  <c r="F27" i="213"/>
  <c r="E27" i="213"/>
  <c r="D27" i="213"/>
  <c r="C27" i="213"/>
  <c r="I25" i="213"/>
  <c r="H25" i="213"/>
  <c r="G25" i="213"/>
  <c r="F25" i="213"/>
  <c r="D25" i="213"/>
  <c r="J21" i="213"/>
  <c r="E21" i="213"/>
  <c r="J20" i="213"/>
  <c r="E20" i="213"/>
  <c r="J19" i="213"/>
  <c r="J28" i="213" s="1"/>
  <c r="E19" i="213"/>
  <c r="J18" i="213"/>
  <c r="E18" i="213"/>
  <c r="J17" i="213"/>
  <c r="E17" i="213"/>
  <c r="J16" i="213"/>
  <c r="E16" i="213"/>
  <c r="J15" i="213"/>
  <c r="J27" i="213" s="1"/>
  <c r="E15" i="213"/>
  <c r="E25" i="213" s="1"/>
  <c r="J14" i="213"/>
  <c r="J30" i="213" s="1"/>
  <c r="E14" i="213"/>
  <c r="AO7" i="211" l="1"/>
  <c r="AL6" i="230" s="1"/>
  <c r="AI4" i="248" s="1"/>
  <c r="AP7" i="211"/>
  <c r="AM6" i="230" s="1"/>
  <c r="AJ4" i="248" s="1"/>
  <c r="AN7" i="211"/>
  <c r="AK6" i="230" s="1"/>
  <c r="AH4" i="248" s="1"/>
  <c r="N28" i="213"/>
  <c r="J35" i="213"/>
  <c r="J36" i="213" s="1"/>
  <c r="J25" i="213"/>
  <c r="F35" i="213"/>
  <c r="D35" i="213"/>
  <c r="N27" i="213"/>
  <c r="J31" i="213"/>
  <c r="C35" i="213"/>
  <c r="E35" i="213" s="1"/>
  <c r="E36" i="213" s="1"/>
  <c r="G35" i="213"/>
  <c r="H35" i="213"/>
  <c r="H36" i="213" s="1"/>
  <c r="I35" i="213"/>
  <c r="I36" i="213" s="1"/>
  <c r="N33" i="213"/>
  <c r="L27" i="213"/>
  <c r="L28" i="213"/>
  <c r="D36" i="213"/>
  <c r="G36" i="213"/>
  <c r="F36" i="213"/>
  <c r="E30" i="213"/>
  <c r="L33" i="213"/>
  <c r="AJ14" i="171"/>
  <c r="AI14" i="171"/>
  <c r="AH14" i="171"/>
  <c r="AG14" i="171"/>
  <c r="AF14" i="171"/>
  <c r="AE14" i="171"/>
  <c r="AD14" i="171"/>
  <c r="AC14" i="171"/>
  <c r="AJ13" i="171"/>
  <c r="AI13" i="171"/>
  <c r="AH13" i="171"/>
  <c r="AG13" i="171"/>
  <c r="AF13" i="171"/>
  <c r="AE13" i="171"/>
  <c r="AD13" i="171"/>
  <c r="AC13" i="171"/>
  <c r="AM10" i="171"/>
  <c r="AN10" i="171"/>
  <c r="AM12" i="171"/>
  <c r="AN12" i="171"/>
  <c r="AJ11" i="171"/>
  <c r="AI11" i="171"/>
  <c r="AH11" i="171"/>
  <c r="AG11" i="171"/>
  <c r="AF11" i="171"/>
  <c r="AE11" i="171"/>
  <c r="AD11" i="171"/>
  <c r="AC11" i="171"/>
  <c r="AK10" i="171"/>
  <c r="AL10" i="171"/>
  <c r="AK12" i="171"/>
  <c r="AL12" i="171"/>
  <c r="AA14" i="171"/>
  <c r="Z14" i="171"/>
  <c r="Y14" i="171"/>
  <c r="X14" i="171"/>
  <c r="W14" i="171"/>
  <c r="V14" i="171"/>
  <c r="U14" i="171"/>
  <c r="T14" i="171"/>
  <c r="AA13" i="171"/>
  <c r="Z13" i="171"/>
  <c r="Y13" i="171"/>
  <c r="X13" i="171"/>
  <c r="W13" i="171"/>
  <c r="V13" i="171"/>
  <c r="U13" i="171"/>
  <c r="T13" i="171"/>
  <c r="AA11" i="171"/>
  <c r="Z11" i="171"/>
  <c r="Y11" i="171"/>
  <c r="X11" i="171"/>
  <c r="W11" i="171"/>
  <c r="V11" i="171"/>
  <c r="U11" i="171"/>
  <c r="AB10" i="171"/>
  <c r="AB12" i="171"/>
  <c r="T11" i="171"/>
  <c r="R14" i="171"/>
  <c r="Q14" i="171"/>
  <c r="P14" i="171"/>
  <c r="O14" i="171"/>
  <c r="N14" i="171"/>
  <c r="AL14" i="171" s="1"/>
  <c r="M14" i="171"/>
  <c r="L14" i="171"/>
  <c r="R13" i="171"/>
  <c r="Q13" i="171"/>
  <c r="P13" i="171"/>
  <c r="O13" i="171"/>
  <c r="N13" i="171"/>
  <c r="AL13" i="171" s="1"/>
  <c r="M13" i="171"/>
  <c r="L13" i="171"/>
  <c r="K14" i="171"/>
  <c r="K13" i="171"/>
  <c r="R11" i="171"/>
  <c r="Q11" i="171"/>
  <c r="P11" i="171"/>
  <c r="O11" i="171"/>
  <c r="N11" i="171"/>
  <c r="AL11" i="171" s="1"/>
  <c r="M11" i="171"/>
  <c r="L11" i="171"/>
  <c r="S10" i="171"/>
  <c r="S12" i="171"/>
  <c r="K11" i="171"/>
  <c r="J14" i="171"/>
  <c r="J13" i="171"/>
  <c r="H14" i="171"/>
  <c r="H13" i="171"/>
  <c r="H11" i="171"/>
  <c r="C36" i="213" l="1"/>
  <c r="S14" i="171"/>
  <c r="AK14" i="171" s="1"/>
  <c r="AN14" i="171" s="1"/>
  <c r="S13" i="171"/>
  <c r="AB13" i="171" s="1"/>
  <c r="AM13" i="171" s="1"/>
  <c r="S11" i="171"/>
  <c r="AK11" i="171" s="1"/>
  <c r="AB14" i="171" l="1"/>
  <c r="AM14" i="171" s="1"/>
  <c r="AK13" i="171"/>
  <c r="AN13" i="171" s="1"/>
  <c r="AB11" i="171"/>
  <c r="AM11" i="171" s="1"/>
  <c r="C116" i="208"/>
  <c r="C115" i="208"/>
  <c r="C114" i="208"/>
  <c r="C113" i="208"/>
  <c r="C112" i="208"/>
  <c r="C51" i="208"/>
  <c r="C50" i="208"/>
  <c r="C49" i="208"/>
  <c r="C48" i="208"/>
  <c r="C47" i="208"/>
  <c r="C106" i="207"/>
  <c r="C105" i="207"/>
  <c r="C104" i="207"/>
  <c r="C103" i="207"/>
  <c r="C102" i="207"/>
  <c r="C51" i="207"/>
  <c r="C50" i="207"/>
  <c r="C49" i="207"/>
  <c r="C48" i="207"/>
  <c r="C47" i="207"/>
  <c r="C51" i="183"/>
  <c r="C50" i="183"/>
  <c r="C49" i="183"/>
  <c r="C48" i="183"/>
  <c r="C47" i="183"/>
  <c r="C51" i="184"/>
  <c r="C50" i="184"/>
  <c r="C49" i="184"/>
  <c r="C48" i="184"/>
  <c r="C47" i="184"/>
  <c r="C134" i="184"/>
  <c r="C135" i="184"/>
  <c r="C136" i="184"/>
  <c r="C133" i="184"/>
  <c r="C132" i="184"/>
  <c r="U10" i="212"/>
  <c r="I66" i="204"/>
  <c r="I67" i="204"/>
  <c r="I68" i="204"/>
  <c r="I69" i="204"/>
  <c r="I70" i="204"/>
  <c r="I71" i="204"/>
  <c r="I72" i="204"/>
  <c r="I65" i="204"/>
  <c r="D77" i="204"/>
  <c r="I77" i="204" s="1"/>
  <c r="D78" i="204"/>
  <c r="E78" i="204"/>
  <c r="F78" i="204"/>
  <c r="G78" i="204"/>
  <c r="H78" i="204"/>
  <c r="C78" i="204"/>
  <c r="I78" i="204" s="1"/>
  <c r="E77" i="204"/>
  <c r="F77" i="204"/>
  <c r="G77" i="204"/>
  <c r="H77" i="204"/>
  <c r="C77" i="204"/>
  <c r="U12" i="212"/>
  <c r="N50" i="212" l="1"/>
  <c r="O50" i="212"/>
  <c r="N51" i="212"/>
  <c r="O51" i="212"/>
  <c r="N52" i="212"/>
  <c r="O52" i="212"/>
  <c r="D168" i="207" l="1"/>
  <c r="K13" i="213" s="1"/>
  <c r="U15" i="212"/>
  <c r="U14" i="212"/>
  <c r="U13" i="212"/>
  <c r="U11" i="212"/>
  <c r="H28" i="212"/>
  <c r="J28" i="212" s="1"/>
  <c r="H29" i="212"/>
  <c r="H30" i="212"/>
  <c r="H31" i="212"/>
  <c r="H32" i="212"/>
  <c r="J32" i="212" s="1"/>
  <c r="H33" i="212"/>
  <c r="H34" i="212"/>
  <c r="H35" i="212"/>
  <c r="H36" i="212"/>
  <c r="J36" i="212" s="1"/>
  <c r="H27" i="212"/>
  <c r="I28" i="212"/>
  <c r="O53" i="212"/>
  <c r="N53" i="212"/>
  <c r="O49" i="212"/>
  <c r="N49" i="212"/>
  <c r="O48" i="212"/>
  <c r="N48" i="212"/>
  <c r="O47" i="212"/>
  <c r="N47" i="212"/>
  <c r="O46" i="212"/>
  <c r="N46" i="212"/>
  <c r="O45" i="212"/>
  <c r="N45" i="212"/>
  <c r="O44" i="212"/>
  <c r="N44" i="212"/>
  <c r="O43" i="212"/>
  <c r="N43" i="212"/>
  <c r="O42" i="212"/>
  <c r="N42" i="212"/>
  <c r="O41" i="212"/>
  <c r="N41" i="212"/>
  <c r="Q36" i="212"/>
  <c r="P36" i="212"/>
  <c r="L23" i="213" s="1"/>
  <c r="Q35" i="212"/>
  <c r="P35" i="212"/>
  <c r="L22" i="213" s="1"/>
  <c r="Q34" i="212"/>
  <c r="P34" i="212"/>
  <c r="L21" i="213" s="1"/>
  <c r="Q33" i="212"/>
  <c r="P33" i="212"/>
  <c r="L20" i="213" s="1"/>
  <c r="Q32" i="212"/>
  <c r="P32" i="212"/>
  <c r="Q31" i="212"/>
  <c r="P31" i="212"/>
  <c r="Q30" i="212"/>
  <c r="P30" i="212"/>
  <c r="L17" i="213" s="1"/>
  <c r="Q29" i="212"/>
  <c r="P29" i="212"/>
  <c r="L16" i="213" s="1"/>
  <c r="T28" i="212"/>
  <c r="Q28" i="212"/>
  <c r="P28" i="212"/>
  <c r="Q27" i="212"/>
  <c r="W9" i="212" s="1"/>
  <c r="P27" i="212"/>
  <c r="P26" i="212"/>
  <c r="H26" i="212"/>
  <c r="I26" i="212" s="1"/>
  <c r="M8" i="212" s="1"/>
  <c r="P25" i="212"/>
  <c r="H25" i="212"/>
  <c r="I25" i="212" s="1"/>
  <c r="M7" i="212" s="1"/>
  <c r="P24" i="212"/>
  <c r="H24" i="212"/>
  <c r="I24" i="212" s="1"/>
  <c r="M6" i="212" s="1"/>
  <c r="U9" i="212"/>
  <c r="W8" i="212"/>
  <c r="U8" i="212"/>
  <c r="D196" i="208"/>
  <c r="T29" i="211"/>
  <c r="T30" i="211"/>
  <c r="T31" i="211"/>
  <c r="T32" i="211"/>
  <c r="T33" i="211"/>
  <c r="T34" i="211"/>
  <c r="T35" i="211"/>
  <c r="T36" i="211"/>
  <c r="T27" i="211"/>
  <c r="Z9" i="211" s="1"/>
  <c r="T28" i="211"/>
  <c r="S28" i="211"/>
  <c r="S29" i="211"/>
  <c r="N16" i="213" s="1"/>
  <c r="S30" i="211"/>
  <c r="N17" i="213" s="1"/>
  <c r="S31" i="211"/>
  <c r="S32" i="211"/>
  <c r="S33" i="211"/>
  <c r="N20" i="213" s="1"/>
  <c r="S34" i="211"/>
  <c r="N21" i="213" s="1"/>
  <c r="S35" i="211"/>
  <c r="S36" i="211"/>
  <c r="N23" i="213" s="1"/>
  <c r="S27" i="211"/>
  <c r="R45" i="211"/>
  <c r="R46" i="211"/>
  <c r="R47" i="211"/>
  <c r="R48" i="211"/>
  <c r="R49" i="211"/>
  <c r="R50" i="211"/>
  <c r="R51" i="211"/>
  <c r="R52" i="211"/>
  <c r="R53" i="211"/>
  <c r="R44" i="211"/>
  <c r="Q44" i="211"/>
  <c r="Q45" i="211"/>
  <c r="Q46" i="211"/>
  <c r="Q47" i="211"/>
  <c r="Q48" i="211"/>
  <c r="Q49" i="211"/>
  <c r="Q50" i="211"/>
  <c r="Q51" i="211"/>
  <c r="Q52" i="211"/>
  <c r="Q53" i="211"/>
  <c r="Z8" i="211"/>
  <c r="X15" i="211"/>
  <c r="X14" i="211"/>
  <c r="X13" i="211"/>
  <c r="X12" i="211"/>
  <c r="X11" i="211"/>
  <c r="X10" i="211"/>
  <c r="S24" i="211"/>
  <c r="S25" i="211"/>
  <c r="S26" i="211"/>
  <c r="K24" i="211"/>
  <c r="K25" i="211"/>
  <c r="K26" i="211"/>
  <c r="K29" i="211"/>
  <c r="K30" i="211"/>
  <c r="K31" i="211"/>
  <c r="K32" i="211"/>
  <c r="K33" i="211"/>
  <c r="K34" i="211"/>
  <c r="K35" i="211"/>
  <c r="K36" i="211"/>
  <c r="K27" i="211"/>
  <c r="K28" i="211"/>
  <c r="F55" i="183"/>
  <c r="F40" i="183"/>
  <c r="E40" i="183"/>
  <c r="E75" i="183"/>
  <c r="F75" i="183"/>
  <c r="M10" i="212" l="1"/>
  <c r="C49" i="212"/>
  <c r="I29" i="212"/>
  <c r="J29" i="212"/>
  <c r="L19" i="213"/>
  <c r="T36" i="212"/>
  <c r="I31" i="212"/>
  <c r="J31" i="212"/>
  <c r="I30" i="212"/>
  <c r="M12" i="212" s="1"/>
  <c r="J30" i="212"/>
  <c r="I27" i="212"/>
  <c r="J27" i="212"/>
  <c r="I35" i="212"/>
  <c r="M17" i="212" s="1"/>
  <c r="J35" i="212"/>
  <c r="I34" i="212"/>
  <c r="M16" i="212" s="1"/>
  <c r="P16" i="212" s="1"/>
  <c r="J34" i="212"/>
  <c r="L18" i="213"/>
  <c r="T35" i="212"/>
  <c r="L15" i="213"/>
  <c r="T34" i="212"/>
  <c r="I33" i="212"/>
  <c r="J33" i="212"/>
  <c r="Y8" i="211"/>
  <c r="Y9" i="211"/>
  <c r="N14" i="213"/>
  <c r="N22" i="213"/>
  <c r="N34" i="213" s="1"/>
  <c r="W33" i="211"/>
  <c r="D194" i="208" s="1"/>
  <c r="I69" i="213" s="1"/>
  <c r="W36" i="211"/>
  <c r="N19" i="213"/>
  <c r="W34" i="211"/>
  <c r="N15" i="213"/>
  <c r="W35" i="211"/>
  <c r="N18" i="213"/>
  <c r="Q16" i="212"/>
  <c r="V8" i="212"/>
  <c r="V9" i="212"/>
  <c r="L14" i="213"/>
  <c r="L35" i="213" s="1"/>
  <c r="L36" i="213" s="1"/>
  <c r="L34" i="213"/>
  <c r="D186" i="207"/>
  <c r="J185" i="207" s="1"/>
  <c r="L30" i="213"/>
  <c r="W12" i="212"/>
  <c r="V12" i="212"/>
  <c r="T33" i="212"/>
  <c r="D184" i="207" s="1"/>
  <c r="W13" i="212"/>
  <c r="V13" i="212"/>
  <c r="W11" i="212"/>
  <c r="W10" i="212"/>
  <c r="V15" i="212"/>
  <c r="V14" i="212"/>
  <c r="V11" i="212"/>
  <c r="W15" i="212"/>
  <c r="W14" i="212"/>
  <c r="V10" i="212"/>
  <c r="I32" i="212"/>
  <c r="I36" i="212"/>
  <c r="M18" i="212" s="1"/>
  <c r="P18" i="212" s="1"/>
  <c r="M41" i="212"/>
  <c r="P6" i="212"/>
  <c r="Q12" i="212"/>
  <c r="M47" i="212"/>
  <c r="P12" i="212"/>
  <c r="P7" i="212"/>
  <c r="M42" i="212"/>
  <c r="M43" i="212"/>
  <c r="P8" i="212"/>
  <c r="Q10" i="212"/>
  <c r="P10" i="212"/>
  <c r="M45" i="212"/>
  <c r="Q17" i="212"/>
  <c r="M52" i="212"/>
  <c r="P17" i="212"/>
  <c r="T27" i="212"/>
  <c r="T30" i="212"/>
  <c r="H73" i="213" s="1"/>
  <c r="W30" i="211"/>
  <c r="W27" i="211"/>
  <c r="Y14" i="211"/>
  <c r="Y12" i="211"/>
  <c r="Y10" i="211"/>
  <c r="Z14" i="211"/>
  <c r="Y13" i="211"/>
  <c r="Z11" i="211"/>
  <c r="Z12" i="211"/>
  <c r="Y11" i="211"/>
  <c r="Y15" i="211"/>
  <c r="Z13" i="211"/>
  <c r="Z10" i="211"/>
  <c r="Z15" i="211"/>
  <c r="X9" i="211"/>
  <c r="X8" i="211"/>
  <c r="L24" i="211"/>
  <c r="P6" i="211" s="1"/>
  <c r="L25" i="211"/>
  <c r="P7" i="211" s="1"/>
  <c r="S7" i="211" s="1"/>
  <c r="L26" i="211"/>
  <c r="P8" i="211" s="1"/>
  <c r="S8" i="211" s="1"/>
  <c r="L28" i="211"/>
  <c r="L29" i="211"/>
  <c r="L30" i="211"/>
  <c r="P12" i="211" s="1"/>
  <c r="L31" i="211"/>
  <c r="L32" i="211"/>
  <c r="L33" i="211"/>
  <c r="L34" i="211"/>
  <c r="P16" i="211" s="1"/>
  <c r="L35" i="211"/>
  <c r="P17" i="211" s="1"/>
  <c r="L36" i="211"/>
  <c r="P18" i="211" s="1"/>
  <c r="Q41" i="211"/>
  <c r="R41" i="211"/>
  <c r="Q42" i="211"/>
  <c r="R42" i="211"/>
  <c r="Q43" i="211"/>
  <c r="R43" i="211"/>
  <c r="L27" i="211"/>
  <c r="E187" i="207"/>
  <c r="D169" i="208"/>
  <c r="C169" i="208"/>
  <c r="D202" i="208"/>
  <c r="D201" i="208"/>
  <c r="D191" i="208"/>
  <c r="C191" i="208"/>
  <c r="D178" i="208"/>
  <c r="C178" i="208"/>
  <c r="D177" i="208"/>
  <c r="C177" i="208"/>
  <c r="D176" i="208"/>
  <c r="C176" i="208"/>
  <c r="D158" i="208"/>
  <c r="C158" i="208"/>
  <c r="D157" i="208"/>
  <c r="C157" i="208"/>
  <c r="D156" i="208"/>
  <c r="C156" i="208"/>
  <c r="D142" i="208"/>
  <c r="D141" i="208"/>
  <c r="D140" i="208"/>
  <c r="D139" i="208"/>
  <c r="D138" i="208"/>
  <c r="D137" i="208"/>
  <c r="K133" i="208"/>
  <c r="K134" i="208" s="1"/>
  <c r="I133" i="208"/>
  <c r="I134" i="208" s="1"/>
  <c r="G133" i="208"/>
  <c r="G134" i="208" s="1"/>
  <c r="C168" i="207"/>
  <c r="D167" i="207"/>
  <c r="K12" i="213" s="1"/>
  <c r="C167" i="207"/>
  <c r="D166" i="207"/>
  <c r="K11" i="213" s="1"/>
  <c r="C166" i="207"/>
  <c r="D193" i="207"/>
  <c r="D192" i="207"/>
  <c r="O122" i="207"/>
  <c r="O123" i="207" s="1"/>
  <c r="M122" i="207"/>
  <c r="M123" i="207" s="1"/>
  <c r="K122" i="207"/>
  <c r="K123" i="207" s="1"/>
  <c r="I122" i="207"/>
  <c r="I123" i="207" s="1"/>
  <c r="G122" i="207"/>
  <c r="G123" i="207" s="1"/>
  <c r="E122" i="207"/>
  <c r="E123" i="207" s="1"/>
  <c r="C122" i="207"/>
  <c r="M14" i="212" l="1"/>
  <c r="C50" i="212"/>
  <c r="M13" i="212"/>
  <c r="D50" i="212"/>
  <c r="M51" i="212"/>
  <c r="M15" i="212"/>
  <c r="E50" i="212"/>
  <c r="F50" i="212" s="1"/>
  <c r="M9" i="212"/>
  <c r="D49" i="212"/>
  <c r="M11" i="212"/>
  <c r="E49" i="212"/>
  <c r="F49" i="212" s="1"/>
  <c r="AA15" i="212"/>
  <c r="N35" i="213"/>
  <c r="N36" i="213" s="1"/>
  <c r="P15" i="211"/>
  <c r="H64" i="211"/>
  <c r="P14" i="211"/>
  <c r="C64" i="211"/>
  <c r="P13" i="211"/>
  <c r="D64" i="211"/>
  <c r="P11" i="211"/>
  <c r="H63" i="211"/>
  <c r="I63" i="211" s="1"/>
  <c r="S17" i="211"/>
  <c r="P52" i="211"/>
  <c r="T17" i="211"/>
  <c r="S16" i="211"/>
  <c r="P51" i="211"/>
  <c r="T16" i="211"/>
  <c r="S12" i="211"/>
  <c r="P47" i="211"/>
  <c r="T12" i="211"/>
  <c r="P41" i="211"/>
  <c r="S6" i="211"/>
  <c r="S18" i="211"/>
  <c r="P53" i="211"/>
  <c r="T18" i="211"/>
  <c r="P10" i="211"/>
  <c r="C63" i="211"/>
  <c r="P9" i="211"/>
  <c r="D63" i="211"/>
  <c r="H69" i="213"/>
  <c r="J183" i="207"/>
  <c r="W31" i="211"/>
  <c r="D195" i="208" s="1"/>
  <c r="I73" i="213"/>
  <c r="N25" i="213"/>
  <c r="W29" i="211"/>
  <c r="D197" i="208"/>
  <c r="T31" i="212"/>
  <c r="L25" i="213"/>
  <c r="T29" i="212"/>
  <c r="D185" i="207" s="1"/>
  <c r="J184" i="207" s="1"/>
  <c r="D187" i="207"/>
  <c r="Q18" i="212"/>
  <c r="M53" i="212"/>
  <c r="P43" i="211"/>
  <c r="P42" i="211"/>
  <c r="P15" i="212" l="1"/>
  <c r="M50" i="212"/>
  <c r="Q15" i="212"/>
  <c r="Q11" i="212"/>
  <c r="M46" i="212"/>
  <c r="P11" i="212"/>
  <c r="Q13" i="212"/>
  <c r="M48" i="212"/>
  <c r="P13" i="212"/>
  <c r="Q9" i="212"/>
  <c r="M44" i="212"/>
  <c r="P9" i="212"/>
  <c r="S2" i="212" s="1"/>
  <c r="Q14" i="212"/>
  <c r="AC15" i="212" s="1"/>
  <c r="P14" i="212"/>
  <c r="AB15" i="212" s="1"/>
  <c r="M49" i="212"/>
  <c r="P46" i="211"/>
  <c r="T11" i="211"/>
  <c r="S11" i="211"/>
  <c r="S13" i="211"/>
  <c r="P48" i="211"/>
  <c r="T13" i="211"/>
  <c r="S9" i="211"/>
  <c r="P44" i="211"/>
  <c r="T9" i="211"/>
  <c r="AD15" i="211"/>
  <c r="P45" i="211"/>
  <c r="T10" i="211"/>
  <c r="S10" i="211"/>
  <c r="S14" i="211"/>
  <c r="P49" i="211"/>
  <c r="T14" i="211"/>
  <c r="I64" i="211"/>
  <c r="S15" i="211"/>
  <c r="P50" i="211"/>
  <c r="T15" i="211"/>
  <c r="I70" i="213"/>
  <c r="I71" i="213" s="1"/>
  <c r="D198" i="208"/>
  <c r="H70" i="213"/>
  <c r="H71" i="213" s="1"/>
  <c r="J186" i="207"/>
  <c r="L31" i="213"/>
  <c r="L183" i="207"/>
  <c r="D181" i="207"/>
  <c r="D188" i="207" s="1"/>
  <c r="J187" i="207" s="1"/>
  <c r="C181" i="207"/>
  <c r="D159" i="207"/>
  <c r="J175" i="207" s="1"/>
  <c r="C159" i="207"/>
  <c r="I175" i="207" s="1"/>
  <c r="C155" i="207"/>
  <c r="C154" i="207"/>
  <c r="D153" i="207"/>
  <c r="C153" i="207"/>
  <c r="C150" i="207"/>
  <c r="D148" i="207"/>
  <c r="C148" i="207"/>
  <c r="D147" i="207"/>
  <c r="C147" i="207"/>
  <c r="D146" i="207"/>
  <c r="C146" i="207"/>
  <c r="C223" i="184"/>
  <c r="D208" i="184"/>
  <c r="D201" i="184"/>
  <c r="D200" i="184"/>
  <c r="D199" i="184"/>
  <c r="C207" i="184"/>
  <c r="C203" i="184"/>
  <c r="C202" i="184"/>
  <c r="C201" i="184"/>
  <c r="C200" i="184"/>
  <c r="C199" i="184"/>
  <c r="D217" i="184"/>
  <c r="C217" i="184"/>
  <c r="D111" i="204"/>
  <c r="K105" i="204" s="1"/>
  <c r="D103" i="204"/>
  <c r="D98" i="204"/>
  <c r="D161" i="208" s="1"/>
  <c r="D99" i="204"/>
  <c r="D162" i="208" s="1"/>
  <c r="D100" i="204"/>
  <c r="D163" i="208" s="1"/>
  <c r="D101" i="204"/>
  <c r="D154" i="207" s="1"/>
  <c r="D102" i="204"/>
  <c r="D165" i="208" s="1"/>
  <c r="D97" i="204"/>
  <c r="K100" i="204" s="1"/>
  <c r="P72" i="204"/>
  <c r="P71" i="204"/>
  <c r="P70" i="204"/>
  <c r="P69" i="204"/>
  <c r="P68" i="204"/>
  <c r="P67" i="204"/>
  <c r="P66" i="204"/>
  <c r="P65" i="204"/>
  <c r="C103" i="204"/>
  <c r="C98" i="204"/>
  <c r="C161" i="208" s="1"/>
  <c r="C99" i="204"/>
  <c r="C162" i="208" s="1"/>
  <c r="C100" i="204"/>
  <c r="C163" i="208" s="1"/>
  <c r="C101" i="204"/>
  <c r="C102" i="204"/>
  <c r="C165" i="208" s="1"/>
  <c r="C97" i="204"/>
  <c r="C96" i="204"/>
  <c r="F114" i="204"/>
  <c r="E114" i="204"/>
  <c r="F111" i="204"/>
  <c r="E111" i="204"/>
  <c r="F109" i="204"/>
  <c r="E109" i="204"/>
  <c r="F108" i="204"/>
  <c r="F112" i="204" s="1"/>
  <c r="E108" i="204"/>
  <c r="E112" i="204" s="1"/>
  <c r="F106" i="204"/>
  <c r="E106" i="204"/>
  <c r="F105" i="204"/>
  <c r="E105" i="204"/>
  <c r="C111" i="204"/>
  <c r="J105" i="204" s="1"/>
  <c r="D223" i="184"/>
  <c r="E113" i="204" l="1"/>
  <c r="G232" i="184"/>
  <c r="G233" i="184"/>
  <c r="F113" i="204"/>
  <c r="H232" i="184"/>
  <c r="H233" i="184"/>
  <c r="V2" i="211"/>
  <c r="AE15" i="211"/>
  <c r="AF15" i="211"/>
  <c r="G222" i="184"/>
  <c r="G223" i="184"/>
  <c r="C151" i="207"/>
  <c r="C152" i="207"/>
  <c r="J102" i="204"/>
  <c r="C166" i="208"/>
  <c r="D159" i="208"/>
  <c r="K99" i="204"/>
  <c r="D205" i="184"/>
  <c r="D152" i="207"/>
  <c r="D164" i="208"/>
  <c r="K101" i="204"/>
  <c r="D155" i="207"/>
  <c r="D166" i="208"/>
  <c r="K102" i="204"/>
  <c r="C204" i="184"/>
  <c r="C156" i="207"/>
  <c r="P83" i="204"/>
  <c r="D109" i="204"/>
  <c r="C205" i="184"/>
  <c r="J99" i="204"/>
  <c r="C159" i="208"/>
  <c r="D106" i="204"/>
  <c r="C206" i="184"/>
  <c r="C105" i="204"/>
  <c r="J100" i="204"/>
  <c r="C160" i="208"/>
  <c r="D105" i="204"/>
  <c r="C208" i="184"/>
  <c r="C109" i="204"/>
  <c r="J101" i="204"/>
  <c r="C164" i="208"/>
  <c r="C209" i="184"/>
  <c r="C227" i="184" s="1"/>
  <c r="C218" i="184" s="1"/>
  <c r="C219" i="184" s="1"/>
  <c r="G230" i="184" s="1"/>
  <c r="C149" i="207"/>
  <c r="D108" i="204"/>
  <c r="D156" i="207"/>
  <c r="D209" i="184"/>
  <c r="D114" i="204"/>
  <c r="K108" i="204" s="1"/>
  <c r="D160" i="208"/>
  <c r="D203" i="184"/>
  <c r="D204" i="184"/>
  <c r="D206" i="184"/>
  <c r="D150" i="207"/>
  <c r="D151" i="207"/>
  <c r="D207" i="184"/>
  <c r="D149" i="207"/>
  <c r="D202" i="184"/>
  <c r="D227" i="184" s="1"/>
  <c r="C106" i="204"/>
  <c r="C108" i="204"/>
  <c r="C114" i="204"/>
  <c r="J108" i="204" s="1"/>
  <c r="H222" i="184" l="1"/>
  <c r="E162" i="207"/>
  <c r="L182" i="207"/>
  <c r="L184" i="207" s="1"/>
  <c r="C160" i="207"/>
  <c r="I176" i="207" s="1"/>
  <c r="D170" i="208"/>
  <c r="C170" i="208"/>
  <c r="C112" i="204"/>
  <c r="C171" i="208"/>
  <c r="C197" i="208"/>
  <c r="C198" i="208" s="1"/>
  <c r="C161" i="207"/>
  <c r="I177" i="207" s="1"/>
  <c r="D112" i="204"/>
  <c r="D171" i="208"/>
  <c r="D161" i="207"/>
  <c r="J177" i="207" s="1"/>
  <c r="D160" i="207"/>
  <c r="J176" i="207" s="1"/>
  <c r="C162" i="207" l="1"/>
  <c r="D172" i="208"/>
  <c r="D113" i="204"/>
  <c r="K107" i="204" s="1"/>
  <c r="K106" i="204"/>
  <c r="C113" i="204"/>
  <c r="J107" i="204" s="1"/>
  <c r="J106" i="204"/>
  <c r="C172" i="208"/>
  <c r="C173" i="208" s="1"/>
  <c r="D218" i="184"/>
  <c r="D219" i="184" s="1"/>
  <c r="H230" i="184" s="1"/>
  <c r="D162" i="207"/>
  <c r="J122" i="208"/>
  <c r="J123" i="208" s="1"/>
  <c r="F120" i="208"/>
  <c r="E120" i="208"/>
  <c r="G119" i="208"/>
  <c r="C152" i="208" s="1"/>
  <c r="G118" i="208"/>
  <c r="C151" i="208" s="1"/>
  <c r="G117" i="208"/>
  <c r="C150" i="208" s="1"/>
  <c r="C149" i="208"/>
  <c r="G115" i="208"/>
  <c r="C148" i="208" s="1"/>
  <c r="G114" i="208"/>
  <c r="C147" i="208" s="1"/>
  <c r="G113" i="208"/>
  <c r="O112" i="208"/>
  <c r="G112" i="208"/>
  <c r="C145" i="208" s="1"/>
  <c r="J107" i="208"/>
  <c r="J108" i="208" s="1"/>
  <c r="F105" i="208"/>
  <c r="E105" i="208"/>
  <c r="G104" i="208"/>
  <c r="C142" i="208" s="1"/>
  <c r="G103" i="208"/>
  <c r="C141" i="208" s="1"/>
  <c r="G102" i="208"/>
  <c r="C140" i="208" s="1"/>
  <c r="G101" i="208"/>
  <c r="C139" i="208" s="1"/>
  <c r="G100" i="208"/>
  <c r="C138" i="208" s="1"/>
  <c r="H99" i="208"/>
  <c r="O99" i="208" s="1"/>
  <c r="G99" i="208"/>
  <c r="C137" i="208" s="1"/>
  <c r="D99" i="208"/>
  <c r="D100" i="208" s="1"/>
  <c r="D101" i="208" s="1"/>
  <c r="D102" i="208" s="1"/>
  <c r="D103" i="208" s="1"/>
  <c r="L114" i="208" l="1"/>
  <c r="L115" i="208"/>
  <c r="L117" i="208"/>
  <c r="L113" i="208"/>
  <c r="L112" i="208"/>
  <c r="L116" i="208"/>
  <c r="L118" i="208"/>
  <c r="L119" i="208"/>
  <c r="L102" i="208"/>
  <c r="L99" i="208"/>
  <c r="L101" i="208"/>
  <c r="L103" i="208"/>
  <c r="L104" i="208"/>
  <c r="L100" i="208"/>
  <c r="D163" i="207"/>
  <c r="J178" i="207"/>
  <c r="L178" i="207" s="1"/>
  <c r="D173" i="208"/>
  <c r="F196" i="208" s="1"/>
  <c r="F195" i="208"/>
  <c r="C163" i="207"/>
  <c r="I179" i="207" s="1"/>
  <c r="I178" i="207"/>
  <c r="G120" i="208"/>
  <c r="G105" i="208"/>
  <c r="H100" i="208"/>
  <c r="O100" i="208" s="1"/>
  <c r="I127" i="184"/>
  <c r="I128" i="184" s="1"/>
  <c r="J112" i="207"/>
  <c r="F110" i="207"/>
  <c r="E110" i="207"/>
  <c r="G109" i="207"/>
  <c r="C142" i="207" s="1"/>
  <c r="G108" i="207"/>
  <c r="C141" i="207" s="1"/>
  <c r="G107" i="207"/>
  <c r="C140" i="207" s="1"/>
  <c r="G106" i="207"/>
  <c r="C139" i="207" s="1"/>
  <c r="G105" i="207"/>
  <c r="C138" i="207" s="1"/>
  <c r="G104" i="207"/>
  <c r="C137" i="207" s="1"/>
  <c r="G103" i="207"/>
  <c r="C136" i="207" s="1"/>
  <c r="H102" i="207"/>
  <c r="O102" i="207" s="1"/>
  <c r="G102" i="207"/>
  <c r="C135" i="207" s="1"/>
  <c r="J97" i="207"/>
  <c r="F95" i="207"/>
  <c r="E95" i="207"/>
  <c r="G94" i="207"/>
  <c r="C132" i="207" s="1"/>
  <c r="G93" i="207"/>
  <c r="C131" i="207" s="1"/>
  <c r="G92" i="207"/>
  <c r="C130" i="207" s="1"/>
  <c r="G91" i="207"/>
  <c r="C129" i="207" s="1"/>
  <c r="G90" i="207"/>
  <c r="C128" i="207" s="1"/>
  <c r="H89" i="207"/>
  <c r="G89" i="207"/>
  <c r="C127" i="207" s="1"/>
  <c r="D89" i="207"/>
  <c r="D90" i="207" s="1"/>
  <c r="D91" i="207" s="1"/>
  <c r="D92" i="207" s="1"/>
  <c r="D93" i="207" s="1"/>
  <c r="F125" i="184"/>
  <c r="E125" i="184"/>
  <c r="E71" i="184"/>
  <c r="F55" i="184"/>
  <c r="E55" i="184"/>
  <c r="F40" i="184"/>
  <c r="E40" i="184"/>
  <c r="F156" i="184"/>
  <c r="E156" i="184"/>
  <c r="F140" i="184"/>
  <c r="E140" i="184"/>
  <c r="G155" i="184"/>
  <c r="C193" i="184" s="1"/>
  <c r="G153" i="184"/>
  <c r="C191" i="184" s="1"/>
  <c r="G152" i="184"/>
  <c r="C190" i="184" s="1"/>
  <c r="G151" i="184"/>
  <c r="C189" i="184" s="1"/>
  <c r="G149" i="184"/>
  <c r="C187" i="184" s="1"/>
  <c r="G148" i="184"/>
  <c r="C186" i="184" s="1"/>
  <c r="H147" i="184"/>
  <c r="G147" i="184"/>
  <c r="C185" i="184" s="1"/>
  <c r="D147" i="184"/>
  <c r="D148" i="184" s="1"/>
  <c r="D149" i="184" s="1"/>
  <c r="D150" i="184" s="1"/>
  <c r="D151" i="184" s="1"/>
  <c r="D152" i="184" s="1"/>
  <c r="D153" i="184" s="1"/>
  <c r="D154" i="184" s="1"/>
  <c r="G139" i="184"/>
  <c r="C182" i="184" s="1"/>
  <c r="G137" i="184"/>
  <c r="C180" i="184" s="1"/>
  <c r="G136" i="184"/>
  <c r="C179" i="184" s="1"/>
  <c r="G134" i="184"/>
  <c r="C177" i="184" s="1"/>
  <c r="G133" i="184"/>
  <c r="C176" i="184" s="1"/>
  <c r="H132" i="184"/>
  <c r="G124" i="184"/>
  <c r="C172" i="184" s="1"/>
  <c r="G123" i="184"/>
  <c r="C171" i="184" s="1"/>
  <c r="G122" i="184"/>
  <c r="C170" i="184" s="1"/>
  <c r="G121" i="184"/>
  <c r="C169" i="184" s="1"/>
  <c r="G120" i="184"/>
  <c r="C168" i="184" s="1"/>
  <c r="D119" i="184"/>
  <c r="D120" i="184" s="1"/>
  <c r="D121" i="184" s="1"/>
  <c r="D122" i="184" s="1"/>
  <c r="D123" i="184" s="1"/>
  <c r="J74" i="204"/>
  <c r="K74" i="204"/>
  <c r="L74" i="204"/>
  <c r="M74" i="204"/>
  <c r="J75" i="204"/>
  <c r="K75" i="204"/>
  <c r="L75" i="204"/>
  <c r="M75" i="204"/>
  <c r="J77" i="204"/>
  <c r="K77" i="204"/>
  <c r="L77" i="204"/>
  <c r="M77" i="204"/>
  <c r="J78" i="204"/>
  <c r="K78" i="204"/>
  <c r="L78" i="204"/>
  <c r="M78" i="204"/>
  <c r="J80" i="204"/>
  <c r="K80" i="204"/>
  <c r="L80" i="204"/>
  <c r="M80" i="204"/>
  <c r="J83" i="204"/>
  <c r="K83" i="204"/>
  <c r="L83" i="204"/>
  <c r="M83" i="204"/>
  <c r="C74" i="204"/>
  <c r="D74" i="204"/>
  <c r="C75" i="204"/>
  <c r="D75" i="204"/>
  <c r="C80" i="204"/>
  <c r="D80" i="204"/>
  <c r="C83" i="204"/>
  <c r="D83" i="204"/>
  <c r="F74" i="204"/>
  <c r="F75" i="204"/>
  <c r="F80" i="204"/>
  <c r="F83" i="204"/>
  <c r="E83" i="204"/>
  <c r="E80" i="204"/>
  <c r="E75" i="204"/>
  <c r="E74" i="204"/>
  <c r="AP15" i="171"/>
  <c r="AP14" i="171"/>
  <c r="AP13" i="171"/>
  <c r="AP12" i="171"/>
  <c r="AP11" i="171"/>
  <c r="AP10" i="171"/>
  <c r="F55" i="208"/>
  <c r="F55" i="207"/>
  <c r="F40" i="207"/>
  <c r="E188" i="207" l="1"/>
  <c r="J179" i="207"/>
  <c r="L179" i="207" s="1"/>
  <c r="L90" i="207"/>
  <c r="L92" i="207"/>
  <c r="L91" i="207"/>
  <c r="L93" i="207"/>
  <c r="L94" i="207"/>
  <c r="L89" i="207"/>
  <c r="L106" i="207"/>
  <c r="L103" i="207"/>
  <c r="L104" i="207"/>
  <c r="L105" i="207"/>
  <c r="L107" i="207"/>
  <c r="L108" i="207"/>
  <c r="L109" i="207"/>
  <c r="L102" i="207"/>
  <c r="P102" i="207"/>
  <c r="L149" i="184"/>
  <c r="L150" i="184"/>
  <c r="L151" i="184"/>
  <c r="L152" i="184"/>
  <c r="L148" i="184"/>
  <c r="L153" i="184"/>
  <c r="L154" i="184"/>
  <c r="L155" i="184"/>
  <c r="L147" i="184"/>
  <c r="M147" i="184" s="1"/>
  <c r="F185" i="184" s="1"/>
  <c r="L121" i="184"/>
  <c r="L124" i="184"/>
  <c r="L120" i="184"/>
  <c r="L122" i="184"/>
  <c r="L123" i="184"/>
  <c r="L119" i="184"/>
  <c r="M119" i="184" s="1"/>
  <c r="L136" i="184"/>
  <c r="L137" i="184"/>
  <c r="L132" i="184"/>
  <c r="L135" i="184"/>
  <c r="L138" i="184"/>
  <c r="L139" i="184"/>
  <c r="L134" i="184"/>
  <c r="L133" i="184"/>
  <c r="I74" i="204"/>
  <c r="P74" i="204"/>
  <c r="J114" i="208"/>
  <c r="D147" i="208" s="1"/>
  <c r="O113" i="208"/>
  <c r="J113" i="208"/>
  <c r="D146" i="208" s="1"/>
  <c r="J147" i="184"/>
  <c r="D185" i="184" s="1"/>
  <c r="O132" i="184"/>
  <c r="H103" i="207"/>
  <c r="O103" i="207" s="1"/>
  <c r="P103" i="207" s="1"/>
  <c r="J102" i="207"/>
  <c r="D135" i="207" s="1"/>
  <c r="G110" i="207"/>
  <c r="G156" i="184"/>
  <c r="O147" i="184"/>
  <c r="G140" i="184"/>
  <c r="G125" i="184"/>
  <c r="G95" i="207"/>
  <c r="H101" i="208"/>
  <c r="O101" i="208" s="1"/>
  <c r="C81" i="204"/>
  <c r="M81" i="204"/>
  <c r="M82" i="204" s="1"/>
  <c r="L81" i="204"/>
  <c r="L82" i="204" s="1"/>
  <c r="D81" i="204"/>
  <c r="D82" i="204" s="1"/>
  <c r="K81" i="204"/>
  <c r="K82" i="204" s="1"/>
  <c r="J81" i="204"/>
  <c r="J98" i="207"/>
  <c r="J113" i="207"/>
  <c r="O89" i="207"/>
  <c r="J89" i="207"/>
  <c r="D127" i="207" s="1"/>
  <c r="H90" i="207"/>
  <c r="M132" i="184"/>
  <c r="J132" i="184"/>
  <c r="F175" i="184"/>
  <c r="M133" i="184"/>
  <c r="G119" i="184"/>
  <c r="C167" i="184" s="1"/>
  <c r="J127" i="184"/>
  <c r="J128" i="184" s="1"/>
  <c r="H133" i="184"/>
  <c r="G154" i="184"/>
  <c r="C192" i="184" s="1"/>
  <c r="J142" i="184"/>
  <c r="J143" i="184" s="1"/>
  <c r="J158" i="184"/>
  <c r="J159" i="184" s="1"/>
  <c r="G135" i="184"/>
  <c r="C178" i="184" s="1"/>
  <c r="G138" i="184"/>
  <c r="C181" i="184" s="1"/>
  <c r="G150" i="184"/>
  <c r="C188" i="184" s="1"/>
  <c r="H148" i="184"/>
  <c r="G132" i="184"/>
  <c r="C175" i="184" s="1"/>
  <c r="H119" i="184"/>
  <c r="E81" i="204"/>
  <c r="F81" i="204"/>
  <c r="F82" i="204" s="1"/>
  <c r="G83" i="204"/>
  <c r="O83" i="204"/>
  <c r="N83" i="204"/>
  <c r="H83" i="204"/>
  <c r="C44" i="204"/>
  <c r="G55" i="191"/>
  <c r="F55" i="191"/>
  <c r="G54" i="191"/>
  <c r="F54" i="191"/>
  <c r="H80" i="204"/>
  <c r="I80" i="204" s="1"/>
  <c r="N80" i="204"/>
  <c r="O80" i="204"/>
  <c r="G80" i="204"/>
  <c r="O78" i="204"/>
  <c r="N78" i="204"/>
  <c r="P78" i="204" s="1"/>
  <c r="O77" i="204"/>
  <c r="N77" i="204"/>
  <c r="P77" i="204" s="1"/>
  <c r="N75" i="204"/>
  <c r="P75" i="204" s="1"/>
  <c r="H75" i="204"/>
  <c r="I75" i="204" s="1"/>
  <c r="G75" i="204"/>
  <c r="O74" i="204"/>
  <c r="N74" i="204"/>
  <c r="H74" i="204"/>
  <c r="G74" i="204"/>
  <c r="J31" i="198"/>
  <c r="P80" i="204" l="1"/>
  <c r="J103" i="207"/>
  <c r="D136" i="207" s="1"/>
  <c r="H104" i="207"/>
  <c r="C82" i="204"/>
  <c r="O115" i="208"/>
  <c r="O114" i="208"/>
  <c r="J119" i="184"/>
  <c r="D167" i="184" s="1"/>
  <c r="J133" i="184"/>
  <c r="D176" i="184" s="1"/>
  <c r="M148" i="184"/>
  <c r="M149" i="184" s="1"/>
  <c r="H105" i="207"/>
  <c r="O105" i="207" s="1"/>
  <c r="P105" i="207" s="1"/>
  <c r="J115" i="208"/>
  <c r="D148" i="208" s="1"/>
  <c r="H116" i="208"/>
  <c r="O116" i="208" s="1"/>
  <c r="H102" i="208"/>
  <c r="O102" i="208" s="1"/>
  <c r="O119" i="184"/>
  <c r="J82" i="204"/>
  <c r="H106" i="207"/>
  <c r="O106" i="207" s="1"/>
  <c r="P106" i="207" s="1"/>
  <c r="H91" i="207"/>
  <c r="J90" i="207"/>
  <c r="D128" i="207" s="1"/>
  <c r="O90" i="207"/>
  <c r="D175" i="184"/>
  <c r="H149" i="184"/>
  <c r="J148" i="184"/>
  <c r="D186" i="184" s="1"/>
  <c r="O148" i="184"/>
  <c r="F167" i="184"/>
  <c r="M120" i="184"/>
  <c r="F176" i="184"/>
  <c r="M134" i="184"/>
  <c r="H120" i="184"/>
  <c r="H134" i="184"/>
  <c r="O133" i="184"/>
  <c r="E82" i="204"/>
  <c r="I83" i="204"/>
  <c r="G81" i="204"/>
  <c r="O81" i="204"/>
  <c r="O82" i="204" s="1"/>
  <c r="N81" i="204"/>
  <c r="P81" i="204" s="1"/>
  <c r="H81" i="204"/>
  <c r="H82" i="204" s="1"/>
  <c r="U25" i="210"/>
  <c r="F25" i="210"/>
  <c r="G18" i="210" s="1"/>
  <c r="U45" i="200"/>
  <c r="T45" i="200"/>
  <c r="S45" i="200"/>
  <c r="R45" i="200"/>
  <c r="Q45" i="200"/>
  <c r="O104" i="207" l="1"/>
  <c r="P104" i="207" s="1"/>
  <c r="J104" i="207"/>
  <c r="D137" i="207" s="1"/>
  <c r="I82" i="204"/>
  <c r="I81" i="204"/>
  <c r="F186" i="184"/>
  <c r="J105" i="207"/>
  <c r="D138" i="207" s="1"/>
  <c r="H117" i="208"/>
  <c r="J116" i="208"/>
  <c r="D149" i="208" s="1"/>
  <c r="H103" i="208"/>
  <c r="O103" i="208" s="1"/>
  <c r="G82" i="204"/>
  <c r="J91" i="207"/>
  <c r="D129" i="207" s="1"/>
  <c r="O91" i="207"/>
  <c r="H92" i="207"/>
  <c r="J106" i="207"/>
  <c r="D139" i="207" s="1"/>
  <c r="H107" i="207"/>
  <c r="O107" i="207" s="1"/>
  <c r="P107" i="207" s="1"/>
  <c r="H135" i="184"/>
  <c r="J134" i="184"/>
  <c r="D177" i="184" s="1"/>
  <c r="O134" i="184"/>
  <c r="O120" i="184"/>
  <c r="J120" i="184"/>
  <c r="D168" i="184" s="1"/>
  <c r="H121" i="184"/>
  <c r="M135" i="184"/>
  <c r="F177" i="184"/>
  <c r="F168" i="184"/>
  <c r="M121" i="184"/>
  <c r="H150" i="184"/>
  <c r="O149" i="184"/>
  <c r="J149" i="184"/>
  <c r="D187" i="184" s="1"/>
  <c r="F187" i="184"/>
  <c r="M150" i="184"/>
  <c r="N82" i="204"/>
  <c r="P82" i="204" s="1"/>
  <c r="V16" i="210"/>
  <c r="G17" i="210"/>
  <c r="G19" i="210"/>
  <c r="G23" i="210"/>
  <c r="V13" i="210"/>
  <c r="V20" i="210"/>
  <c r="V24" i="210"/>
  <c r="G13" i="210"/>
  <c r="G21" i="210"/>
  <c r="V17" i="210"/>
  <c r="V14" i="210"/>
  <c r="V22" i="210"/>
  <c r="V15" i="210"/>
  <c r="V19" i="210"/>
  <c r="V23" i="210"/>
  <c r="V21" i="210"/>
  <c r="V18" i="210"/>
  <c r="G15" i="210"/>
  <c r="G16" i="210"/>
  <c r="G20" i="210"/>
  <c r="G24" i="210"/>
  <c r="G22" i="210"/>
  <c r="G14" i="210"/>
  <c r="O117" i="208" l="1"/>
  <c r="H104" i="208"/>
  <c r="O104" i="208" s="1"/>
  <c r="H118" i="208"/>
  <c r="O118" i="208" s="1"/>
  <c r="J117" i="208"/>
  <c r="D150" i="208" s="1"/>
  <c r="H108" i="207"/>
  <c r="O108" i="207" s="1"/>
  <c r="P108" i="207" s="1"/>
  <c r="J107" i="207"/>
  <c r="D140" i="207" s="1"/>
  <c r="O92" i="207"/>
  <c r="J92" i="207"/>
  <c r="D130" i="207" s="1"/>
  <c r="H93" i="207"/>
  <c r="J150" i="184"/>
  <c r="D188" i="184" s="1"/>
  <c r="O150" i="184"/>
  <c r="H151" i="184"/>
  <c r="F169" i="184"/>
  <c r="M122" i="184"/>
  <c r="M136" i="184"/>
  <c r="F178" i="184"/>
  <c r="H122" i="184"/>
  <c r="O121" i="184"/>
  <c r="J121" i="184"/>
  <c r="D169" i="184" s="1"/>
  <c r="M151" i="184"/>
  <c r="F188" i="184"/>
  <c r="H136" i="184"/>
  <c r="J135" i="184"/>
  <c r="D178" i="184" s="1"/>
  <c r="O135" i="184"/>
  <c r="G25" i="210"/>
  <c r="H13" i="210"/>
  <c r="V25" i="210"/>
  <c r="W13" i="210"/>
  <c r="P104" i="208" l="1"/>
  <c r="K104" i="208"/>
  <c r="E142" i="208" s="1"/>
  <c r="P99" i="208"/>
  <c r="K99" i="208"/>
  <c r="E137" i="208" s="1"/>
  <c r="P100" i="208"/>
  <c r="K100" i="208"/>
  <c r="E138" i="208" s="1"/>
  <c r="P101" i="208"/>
  <c r="K101" i="208"/>
  <c r="E139" i="208" s="1"/>
  <c r="K102" i="208"/>
  <c r="E140" i="208" s="1"/>
  <c r="P102" i="208"/>
  <c r="P103" i="208"/>
  <c r="K103" i="208"/>
  <c r="E141" i="208" s="1"/>
  <c r="H119" i="208"/>
  <c r="J118" i="208"/>
  <c r="D151" i="208" s="1"/>
  <c r="H109" i="207"/>
  <c r="O109" i="207" s="1"/>
  <c r="P109" i="207" s="1"/>
  <c r="J108" i="207"/>
  <c r="D141" i="207" s="1"/>
  <c r="O93" i="207"/>
  <c r="H94" i="207"/>
  <c r="J93" i="207"/>
  <c r="D131" i="207" s="1"/>
  <c r="F189" i="184"/>
  <c r="M152" i="184"/>
  <c r="H123" i="184"/>
  <c r="J122" i="184"/>
  <c r="D170" i="184" s="1"/>
  <c r="O122" i="184"/>
  <c r="M123" i="184"/>
  <c r="F170" i="184"/>
  <c r="O136" i="184"/>
  <c r="J136" i="184"/>
  <c r="D179" i="184" s="1"/>
  <c r="H137" i="184"/>
  <c r="F179" i="184"/>
  <c r="M137" i="184"/>
  <c r="O151" i="184"/>
  <c r="J151" i="184"/>
  <c r="D189" i="184" s="1"/>
  <c r="H152" i="184"/>
  <c r="W14" i="210"/>
  <c r="W15" i="210" s="1"/>
  <c r="W16" i="210" s="1"/>
  <c r="W17" i="210" s="1"/>
  <c r="W18" i="210" s="1"/>
  <c r="W19" i="210" s="1"/>
  <c r="W20" i="210" s="1"/>
  <c r="W21" i="210" s="1"/>
  <c r="W22" i="210" s="1"/>
  <c r="W23" i="210" s="1"/>
  <c r="W24" i="210" s="1"/>
  <c r="H14" i="210"/>
  <c r="H15" i="210" s="1"/>
  <c r="H16" i="210" s="1"/>
  <c r="H17" i="210" s="1"/>
  <c r="H18" i="210" s="1"/>
  <c r="H19" i="210" s="1"/>
  <c r="H20" i="210" s="1"/>
  <c r="H21" i="210" s="1"/>
  <c r="H22" i="210" s="1"/>
  <c r="H23" i="210" s="1"/>
  <c r="H24" i="210" s="1"/>
  <c r="N32" i="210"/>
  <c r="O119" i="208" l="1"/>
  <c r="P116" i="208" s="1"/>
  <c r="P115" i="208"/>
  <c r="P117" i="208"/>
  <c r="P118" i="208"/>
  <c r="P112" i="208"/>
  <c r="J94" i="207"/>
  <c r="D132" i="207" s="1"/>
  <c r="O94" i="207"/>
  <c r="P93" i="207" s="1"/>
  <c r="J109" i="207"/>
  <c r="D142" i="207" s="1"/>
  <c r="O137" i="184"/>
  <c r="H138" i="184"/>
  <c r="J137" i="184"/>
  <c r="D180" i="184" s="1"/>
  <c r="M124" i="184"/>
  <c r="F172" i="184" s="1"/>
  <c r="F171" i="184"/>
  <c r="H153" i="184"/>
  <c r="O152" i="184"/>
  <c r="J152" i="184"/>
  <c r="D190" i="184" s="1"/>
  <c r="J123" i="184"/>
  <c r="D171" i="184" s="1"/>
  <c r="H124" i="184"/>
  <c r="O123" i="184"/>
  <c r="M153" i="184"/>
  <c r="F190" i="184"/>
  <c r="F180" i="184"/>
  <c r="M138" i="184"/>
  <c r="AC32" i="210"/>
  <c r="P92" i="207" l="1"/>
  <c r="P91" i="207"/>
  <c r="K108" i="207"/>
  <c r="K106" i="207"/>
  <c r="K105" i="207"/>
  <c r="K103" i="207"/>
  <c r="K102" i="207"/>
  <c r="P114" i="208"/>
  <c r="P113" i="208"/>
  <c r="P119" i="208"/>
  <c r="E147" i="208"/>
  <c r="E151" i="208"/>
  <c r="E149" i="208"/>
  <c r="E145" i="208"/>
  <c r="E150" i="208"/>
  <c r="E148" i="208"/>
  <c r="E146" i="208"/>
  <c r="E152" i="208"/>
  <c r="K91" i="207"/>
  <c r="P89" i="207"/>
  <c r="K94" i="207"/>
  <c r="P94" i="207"/>
  <c r="K109" i="207"/>
  <c r="P90" i="207"/>
  <c r="K92" i="207"/>
  <c r="K104" i="207"/>
  <c r="K89" i="207"/>
  <c r="K90" i="207"/>
  <c r="K93" i="207"/>
  <c r="K107" i="207"/>
  <c r="H154" i="184"/>
  <c r="O153" i="184"/>
  <c r="J153" i="184"/>
  <c r="D191" i="184" s="1"/>
  <c r="F181" i="184"/>
  <c r="M139" i="184"/>
  <c r="F182" i="184" s="1"/>
  <c r="F191" i="184"/>
  <c r="M154" i="184"/>
  <c r="J138" i="184"/>
  <c r="D181" i="184" s="1"/>
  <c r="H139" i="184"/>
  <c r="O138" i="184"/>
  <c r="J124" i="184"/>
  <c r="D172" i="184" s="1"/>
  <c r="O124" i="184"/>
  <c r="P122" i="184" s="1"/>
  <c r="C67" i="192"/>
  <c r="C70" i="192"/>
  <c r="C68" i="192"/>
  <c r="C69" i="192" s="1"/>
  <c r="C65" i="192"/>
  <c r="C64" i="192"/>
  <c r="C62" i="192"/>
  <c r="C61" i="192"/>
  <c r="H52" i="204"/>
  <c r="I52" i="204"/>
  <c r="J52" i="204"/>
  <c r="K52" i="204"/>
  <c r="D52" i="204"/>
  <c r="F52" i="204"/>
  <c r="K121" i="184" l="1"/>
  <c r="K120" i="184"/>
  <c r="K119" i="184"/>
  <c r="K122" i="184"/>
  <c r="P123" i="184"/>
  <c r="K132" i="184"/>
  <c r="K133" i="184"/>
  <c r="K134" i="184"/>
  <c r="K135" i="184"/>
  <c r="K137" i="184"/>
  <c r="P121" i="184"/>
  <c r="P120" i="184"/>
  <c r="P119" i="184"/>
  <c r="P124" i="184"/>
  <c r="K124" i="184"/>
  <c r="K123" i="184"/>
  <c r="F192" i="184"/>
  <c r="M155" i="184"/>
  <c r="F193" i="184" s="1"/>
  <c r="O139" i="184"/>
  <c r="P138" i="184" s="1"/>
  <c r="J139" i="184"/>
  <c r="K139" i="184" s="1"/>
  <c r="J154" i="184"/>
  <c r="H155" i="184"/>
  <c r="O154" i="184"/>
  <c r="G52" i="204"/>
  <c r="L52" i="204"/>
  <c r="D192" i="184" l="1"/>
  <c r="P135" i="184"/>
  <c r="P139" i="184"/>
  <c r="P136" i="184"/>
  <c r="P132" i="184"/>
  <c r="P137" i="184"/>
  <c r="P134" i="184"/>
  <c r="P133" i="184"/>
  <c r="P147" i="184"/>
  <c r="K148" i="184"/>
  <c r="P149" i="184"/>
  <c r="K149" i="184"/>
  <c r="P150" i="184"/>
  <c r="D182" i="184"/>
  <c r="K138" i="184"/>
  <c r="K136" i="184"/>
  <c r="O155" i="184"/>
  <c r="P154" i="184" s="1"/>
  <c r="J155" i="184"/>
  <c r="H49" i="204"/>
  <c r="H49" i="192"/>
  <c r="F49" i="192"/>
  <c r="G49" i="192"/>
  <c r="D49" i="192"/>
  <c r="E49" i="192"/>
  <c r="H48" i="192"/>
  <c r="G48" i="192"/>
  <c r="F48" i="192"/>
  <c r="E48" i="192"/>
  <c r="D48" i="192"/>
  <c r="L41" i="204"/>
  <c r="L40" i="204"/>
  <c r="L39" i="204"/>
  <c r="L38" i="204"/>
  <c r="L37" i="204"/>
  <c r="L36" i="204"/>
  <c r="L35" i="204"/>
  <c r="L34" i="204"/>
  <c r="G35" i="204"/>
  <c r="G36" i="204"/>
  <c r="G37" i="204"/>
  <c r="G38" i="204"/>
  <c r="G39" i="204"/>
  <c r="G40" i="204"/>
  <c r="G41" i="204"/>
  <c r="G34" i="204"/>
  <c r="D44" i="204"/>
  <c r="E44" i="204"/>
  <c r="F44" i="204"/>
  <c r="H44" i="204"/>
  <c r="I44" i="204"/>
  <c r="J44" i="204"/>
  <c r="K44" i="204"/>
  <c r="H46" i="204"/>
  <c r="I46" i="204"/>
  <c r="J46" i="204"/>
  <c r="K46" i="204"/>
  <c r="H47" i="204"/>
  <c r="I47" i="204"/>
  <c r="J47" i="204"/>
  <c r="K47" i="204"/>
  <c r="I49" i="204"/>
  <c r="J49" i="204"/>
  <c r="K49" i="204"/>
  <c r="H43" i="204"/>
  <c r="I43" i="204"/>
  <c r="J43" i="204"/>
  <c r="K43" i="204"/>
  <c r="E46" i="204"/>
  <c r="F46" i="204"/>
  <c r="E47" i="204"/>
  <c r="F47" i="204"/>
  <c r="F49" i="204"/>
  <c r="D43" i="204"/>
  <c r="E43" i="204"/>
  <c r="F43" i="204"/>
  <c r="C49" i="204"/>
  <c r="C51" i="204" s="1"/>
  <c r="C47" i="204"/>
  <c r="K151" i="184" l="1"/>
  <c r="D212" i="184"/>
  <c r="K155" i="184"/>
  <c r="P155" i="184"/>
  <c r="K153" i="184"/>
  <c r="P153" i="184"/>
  <c r="K152" i="184"/>
  <c r="P151" i="184"/>
  <c r="D193" i="184"/>
  <c r="K154" i="184"/>
  <c r="D225" i="184" s="1"/>
  <c r="P148" i="184"/>
  <c r="K147" i="184"/>
  <c r="P152" i="184"/>
  <c r="K150" i="184"/>
  <c r="H50" i="204"/>
  <c r="H51" i="204" s="1"/>
  <c r="L49" i="204"/>
  <c r="D51" i="204"/>
  <c r="I50" i="204"/>
  <c r="I51" i="204" s="1"/>
  <c r="G49" i="204"/>
  <c r="L43" i="204"/>
  <c r="L44" i="204"/>
  <c r="L46" i="204"/>
  <c r="L47" i="204"/>
  <c r="G46" i="204"/>
  <c r="G44" i="204"/>
  <c r="G47" i="204"/>
  <c r="G43" i="204"/>
  <c r="F50" i="204"/>
  <c r="F51" i="204" s="1"/>
  <c r="E50" i="204"/>
  <c r="E51" i="204" s="1"/>
  <c r="K50" i="204"/>
  <c r="K51" i="204" s="1"/>
  <c r="J50" i="204"/>
  <c r="J51" i="204" s="1"/>
  <c r="D226" i="184" l="1"/>
  <c r="H219" i="184" s="1"/>
  <c r="L51" i="204"/>
  <c r="L50" i="204"/>
  <c r="G51" i="204"/>
  <c r="G50" i="204"/>
  <c r="D228" i="184" l="1"/>
  <c r="H220" i="184" s="1"/>
  <c r="J9" i="171"/>
  <c r="J8" i="171"/>
  <c r="AJ9" i="171"/>
  <c r="AI9" i="171"/>
  <c r="AH9" i="171"/>
  <c r="AG9" i="171"/>
  <c r="AF9" i="171"/>
  <c r="AE9" i="171"/>
  <c r="AD9" i="171"/>
  <c r="AC9" i="171"/>
  <c r="E55" i="207"/>
  <c r="F40" i="208"/>
  <c r="E40" i="207"/>
  <c r="E55" i="208"/>
  <c r="J56" i="208"/>
  <c r="H9" i="171"/>
  <c r="H8" i="171"/>
  <c r="X8" i="171"/>
  <c r="W8" i="171"/>
  <c r="V8" i="171"/>
  <c r="U8" i="171"/>
  <c r="T8" i="171"/>
  <c r="R8" i="171"/>
  <c r="Q8" i="171"/>
  <c r="P8" i="171"/>
  <c r="O8" i="171"/>
  <c r="N8" i="171"/>
  <c r="AL8" i="171" s="1"/>
  <c r="M8" i="171"/>
  <c r="L8" i="171"/>
  <c r="K8" i="171"/>
  <c r="S15" i="171"/>
  <c r="X9" i="171"/>
  <c r="W9" i="171"/>
  <c r="V9" i="171"/>
  <c r="U9" i="171"/>
  <c r="T9" i="171"/>
  <c r="R9" i="171"/>
  <c r="Q9" i="171"/>
  <c r="P9" i="171"/>
  <c r="O9" i="171"/>
  <c r="N9" i="171"/>
  <c r="AL9" i="171" s="1"/>
  <c r="M9" i="171"/>
  <c r="L9" i="171"/>
  <c r="K9" i="171"/>
  <c r="AA9" i="171"/>
  <c r="Z9" i="171"/>
  <c r="Y9" i="171"/>
  <c r="AA8" i="171"/>
  <c r="Z8" i="171"/>
  <c r="Y8" i="171"/>
  <c r="AJ8" i="171"/>
  <c r="AI8" i="171"/>
  <c r="AH8" i="171"/>
  <c r="AG8" i="171"/>
  <c r="AF8" i="171"/>
  <c r="AE8" i="171"/>
  <c r="AD8" i="171"/>
  <c r="AC8" i="171"/>
  <c r="S7" i="171"/>
  <c r="AL7" i="171" s="1"/>
  <c r="C87" i="208"/>
  <c r="C86" i="208"/>
  <c r="C85" i="208"/>
  <c r="C83" i="208"/>
  <c r="C82" i="208"/>
  <c r="C81" i="208"/>
  <c r="G54" i="208"/>
  <c r="C77" i="208" s="1"/>
  <c r="G53" i="208"/>
  <c r="C76" i="208" s="1"/>
  <c r="G51" i="208"/>
  <c r="C74" i="208" s="1"/>
  <c r="G50" i="208"/>
  <c r="C73" i="208" s="1"/>
  <c r="G49" i="208"/>
  <c r="C72" i="208" s="1"/>
  <c r="G48" i="208"/>
  <c r="C71" i="208" s="1"/>
  <c r="J42" i="208"/>
  <c r="J43" i="208" s="1"/>
  <c r="G38" i="208"/>
  <c r="C66" i="208" s="1"/>
  <c r="G36" i="208"/>
  <c r="C64" i="208" s="1"/>
  <c r="G35" i="208"/>
  <c r="C63" i="208" s="1"/>
  <c r="D34" i="208"/>
  <c r="D35" i="208" s="1"/>
  <c r="D36" i="208" s="1"/>
  <c r="D37" i="208" s="1"/>
  <c r="D38" i="208" s="1"/>
  <c r="G54" i="207"/>
  <c r="C82" i="207" s="1"/>
  <c r="G52" i="207"/>
  <c r="C80" i="207" s="1"/>
  <c r="G51" i="207"/>
  <c r="C79" i="207" s="1"/>
  <c r="G49" i="207"/>
  <c r="C77" i="207" s="1"/>
  <c r="G48" i="207"/>
  <c r="C76" i="207" s="1"/>
  <c r="H47" i="207"/>
  <c r="O47" i="207" s="1"/>
  <c r="G47" i="207"/>
  <c r="C75" i="207" s="1"/>
  <c r="G39" i="207"/>
  <c r="C72" i="207" s="1"/>
  <c r="G37" i="207"/>
  <c r="C70" i="207" s="1"/>
  <c r="G35" i="207"/>
  <c r="C68" i="207" s="1"/>
  <c r="J42" i="207"/>
  <c r="D34" i="207"/>
  <c r="D35" i="207" s="1"/>
  <c r="D36" i="207" s="1"/>
  <c r="D37" i="207" s="1"/>
  <c r="D38" i="207" s="1"/>
  <c r="L35" i="208" l="1"/>
  <c r="M99" i="208"/>
  <c r="F137" i="208" s="1"/>
  <c r="L50" i="208"/>
  <c r="M112" i="208"/>
  <c r="F145" i="208" s="1"/>
  <c r="M89" i="207"/>
  <c r="M102" i="207"/>
  <c r="G55" i="207"/>
  <c r="G40" i="207"/>
  <c r="L36" i="208"/>
  <c r="AB7" i="171"/>
  <c r="AM7" i="171" s="1"/>
  <c r="AK7" i="171"/>
  <c r="AN7" i="171" s="1"/>
  <c r="L52" i="208"/>
  <c r="S9" i="171"/>
  <c r="AK9" i="171" s="1"/>
  <c r="AN9" i="171" s="1"/>
  <c r="L51" i="208"/>
  <c r="L53" i="208"/>
  <c r="L48" i="208"/>
  <c r="G55" i="208"/>
  <c r="L51" i="207"/>
  <c r="J47" i="207"/>
  <c r="D75" i="207" s="1"/>
  <c r="S8" i="171"/>
  <c r="L53" i="207"/>
  <c r="L47" i="207"/>
  <c r="M47" i="207" s="1"/>
  <c r="F75" i="207" s="1"/>
  <c r="L48" i="207"/>
  <c r="L50" i="207"/>
  <c r="L54" i="207"/>
  <c r="L34" i="207"/>
  <c r="M34" i="207" s="1"/>
  <c r="F67" i="207" s="1"/>
  <c r="L36" i="207"/>
  <c r="L35" i="207"/>
  <c r="L39" i="207"/>
  <c r="L38" i="207"/>
  <c r="J58" i="208"/>
  <c r="L39" i="208"/>
  <c r="G40" i="208"/>
  <c r="L37" i="208"/>
  <c r="L38" i="208"/>
  <c r="C88" i="208"/>
  <c r="C70" i="208"/>
  <c r="G34" i="208"/>
  <c r="C62" i="208" s="1"/>
  <c r="H34" i="208"/>
  <c r="G39" i="208"/>
  <c r="C67" i="208" s="1"/>
  <c r="C80" i="208"/>
  <c r="C84" i="208"/>
  <c r="G52" i="208"/>
  <c r="C75" i="208" s="1"/>
  <c r="D70" i="208"/>
  <c r="M47" i="208"/>
  <c r="G37" i="208"/>
  <c r="C65" i="208" s="1"/>
  <c r="M34" i="208"/>
  <c r="D80" i="208"/>
  <c r="J43" i="207"/>
  <c r="J57" i="207"/>
  <c r="J58" i="207" s="1"/>
  <c r="H34" i="207"/>
  <c r="O34" i="207" s="1"/>
  <c r="L37" i="207"/>
  <c r="H48" i="207"/>
  <c r="L49" i="207"/>
  <c r="G36" i="207"/>
  <c r="C69" i="207" s="1"/>
  <c r="L52" i="207"/>
  <c r="G34" i="207"/>
  <c r="C67" i="207" s="1"/>
  <c r="G38" i="207"/>
  <c r="C71" i="207" s="1"/>
  <c r="G50" i="207"/>
  <c r="C78" i="207" s="1"/>
  <c r="G53" i="207"/>
  <c r="C81" i="207" s="1"/>
  <c r="M113" i="208" l="1"/>
  <c r="F146" i="208" s="1"/>
  <c r="M100" i="208"/>
  <c r="F138" i="208" s="1"/>
  <c r="M103" i="207"/>
  <c r="F135" i="207"/>
  <c r="F127" i="207"/>
  <c r="M90" i="207"/>
  <c r="M35" i="207"/>
  <c r="M36" i="207" s="1"/>
  <c r="AB8" i="171"/>
  <c r="AM8" i="171" s="1"/>
  <c r="AK8" i="171"/>
  <c r="AN8" i="171" s="1"/>
  <c r="AB9" i="171"/>
  <c r="AM9" i="171" s="1"/>
  <c r="M48" i="207"/>
  <c r="F76" i="207" s="1"/>
  <c r="J34" i="207"/>
  <c r="D67" i="207" s="1"/>
  <c r="F70" i="208"/>
  <c r="M48" i="208"/>
  <c r="F80" i="208"/>
  <c r="M35" i="208"/>
  <c r="F63" i="208" s="1"/>
  <c r="F62" i="208"/>
  <c r="O34" i="208"/>
  <c r="D62" i="208"/>
  <c r="H49" i="207"/>
  <c r="O48" i="207"/>
  <c r="J48" i="207"/>
  <c r="D76" i="207" s="1"/>
  <c r="M101" i="208" l="1"/>
  <c r="F139" i="208" s="1"/>
  <c r="M114" i="208"/>
  <c r="F147" i="208" s="1"/>
  <c r="F128" i="207"/>
  <c r="M91" i="207"/>
  <c r="M104" i="207"/>
  <c r="F136" i="207"/>
  <c r="F68" i="207"/>
  <c r="M49" i="207"/>
  <c r="F77" i="207" s="1"/>
  <c r="M36" i="208"/>
  <c r="F81" i="208"/>
  <c r="D81" i="208"/>
  <c r="H36" i="208"/>
  <c r="J35" i="208"/>
  <c r="D63" i="208" s="1"/>
  <c r="O35" i="208"/>
  <c r="M49" i="208"/>
  <c r="F71" i="208"/>
  <c r="O48" i="208"/>
  <c r="J48" i="208"/>
  <c r="D71" i="208" s="1"/>
  <c r="J49" i="207"/>
  <c r="D77" i="207" s="1"/>
  <c r="O49" i="207"/>
  <c r="H50" i="207"/>
  <c r="F69" i="207"/>
  <c r="M37" i="207"/>
  <c r="J35" i="207"/>
  <c r="D68" i="207" s="1"/>
  <c r="O35" i="207"/>
  <c r="M115" i="208" l="1"/>
  <c r="F148" i="208" s="1"/>
  <c r="M102" i="208"/>
  <c r="F140" i="208" s="1"/>
  <c r="F129" i="207"/>
  <c r="M92" i="207"/>
  <c r="M105" i="207"/>
  <c r="F137" i="207"/>
  <c r="M50" i="207"/>
  <c r="F78" i="207" s="1"/>
  <c r="O36" i="208"/>
  <c r="H37" i="208"/>
  <c r="J36" i="208"/>
  <c r="D64" i="208" s="1"/>
  <c r="F72" i="208"/>
  <c r="M50" i="208"/>
  <c r="F82" i="208"/>
  <c r="D82" i="208"/>
  <c r="O49" i="208"/>
  <c r="H50" i="208"/>
  <c r="D72" i="208"/>
  <c r="F64" i="208"/>
  <c r="M37" i="208"/>
  <c r="M38" i="207"/>
  <c r="F70" i="207"/>
  <c r="J50" i="207"/>
  <c r="D78" i="207" s="1"/>
  <c r="O50" i="207"/>
  <c r="H37" i="207"/>
  <c r="O36" i="207"/>
  <c r="J36" i="207"/>
  <c r="D69" i="207" s="1"/>
  <c r="M103" i="208" l="1"/>
  <c r="F141" i="208" s="1"/>
  <c r="M116" i="208"/>
  <c r="F149" i="208" s="1"/>
  <c r="M106" i="207"/>
  <c r="F138" i="207"/>
  <c r="F130" i="207"/>
  <c r="M93" i="207"/>
  <c r="M51" i="207"/>
  <c r="F79" i="207" s="1"/>
  <c r="D83" i="208"/>
  <c r="H38" i="208"/>
  <c r="J37" i="208"/>
  <c r="D65" i="208" s="1"/>
  <c r="O37" i="208"/>
  <c r="F83" i="208"/>
  <c r="F73" i="208"/>
  <c r="M51" i="208"/>
  <c r="H51" i="208"/>
  <c r="J50" i="208"/>
  <c r="D73" i="208" s="1"/>
  <c r="O50" i="208"/>
  <c r="M38" i="208"/>
  <c r="F65" i="208"/>
  <c r="J37" i="207"/>
  <c r="D70" i="207" s="1"/>
  <c r="O37" i="207"/>
  <c r="H38" i="207"/>
  <c r="O51" i="207"/>
  <c r="J51" i="207"/>
  <c r="D79" i="207" s="1"/>
  <c r="M39" i="207"/>
  <c r="F72" i="207" s="1"/>
  <c r="F71" i="207"/>
  <c r="M117" i="208" l="1"/>
  <c r="F150" i="208" s="1"/>
  <c r="M104" i="208"/>
  <c r="F142" i="208" s="1"/>
  <c r="F131" i="207"/>
  <c r="M94" i="207"/>
  <c r="F132" i="207" s="1"/>
  <c r="M107" i="207"/>
  <c r="F139" i="207"/>
  <c r="M52" i="207"/>
  <c r="F80" i="207" s="1"/>
  <c r="D84" i="208"/>
  <c r="F84" i="208"/>
  <c r="M39" i="208"/>
  <c r="F67" i="208" s="1"/>
  <c r="F66" i="208"/>
  <c r="J51" i="208"/>
  <c r="D74" i="208" s="1"/>
  <c r="O51" i="208"/>
  <c r="O38" i="208"/>
  <c r="J38" i="208"/>
  <c r="D66" i="208" s="1"/>
  <c r="F74" i="208"/>
  <c r="M52" i="208"/>
  <c r="H53" i="207"/>
  <c r="O52" i="207"/>
  <c r="J52" i="207"/>
  <c r="D80" i="207" s="1"/>
  <c r="H39" i="207"/>
  <c r="J38" i="207"/>
  <c r="D71" i="207" s="1"/>
  <c r="O38" i="207"/>
  <c r="M118" i="208" l="1"/>
  <c r="F151" i="208" s="1"/>
  <c r="E128" i="207"/>
  <c r="E129" i="207"/>
  <c r="E130" i="207"/>
  <c r="E131" i="207"/>
  <c r="E132" i="207"/>
  <c r="M108" i="207"/>
  <c r="F140" i="207"/>
  <c r="M53" i="207"/>
  <c r="M54" i="207" s="1"/>
  <c r="F82" i="207" s="1"/>
  <c r="F85" i="208"/>
  <c r="M53" i="208"/>
  <c r="F75" i="208"/>
  <c r="D85" i="208"/>
  <c r="O39" i="208"/>
  <c r="P38" i="208" s="1"/>
  <c r="J39" i="208"/>
  <c r="D67" i="208" s="1"/>
  <c r="J52" i="208"/>
  <c r="D75" i="208" s="1"/>
  <c r="O52" i="208"/>
  <c r="O39" i="207"/>
  <c r="P37" i="207" s="1"/>
  <c r="J39" i="207"/>
  <c r="D72" i="207" s="1"/>
  <c r="H54" i="207"/>
  <c r="O53" i="207"/>
  <c r="J53" i="207"/>
  <c r="D81" i="207" s="1"/>
  <c r="O47" i="200"/>
  <c r="N47" i="200"/>
  <c r="M47" i="200"/>
  <c r="L47" i="200"/>
  <c r="O46" i="200"/>
  <c r="N46" i="200"/>
  <c r="M46" i="200"/>
  <c r="L46" i="200"/>
  <c r="K47" i="200"/>
  <c r="K46" i="200"/>
  <c r="M119" i="208" l="1"/>
  <c r="F152" i="208" s="1"/>
  <c r="M109" i="207"/>
  <c r="F142" i="207" s="1"/>
  <c r="F141" i="207"/>
  <c r="E135" i="207"/>
  <c r="E136" i="207"/>
  <c r="E137" i="207"/>
  <c r="E138" i="207"/>
  <c r="E139" i="207"/>
  <c r="E140" i="207"/>
  <c r="E127" i="207"/>
  <c r="F81" i="207"/>
  <c r="K35" i="207"/>
  <c r="E68" i="207" s="1"/>
  <c r="K34" i="207"/>
  <c r="E67" i="207" s="1"/>
  <c r="P35" i="207"/>
  <c r="P34" i="207"/>
  <c r="K37" i="208"/>
  <c r="E65" i="208" s="1"/>
  <c r="O53" i="208"/>
  <c r="H54" i="208"/>
  <c r="J53" i="208"/>
  <c r="D76" i="208" s="1"/>
  <c r="K36" i="208"/>
  <c r="E64" i="208" s="1"/>
  <c r="P39" i="208"/>
  <c r="P37" i="208"/>
  <c r="K38" i="208"/>
  <c r="E66" i="208" s="1"/>
  <c r="D86" i="208"/>
  <c r="P36" i="208"/>
  <c r="M54" i="208"/>
  <c r="F77" i="208" s="1"/>
  <c r="F76" i="208"/>
  <c r="K35" i="208"/>
  <c r="E63" i="208" s="1"/>
  <c r="P35" i="208"/>
  <c r="F86" i="208"/>
  <c r="P34" i="208"/>
  <c r="K34" i="208"/>
  <c r="K39" i="208"/>
  <c r="E67" i="208" s="1"/>
  <c r="K38" i="207"/>
  <c r="E71" i="207" s="1"/>
  <c r="P39" i="207"/>
  <c r="K39" i="207"/>
  <c r="E72" i="207" s="1"/>
  <c r="O54" i="207"/>
  <c r="P53" i="207" s="1"/>
  <c r="J54" i="207"/>
  <c r="D82" i="207" s="1"/>
  <c r="P36" i="207"/>
  <c r="K36" i="207"/>
  <c r="E69" i="207" s="1"/>
  <c r="K37" i="207"/>
  <c r="E70" i="207" s="1"/>
  <c r="P38" i="207"/>
  <c r="P23" i="198"/>
  <c r="P24" i="198"/>
  <c r="P25" i="198"/>
  <c r="P26" i="198"/>
  <c r="P27" i="198"/>
  <c r="P28" i="198"/>
  <c r="P22" i="198"/>
  <c r="P39" i="198"/>
  <c r="P40" i="198"/>
  <c r="P41" i="198"/>
  <c r="P42" i="198"/>
  <c r="P43" i="198"/>
  <c r="P44" i="198"/>
  <c r="P38" i="198"/>
  <c r="K39" i="198"/>
  <c r="K40" i="198"/>
  <c r="K41" i="198"/>
  <c r="K42" i="198"/>
  <c r="K43" i="198"/>
  <c r="K44" i="198"/>
  <c r="K38" i="198"/>
  <c r="K23" i="198"/>
  <c r="K24" i="198"/>
  <c r="K25" i="198"/>
  <c r="K26" i="198"/>
  <c r="K27" i="198"/>
  <c r="K28" i="198"/>
  <c r="K22" i="198"/>
  <c r="E141" i="207" l="1"/>
  <c r="E142" i="207"/>
  <c r="K49" i="207"/>
  <c r="E77" i="207" s="1"/>
  <c r="P48" i="207"/>
  <c r="P52" i="207"/>
  <c r="F87" i="208"/>
  <c r="F88" i="208"/>
  <c r="D87" i="208"/>
  <c r="O54" i="208"/>
  <c r="P53" i="208" s="1"/>
  <c r="E72" i="208"/>
  <c r="K48" i="207"/>
  <c r="E76" i="207" s="1"/>
  <c r="K47" i="207"/>
  <c r="E75" i="207" s="1"/>
  <c r="K54" i="207"/>
  <c r="E82" i="207" s="1"/>
  <c r="K51" i="207"/>
  <c r="E79" i="207" s="1"/>
  <c r="P51" i="207"/>
  <c r="K53" i="207"/>
  <c r="E81" i="207" s="1"/>
  <c r="K50" i="207"/>
  <c r="E78" i="207" s="1"/>
  <c r="P47" i="207"/>
  <c r="P54" i="207"/>
  <c r="P50" i="207"/>
  <c r="K52" i="207"/>
  <c r="E80" i="207" s="1"/>
  <c r="P49" i="207"/>
  <c r="H23" i="200"/>
  <c r="H24" i="200" s="1"/>
  <c r="H25" i="200" s="1"/>
  <c r="H26" i="200" s="1"/>
  <c r="H22" i="200"/>
  <c r="H21" i="200"/>
  <c r="D21" i="200"/>
  <c r="D22" i="200" s="1"/>
  <c r="D23" i="200" s="1"/>
  <c r="D24" i="200" s="1"/>
  <c r="D25" i="200" s="1"/>
  <c r="D6" i="200"/>
  <c r="D7" i="200" s="1"/>
  <c r="D8" i="200" s="1"/>
  <c r="D9" i="200" s="1"/>
  <c r="D10" i="200" s="1"/>
  <c r="K48" i="208" l="1"/>
  <c r="E71" i="208" s="1"/>
  <c r="P54" i="208"/>
  <c r="P48" i="208"/>
  <c r="K54" i="208"/>
  <c r="E77" i="208" s="1"/>
  <c r="P52" i="208"/>
  <c r="K51" i="208"/>
  <c r="E74" i="208" s="1"/>
  <c r="K53" i="208"/>
  <c r="E76" i="208" s="1"/>
  <c r="D88" i="208"/>
  <c r="P51" i="208"/>
  <c r="D77" i="208"/>
  <c r="K52" i="208"/>
  <c r="E75" i="208" s="1"/>
  <c r="K50" i="208"/>
  <c r="E73" i="208" s="1"/>
  <c r="P50" i="208"/>
  <c r="P49" i="208"/>
  <c r="X39" i="200"/>
  <c r="W39" i="200"/>
  <c r="V39" i="200"/>
  <c r="U39" i="200"/>
  <c r="T39" i="200"/>
  <c r="S39" i="200"/>
  <c r="R39" i="200"/>
  <c r="Q39" i="200"/>
  <c r="P39" i="200"/>
  <c r="O39" i="200"/>
  <c r="N39" i="200"/>
  <c r="M39" i="200"/>
  <c r="L39" i="200"/>
  <c r="K39" i="200"/>
  <c r="J39" i="200"/>
  <c r="I39" i="200"/>
  <c r="H39" i="200"/>
  <c r="G39" i="200"/>
  <c r="E27" i="200"/>
  <c r="X38" i="200"/>
  <c r="R38" i="200"/>
  <c r="W38" i="200"/>
  <c r="V38" i="200"/>
  <c r="U38" i="200"/>
  <c r="T38" i="200"/>
  <c r="S38" i="200"/>
  <c r="Q38" i="200"/>
  <c r="P38" i="200"/>
  <c r="O38" i="200"/>
  <c r="N38" i="200"/>
  <c r="M38" i="200"/>
  <c r="L38" i="200"/>
  <c r="K38" i="200"/>
  <c r="J38" i="200"/>
  <c r="I38" i="200"/>
  <c r="H38" i="200"/>
  <c r="G38" i="200"/>
  <c r="E39" i="200"/>
  <c r="D39" i="200"/>
  <c r="E38" i="200"/>
  <c r="D38" i="200"/>
  <c r="E88" i="208" l="1"/>
  <c r="E85" i="208"/>
  <c r="E84" i="208"/>
  <c r="E82" i="208"/>
  <c r="E83" i="208"/>
  <c r="E87" i="208"/>
  <c r="E80" i="208"/>
  <c r="E81" i="208"/>
  <c r="Y39" i="200"/>
  <c r="Z39" i="200" s="1"/>
  <c r="Y38" i="200"/>
  <c r="Z38" i="200" s="1"/>
  <c r="AA38" i="200" s="1"/>
  <c r="E86" i="208" l="1"/>
  <c r="L22" i="200"/>
  <c r="L23" i="200"/>
  <c r="L24" i="200"/>
  <c r="L25" i="200"/>
  <c r="L26" i="200"/>
  <c r="L21" i="200"/>
  <c r="M21" i="200" s="1"/>
  <c r="E12" i="200"/>
  <c r="L11" i="200" s="1"/>
  <c r="L39" i="198"/>
  <c r="L40" i="198"/>
  <c r="L41" i="198"/>
  <c r="L42" i="198"/>
  <c r="L43" i="198"/>
  <c r="L44" i="198"/>
  <c r="L38" i="198"/>
  <c r="L23" i="198"/>
  <c r="L24" i="198"/>
  <c r="L25" i="198"/>
  <c r="L26" i="198"/>
  <c r="L27" i="198"/>
  <c r="L28" i="198"/>
  <c r="L22" i="198"/>
  <c r="M22" i="198" s="1"/>
  <c r="M23" i="198" s="1"/>
  <c r="M24" i="198" s="1"/>
  <c r="E45" i="198"/>
  <c r="H38" i="198"/>
  <c r="H39" i="198" s="1"/>
  <c r="H22" i="198"/>
  <c r="H23" i="198" s="1"/>
  <c r="E29" i="198"/>
  <c r="O26" i="200"/>
  <c r="J26" i="200"/>
  <c r="K26" i="200" s="1"/>
  <c r="G26" i="200"/>
  <c r="G11" i="200"/>
  <c r="J21" i="200"/>
  <c r="J22" i="200"/>
  <c r="J23" i="200"/>
  <c r="J24" i="200"/>
  <c r="J25" i="200"/>
  <c r="J29" i="200"/>
  <c r="J30" i="200" s="1"/>
  <c r="I27" i="200"/>
  <c r="G25" i="200"/>
  <c r="G24" i="200"/>
  <c r="G23" i="200"/>
  <c r="G22" i="200"/>
  <c r="G21" i="200"/>
  <c r="J14" i="200"/>
  <c r="J15" i="200" s="1"/>
  <c r="I12" i="200"/>
  <c r="G12" i="200" s="1"/>
  <c r="G10" i="200"/>
  <c r="G9" i="200"/>
  <c r="G8" i="200"/>
  <c r="G7" i="200"/>
  <c r="H6" i="200"/>
  <c r="J6" i="200" s="1"/>
  <c r="G6" i="200"/>
  <c r="P12" i="198"/>
  <c r="J47" i="198"/>
  <c r="J48" i="198" s="1"/>
  <c r="I45" i="198"/>
  <c r="I47" i="198" s="1"/>
  <c r="G45" i="198"/>
  <c r="G44" i="198"/>
  <c r="G43" i="198"/>
  <c r="G42" i="198"/>
  <c r="G41" i="198"/>
  <c r="G40" i="198"/>
  <c r="G39" i="198"/>
  <c r="M38" i="198"/>
  <c r="G38" i="198"/>
  <c r="J32" i="198"/>
  <c r="I29" i="198"/>
  <c r="I31" i="198" s="1"/>
  <c r="G28" i="198"/>
  <c r="G27" i="198"/>
  <c r="G26" i="198"/>
  <c r="G25" i="198"/>
  <c r="G24" i="198"/>
  <c r="G23" i="198"/>
  <c r="O22" i="198"/>
  <c r="J22" i="198"/>
  <c r="G22" i="198"/>
  <c r="J15" i="198"/>
  <c r="L9" i="198"/>
  <c r="L10" i="198"/>
  <c r="L11" i="198"/>
  <c r="L7" i="198"/>
  <c r="I13" i="198"/>
  <c r="I15" i="198" s="1"/>
  <c r="G12" i="198"/>
  <c r="G11" i="198"/>
  <c r="G10" i="198"/>
  <c r="G9" i="198"/>
  <c r="G8" i="198"/>
  <c r="G7" i="198"/>
  <c r="H6" i="198"/>
  <c r="H7" i="198" s="1"/>
  <c r="G6" i="198"/>
  <c r="L6" i="200" l="1"/>
  <c r="M6" i="200" s="1"/>
  <c r="I29" i="200"/>
  <c r="L7" i="200"/>
  <c r="L9" i="200"/>
  <c r="L8" i="200"/>
  <c r="L10" i="200"/>
  <c r="K25" i="200"/>
  <c r="K22" i="200"/>
  <c r="K23" i="200"/>
  <c r="K24" i="200"/>
  <c r="K21" i="200"/>
  <c r="M39" i="198"/>
  <c r="M40" i="198" s="1"/>
  <c r="H40" i="198"/>
  <c r="J39" i="198"/>
  <c r="O39" i="198"/>
  <c r="O38" i="198"/>
  <c r="J38" i="198"/>
  <c r="H24" i="198"/>
  <c r="O23" i="198"/>
  <c r="J23" i="198"/>
  <c r="M22" i="200"/>
  <c r="O21" i="200"/>
  <c r="O6" i="200"/>
  <c r="H7" i="200"/>
  <c r="I14" i="200"/>
  <c r="M7" i="200"/>
  <c r="G27" i="200"/>
  <c r="M41" i="198"/>
  <c r="M42" i="198" s="1"/>
  <c r="M43" i="198" s="1"/>
  <c r="M44" i="198" s="1"/>
  <c r="M25" i="198"/>
  <c r="M26" i="198" s="1"/>
  <c r="M27" i="198" s="1"/>
  <c r="M28" i="198" s="1"/>
  <c r="G29" i="198"/>
  <c r="L6" i="198"/>
  <c r="M6" i="198" s="1"/>
  <c r="L12" i="198"/>
  <c r="L8" i="198"/>
  <c r="G13" i="198"/>
  <c r="H8" i="198"/>
  <c r="J7" i="198"/>
  <c r="J16" i="198"/>
  <c r="O7" i="198"/>
  <c r="J6" i="198"/>
  <c r="O6" i="198"/>
  <c r="M23" i="200" l="1"/>
  <c r="H41" i="198"/>
  <c r="O40" i="198"/>
  <c r="J40" i="198"/>
  <c r="H25" i="198"/>
  <c r="O24" i="198"/>
  <c r="J24" i="198"/>
  <c r="M8" i="200"/>
  <c r="O22" i="200"/>
  <c r="H8" i="200"/>
  <c r="J7" i="200"/>
  <c r="O7" i="200"/>
  <c r="M7" i="198"/>
  <c r="M8" i="198" s="1"/>
  <c r="M9" i="198" s="1"/>
  <c r="M10" i="198" s="1"/>
  <c r="M11" i="198" s="1"/>
  <c r="M12" i="198" s="1"/>
  <c r="J8" i="198"/>
  <c r="H9" i="198"/>
  <c r="O8" i="198"/>
  <c r="M24" i="200" l="1"/>
  <c r="H42" i="198"/>
  <c r="O41" i="198"/>
  <c r="J41" i="198"/>
  <c r="H26" i="198"/>
  <c r="J25" i="198"/>
  <c r="O25" i="198"/>
  <c r="M9" i="200"/>
  <c r="O23" i="200"/>
  <c r="J8" i="200"/>
  <c r="H9" i="200"/>
  <c r="O8" i="200"/>
  <c r="O9" i="198"/>
  <c r="J9" i="198"/>
  <c r="H10" i="198"/>
  <c r="G10" i="195"/>
  <c r="H10" i="195"/>
  <c r="I10" i="195"/>
  <c r="J10" i="195"/>
  <c r="K10" i="195"/>
  <c r="L10" i="195"/>
  <c r="N11" i="195"/>
  <c r="BS14" i="195"/>
  <c r="BT4" i="195" s="1"/>
  <c r="P16" i="195"/>
  <c r="P17" i="195"/>
  <c r="D18" i="195"/>
  <c r="P18" i="195"/>
  <c r="P19" i="195"/>
  <c r="AL20" i="195"/>
  <c r="AM20" i="195"/>
  <c r="AN20" i="195"/>
  <c r="AO20" i="195"/>
  <c r="AP20" i="195"/>
  <c r="AQ20" i="195"/>
  <c r="AR20" i="195"/>
  <c r="AS20" i="195"/>
  <c r="AT20" i="195"/>
  <c r="AU20" i="195"/>
  <c r="AV20" i="195"/>
  <c r="AW20" i="195"/>
  <c r="AX20" i="195"/>
  <c r="AY20" i="195"/>
  <c r="AZ20" i="195"/>
  <c r="BA20" i="195"/>
  <c r="BB20" i="195"/>
  <c r="BC20" i="195"/>
  <c r="BD20" i="195"/>
  <c r="BE20" i="195"/>
  <c r="BF20" i="195"/>
  <c r="BG20" i="195"/>
  <c r="BH20" i="195"/>
  <c r="BI20" i="195"/>
  <c r="D23" i="195"/>
  <c r="E23" i="195"/>
  <c r="F23" i="195"/>
  <c r="G23" i="195"/>
  <c r="H23" i="195"/>
  <c r="I23" i="195"/>
  <c r="J23" i="195"/>
  <c r="K23" i="195"/>
  <c r="L23" i="195"/>
  <c r="R25" i="195"/>
  <c r="S25" i="195"/>
  <c r="T25" i="195"/>
  <c r="U25" i="195"/>
  <c r="V25" i="195"/>
  <c r="W25" i="195"/>
  <c r="X25" i="195"/>
  <c r="Y25" i="195"/>
  <c r="Z25" i="195"/>
  <c r="AA25" i="195"/>
  <c r="AB25" i="195"/>
  <c r="AC25" i="195"/>
  <c r="AD25" i="195"/>
  <c r="AE25" i="195"/>
  <c r="AF25" i="195"/>
  <c r="AG25" i="195"/>
  <c r="AH25" i="195"/>
  <c r="AI25" i="195"/>
  <c r="AJ25" i="195"/>
  <c r="AK25" i="195"/>
  <c r="AL25" i="195"/>
  <c r="AM25" i="195"/>
  <c r="AN25" i="195"/>
  <c r="AO25" i="195"/>
  <c r="AP25" i="195"/>
  <c r="AQ25" i="195"/>
  <c r="AR25" i="195"/>
  <c r="AS25" i="195"/>
  <c r="AT25" i="195"/>
  <c r="AU25" i="195"/>
  <c r="AV25" i="195"/>
  <c r="AW25" i="195"/>
  <c r="AX25" i="195"/>
  <c r="AY25" i="195"/>
  <c r="AZ25" i="195"/>
  <c r="BA25" i="195"/>
  <c r="BB25" i="195"/>
  <c r="BC25" i="195"/>
  <c r="BD25" i="195"/>
  <c r="BE25" i="195"/>
  <c r="BF25" i="195"/>
  <c r="BG25" i="195"/>
  <c r="BH25" i="195"/>
  <c r="BI25" i="195"/>
  <c r="N26" i="195"/>
  <c r="N27" i="195"/>
  <c r="P27" i="195" s="1"/>
  <c r="N28" i="195"/>
  <c r="P28" i="195" s="1"/>
  <c r="N29" i="195"/>
  <c r="P29" i="195" s="1"/>
  <c r="C30" i="195"/>
  <c r="G30" i="195"/>
  <c r="H14" i="195" s="1"/>
  <c r="H30" i="195"/>
  <c r="H15" i="195" s="1"/>
  <c r="I30" i="195"/>
  <c r="H16" i="195" s="1"/>
  <c r="J30" i="195"/>
  <c r="K30" i="195"/>
  <c r="L30" i="195"/>
  <c r="O30" i="195"/>
  <c r="S30" i="195"/>
  <c r="T30" i="195"/>
  <c r="U30" i="195"/>
  <c r="V30" i="195"/>
  <c r="W30" i="195"/>
  <c r="X30" i="195"/>
  <c r="Y30" i="195"/>
  <c r="Z30" i="195"/>
  <c r="AA30" i="195"/>
  <c r="AB30" i="195"/>
  <c r="AC30" i="195"/>
  <c r="AD30" i="195"/>
  <c r="AE30" i="195"/>
  <c r="AL30" i="195"/>
  <c r="AM30" i="195"/>
  <c r="AN30" i="195"/>
  <c r="AO30" i="195"/>
  <c r="AP30" i="195"/>
  <c r="AQ30" i="195"/>
  <c r="AR30" i="195"/>
  <c r="AS30" i="195"/>
  <c r="AT30" i="195"/>
  <c r="AU30" i="195"/>
  <c r="AV30" i="195"/>
  <c r="AW30" i="195"/>
  <c r="AX30" i="195"/>
  <c r="AY30" i="195"/>
  <c r="AZ30" i="195"/>
  <c r="BA30" i="195"/>
  <c r="BB30" i="195"/>
  <c r="BC30" i="195"/>
  <c r="BD30" i="195"/>
  <c r="BE30" i="195"/>
  <c r="BF30" i="195"/>
  <c r="BG30" i="195"/>
  <c r="BH30" i="195"/>
  <c r="BI30" i="195"/>
  <c r="P31" i="195"/>
  <c r="S31" i="195"/>
  <c r="T31" i="195"/>
  <c r="U31" i="195"/>
  <c r="V31" i="195"/>
  <c r="W31" i="195"/>
  <c r="X31" i="195"/>
  <c r="Y31" i="195"/>
  <c r="Z31" i="195"/>
  <c r="AA31" i="195"/>
  <c r="AB31" i="195"/>
  <c r="AC31" i="195"/>
  <c r="AD31" i="195"/>
  <c r="AE31" i="195"/>
  <c r="AL31" i="195"/>
  <c r="AM31" i="195"/>
  <c r="AN31" i="195"/>
  <c r="AO31" i="195"/>
  <c r="AP31" i="195"/>
  <c r="AQ31" i="195"/>
  <c r="AR31" i="195"/>
  <c r="AS31" i="195"/>
  <c r="AT31" i="195"/>
  <c r="AU31" i="195"/>
  <c r="AV31" i="195"/>
  <c r="AW31" i="195"/>
  <c r="AX31" i="195"/>
  <c r="AY31" i="195"/>
  <c r="AZ31" i="195"/>
  <c r="BA31" i="195"/>
  <c r="BB31" i="195"/>
  <c r="BC31" i="195"/>
  <c r="BD31" i="195"/>
  <c r="BE31" i="195"/>
  <c r="BF31" i="195"/>
  <c r="BG31" i="195"/>
  <c r="BH31" i="195"/>
  <c r="BI31" i="195"/>
  <c r="N31" i="195"/>
  <c r="R34" i="195"/>
  <c r="S34" i="195"/>
  <c r="T34" i="195"/>
  <c r="U34" i="195"/>
  <c r="V34" i="195"/>
  <c r="W34" i="195"/>
  <c r="X34" i="195"/>
  <c r="Y34" i="195"/>
  <c r="Z34" i="195"/>
  <c r="AA34" i="195"/>
  <c r="AB34" i="195"/>
  <c r="AC34" i="195"/>
  <c r="AD34" i="195"/>
  <c r="AE34" i="195"/>
  <c r="AL34" i="195"/>
  <c r="AM34" i="195"/>
  <c r="AN34" i="195"/>
  <c r="AO34" i="195"/>
  <c r="AP34" i="195"/>
  <c r="AQ34" i="195"/>
  <c r="AR34" i="195"/>
  <c r="AS34" i="195"/>
  <c r="AT34" i="195"/>
  <c r="AU34" i="195"/>
  <c r="AV34" i="195"/>
  <c r="AW34" i="195"/>
  <c r="AX34" i="195"/>
  <c r="AY34" i="195"/>
  <c r="AZ34" i="195"/>
  <c r="BA34" i="195"/>
  <c r="BB34" i="195"/>
  <c r="BC34" i="195"/>
  <c r="BD34" i="195"/>
  <c r="BE34" i="195"/>
  <c r="BF34" i="195"/>
  <c r="BG34" i="195"/>
  <c r="BH34" i="195"/>
  <c r="BI34" i="195"/>
  <c r="R35" i="195"/>
  <c r="S35" i="195"/>
  <c r="T35" i="195"/>
  <c r="U35" i="195"/>
  <c r="V35" i="195"/>
  <c r="W35" i="195"/>
  <c r="X35" i="195"/>
  <c r="Y35" i="195"/>
  <c r="Z35" i="195"/>
  <c r="AA35" i="195"/>
  <c r="AB35" i="195"/>
  <c r="AC35" i="195"/>
  <c r="AD35" i="195"/>
  <c r="AE35" i="195"/>
  <c r="AL35" i="195"/>
  <c r="AM35" i="195"/>
  <c r="AN35" i="195"/>
  <c r="AO35" i="195"/>
  <c r="AP35" i="195"/>
  <c r="AQ35" i="195"/>
  <c r="AR35" i="195"/>
  <c r="AS35" i="195"/>
  <c r="AT35" i="195"/>
  <c r="AU35" i="195"/>
  <c r="AV35" i="195"/>
  <c r="AW35" i="195"/>
  <c r="AX35" i="195"/>
  <c r="AY35" i="195"/>
  <c r="AZ35" i="195"/>
  <c r="BA35" i="195"/>
  <c r="BB35" i="195"/>
  <c r="BC35" i="195"/>
  <c r="BD35" i="195"/>
  <c r="BE35" i="195"/>
  <c r="BF35" i="195"/>
  <c r="BG35" i="195"/>
  <c r="BH35" i="195"/>
  <c r="BI35" i="195"/>
  <c r="D38" i="195"/>
  <c r="R39" i="195"/>
  <c r="R44" i="195" s="1"/>
  <c r="S39" i="195"/>
  <c r="S44" i="195" s="1"/>
  <c r="T39" i="195"/>
  <c r="U39" i="195"/>
  <c r="U41" i="195" s="1"/>
  <c r="V39" i="195"/>
  <c r="W39" i="195"/>
  <c r="W42" i="195" s="1"/>
  <c r="X39" i="195"/>
  <c r="X42" i="195" s="1"/>
  <c r="Y39" i="195"/>
  <c r="Y43" i="195" s="1"/>
  <c r="Z39" i="195"/>
  <c r="Z44" i="195" s="1"/>
  <c r="AA39" i="195"/>
  <c r="AA44" i="195" s="1"/>
  <c r="AB39" i="195"/>
  <c r="AC39" i="195"/>
  <c r="AC44" i="195" s="1"/>
  <c r="AD39" i="195"/>
  <c r="AE39" i="195"/>
  <c r="AF39" i="195"/>
  <c r="AG39" i="195"/>
  <c r="AH39" i="195"/>
  <c r="AI39" i="195"/>
  <c r="AJ39" i="195"/>
  <c r="AK39" i="195"/>
  <c r="AK41" i="195" s="1"/>
  <c r="AL39" i="195"/>
  <c r="AM39" i="195"/>
  <c r="AM42" i="195" s="1"/>
  <c r="AN39" i="195"/>
  <c r="AN42" i="195" s="1"/>
  <c r="AO39" i="195"/>
  <c r="AO43" i="195" s="1"/>
  <c r="AP39" i="195"/>
  <c r="AP43" i="195" s="1"/>
  <c r="AQ39" i="195"/>
  <c r="AQ44" i="195" s="1"/>
  <c r="AR39" i="195"/>
  <c r="AS39" i="195"/>
  <c r="AS44" i="195" s="1"/>
  <c r="AT39" i="195"/>
  <c r="AU39" i="195"/>
  <c r="AV39" i="195"/>
  <c r="AV43" i="195" s="1"/>
  <c r="AW39" i="195"/>
  <c r="AW43" i="195" s="1"/>
  <c r="AX39" i="195"/>
  <c r="AX44" i="195" s="1"/>
  <c r="AY39" i="195"/>
  <c r="AY44" i="195" s="1"/>
  <c r="AZ39" i="195"/>
  <c r="BA39" i="195"/>
  <c r="BA41" i="195" s="1"/>
  <c r="BB39" i="195"/>
  <c r="BC39" i="195"/>
  <c r="BC42" i="195" s="1"/>
  <c r="BD39" i="195"/>
  <c r="BD42" i="195" s="1"/>
  <c r="BE39" i="195"/>
  <c r="BE43" i="195" s="1"/>
  <c r="BF39" i="195"/>
  <c r="BF43" i="195" s="1"/>
  <c r="BG39" i="195"/>
  <c r="BG44" i="195" s="1"/>
  <c r="BH39" i="195"/>
  <c r="BI39" i="195"/>
  <c r="BI44" i="195" s="1"/>
  <c r="D41" i="195"/>
  <c r="O41" i="195"/>
  <c r="T41" i="195"/>
  <c r="V41" i="195"/>
  <c r="AA41" i="195"/>
  <c r="AB41" i="195"/>
  <c r="AD41" i="195"/>
  <c r="AE41" i="195"/>
  <c r="AJ41" i="195"/>
  <c r="AL41" i="195"/>
  <c r="AQ41" i="195"/>
  <c r="AR41" i="195"/>
  <c r="AT41" i="195"/>
  <c r="AU41" i="195"/>
  <c r="AZ41" i="195"/>
  <c r="BB41" i="195"/>
  <c r="BG41" i="195"/>
  <c r="BH41" i="195"/>
  <c r="O42" i="195"/>
  <c r="T42" i="195"/>
  <c r="U42" i="195"/>
  <c r="V42" i="195"/>
  <c r="AA42" i="195"/>
  <c r="AB42" i="195"/>
  <c r="AC42" i="195"/>
  <c r="AD42" i="195"/>
  <c r="AE42" i="195"/>
  <c r="AJ42" i="195"/>
  <c r="AK42" i="195"/>
  <c r="AL42" i="195"/>
  <c r="AQ42" i="195"/>
  <c r="AR42" i="195"/>
  <c r="AS42" i="195"/>
  <c r="AT42" i="195"/>
  <c r="AU42" i="195"/>
  <c r="AV42" i="195"/>
  <c r="AZ42" i="195"/>
  <c r="BA42" i="195"/>
  <c r="BB42" i="195"/>
  <c r="BG42" i="195"/>
  <c r="BH42" i="195"/>
  <c r="BI42" i="195"/>
  <c r="O43" i="195"/>
  <c r="T43" i="195"/>
  <c r="U43" i="195"/>
  <c r="V43" i="195"/>
  <c r="W43" i="195"/>
  <c r="X43" i="195"/>
  <c r="AB43" i="195"/>
  <c r="AC43" i="195"/>
  <c r="AD43" i="195"/>
  <c r="AE43" i="195"/>
  <c r="AJ43" i="195"/>
  <c r="AK43" i="195"/>
  <c r="AL43" i="195"/>
  <c r="AM43" i="195"/>
  <c r="AN43" i="195"/>
  <c r="AR43" i="195"/>
  <c r="AS43" i="195"/>
  <c r="AT43" i="195"/>
  <c r="AU43" i="195"/>
  <c r="AZ43" i="195"/>
  <c r="BA43" i="195"/>
  <c r="BB43" i="195"/>
  <c r="BC43" i="195"/>
  <c r="BD43" i="195"/>
  <c r="BH43" i="195"/>
  <c r="BI43" i="195"/>
  <c r="O44" i="195"/>
  <c r="T44" i="195"/>
  <c r="V44" i="195"/>
  <c r="AB44" i="195"/>
  <c r="AD44" i="195"/>
  <c r="AE44" i="195"/>
  <c r="AJ44" i="195"/>
  <c r="AL44" i="195"/>
  <c r="AR44" i="195"/>
  <c r="AT44" i="195"/>
  <c r="AU44" i="195"/>
  <c r="AV44" i="195"/>
  <c r="AW44" i="195"/>
  <c r="AZ44" i="195"/>
  <c r="BB44" i="195"/>
  <c r="BH44" i="195"/>
  <c r="G62" i="195"/>
  <c r="H62" i="195"/>
  <c r="I62" i="195"/>
  <c r="J62" i="195"/>
  <c r="K62" i="195"/>
  <c r="L62" i="195"/>
  <c r="N63" i="195"/>
  <c r="BS66" i="195"/>
  <c r="BT59" i="195" s="1"/>
  <c r="P68" i="195"/>
  <c r="Q68" i="195"/>
  <c r="P69" i="195"/>
  <c r="Q69" i="195" s="1"/>
  <c r="D70" i="195"/>
  <c r="P70" i="195"/>
  <c r="P71" i="195"/>
  <c r="P72" i="195"/>
  <c r="Q72" i="195" s="1"/>
  <c r="AL72" i="195"/>
  <c r="AM72" i="195"/>
  <c r="AN72" i="195"/>
  <c r="AO72" i="195"/>
  <c r="AP72" i="195"/>
  <c r="AQ72" i="195"/>
  <c r="AR72" i="195"/>
  <c r="AS72" i="195"/>
  <c r="AT72" i="195"/>
  <c r="AU72" i="195"/>
  <c r="AV72" i="195"/>
  <c r="AW72" i="195"/>
  <c r="AX72" i="195"/>
  <c r="AY72" i="195"/>
  <c r="AZ72" i="195"/>
  <c r="BA72" i="195"/>
  <c r="BB72" i="195"/>
  <c r="BC72" i="195"/>
  <c r="BD72" i="195"/>
  <c r="BE72" i="195"/>
  <c r="BF72" i="195"/>
  <c r="BG72" i="195"/>
  <c r="BH72" i="195"/>
  <c r="BI72" i="195"/>
  <c r="D75" i="195"/>
  <c r="E75" i="195"/>
  <c r="F75" i="195"/>
  <c r="G75" i="195"/>
  <c r="H75" i="195"/>
  <c r="I75" i="195"/>
  <c r="J75" i="195"/>
  <c r="K75" i="195"/>
  <c r="L75" i="195"/>
  <c r="R77" i="195"/>
  <c r="S77" i="195"/>
  <c r="T77" i="195"/>
  <c r="U77" i="195"/>
  <c r="V77" i="195"/>
  <c r="W77" i="195"/>
  <c r="X77" i="195"/>
  <c r="Y77" i="195"/>
  <c r="Z77" i="195"/>
  <c r="AA77" i="195"/>
  <c r="AB77" i="195"/>
  <c r="AC77" i="195"/>
  <c r="AD77" i="195"/>
  <c r="AE77" i="195"/>
  <c r="AF77" i="195"/>
  <c r="AG77" i="195"/>
  <c r="AH77" i="195"/>
  <c r="AI77" i="195"/>
  <c r="AJ77" i="195"/>
  <c r="AK77" i="195"/>
  <c r="AL77" i="195"/>
  <c r="AM77" i="195"/>
  <c r="AN77" i="195"/>
  <c r="AO77" i="195"/>
  <c r="AP77" i="195"/>
  <c r="AQ77" i="195"/>
  <c r="AR77" i="195"/>
  <c r="AS77" i="195"/>
  <c r="AT77" i="195"/>
  <c r="AU77" i="195"/>
  <c r="AV77" i="195"/>
  <c r="AW77" i="195"/>
  <c r="AX77" i="195"/>
  <c r="AY77" i="195"/>
  <c r="AZ77" i="195"/>
  <c r="BA77" i="195"/>
  <c r="BB77" i="195"/>
  <c r="BC77" i="195"/>
  <c r="BD77" i="195"/>
  <c r="BE77" i="195"/>
  <c r="BF77" i="195"/>
  <c r="BG77" i="195"/>
  <c r="BH77" i="195"/>
  <c r="BI77" i="195"/>
  <c r="N78" i="195"/>
  <c r="N79" i="195"/>
  <c r="P79" i="195" s="1"/>
  <c r="N80" i="195"/>
  <c r="P80" i="195" s="1"/>
  <c r="N81" i="195"/>
  <c r="P81" i="195" s="1"/>
  <c r="C82" i="195"/>
  <c r="G82" i="195"/>
  <c r="H66" i="195" s="1"/>
  <c r="H82" i="195"/>
  <c r="H67" i="195" s="1"/>
  <c r="I82" i="195"/>
  <c r="H68" i="195" s="1"/>
  <c r="J82" i="195"/>
  <c r="K82" i="195"/>
  <c r="L82" i="195"/>
  <c r="O82" i="195"/>
  <c r="O86" i="195" s="1"/>
  <c r="AL82" i="195"/>
  <c r="AM82" i="195"/>
  <c r="AN82" i="195"/>
  <c r="AO82" i="195"/>
  <c r="AP82" i="195"/>
  <c r="AQ82" i="195"/>
  <c r="AR82" i="195"/>
  <c r="AS82" i="195"/>
  <c r="AT82" i="195"/>
  <c r="AU82" i="195"/>
  <c r="AV82" i="195"/>
  <c r="AW82" i="195"/>
  <c r="AX82" i="195"/>
  <c r="AY82" i="195"/>
  <c r="AZ82" i="195"/>
  <c r="BA82" i="195"/>
  <c r="BB82" i="195"/>
  <c r="BC82" i="195"/>
  <c r="BD82" i="195"/>
  <c r="BE82" i="195"/>
  <c r="BF82" i="195"/>
  <c r="BG82" i="195"/>
  <c r="BH82" i="195"/>
  <c r="BI82" i="195"/>
  <c r="P83" i="195"/>
  <c r="AL83" i="195"/>
  <c r="AM83" i="195"/>
  <c r="AN83" i="195"/>
  <c r="AO83" i="195"/>
  <c r="AP83" i="195"/>
  <c r="AQ83" i="195"/>
  <c r="AR83" i="195"/>
  <c r="AS83" i="195"/>
  <c r="AT83" i="195"/>
  <c r="AU83" i="195"/>
  <c r="AV83" i="195"/>
  <c r="AW83" i="195"/>
  <c r="AX83" i="195"/>
  <c r="AY83" i="195"/>
  <c r="AZ83" i="195"/>
  <c r="BA83" i="195"/>
  <c r="BB83" i="195"/>
  <c r="BC83" i="195"/>
  <c r="BD83" i="195"/>
  <c r="BE83" i="195"/>
  <c r="BF83" i="195"/>
  <c r="BG83" i="195"/>
  <c r="BH83" i="195"/>
  <c r="BI83" i="195"/>
  <c r="N83" i="195"/>
  <c r="AL86" i="195"/>
  <c r="AM86" i="195"/>
  <c r="AN86" i="195"/>
  <c r="AO86" i="195"/>
  <c r="AP86" i="195"/>
  <c r="AQ86" i="195"/>
  <c r="AR86" i="195"/>
  <c r="AS86" i="195"/>
  <c r="AT86" i="195"/>
  <c r="AU86" i="195"/>
  <c r="AV86" i="195"/>
  <c r="AW86" i="195"/>
  <c r="AX86" i="195"/>
  <c r="AY86" i="195"/>
  <c r="AZ86" i="195"/>
  <c r="BA86" i="195"/>
  <c r="BB86" i="195"/>
  <c r="BC86" i="195"/>
  <c r="BD86" i="195"/>
  <c r="BE86" i="195"/>
  <c r="BF86" i="195"/>
  <c r="BG86" i="195"/>
  <c r="BH86" i="195"/>
  <c r="BI86" i="195"/>
  <c r="AL87" i="195"/>
  <c r="AM87" i="195"/>
  <c r="AN87" i="195"/>
  <c r="AO87" i="195"/>
  <c r="AP87" i="195"/>
  <c r="AQ87" i="195"/>
  <c r="AR87" i="195"/>
  <c r="AS87" i="195"/>
  <c r="AT87" i="195"/>
  <c r="AU87" i="195"/>
  <c r="AV87" i="195"/>
  <c r="AW87" i="195"/>
  <c r="AX87" i="195"/>
  <c r="AY87" i="195"/>
  <c r="AZ87" i="195"/>
  <c r="BA87" i="195"/>
  <c r="BB87" i="195"/>
  <c r="BC87" i="195"/>
  <c r="BD87" i="195"/>
  <c r="BE87" i="195"/>
  <c r="BF87" i="195"/>
  <c r="BG87" i="195"/>
  <c r="BH87" i="195"/>
  <c r="BI87" i="195"/>
  <c r="D90" i="195"/>
  <c r="R91" i="195"/>
  <c r="R95" i="195" s="1"/>
  <c r="S91" i="195"/>
  <c r="S96" i="195" s="1"/>
  <c r="T91" i="195"/>
  <c r="T93" i="195" s="1"/>
  <c r="U91" i="195"/>
  <c r="V91" i="195"/>
  <c r="V93" i="195" s="1"/>
  <c r="W91" i="195"/>
  <c r="W93" i="195" s="1"/>
  <c r="X91" i="195"/>
  <c r="X94" i="195" s="1"/>
  <c r="Y91" i="195"/>
  <c r="Y93" i="195" s="1"/>
  <c r="Z91" i="195"/>
  <c r="Z95" i="195" s="1"/>
  <c r="AA91" i="195"/>
  <c r="AA93" i="195" s="1"/>
  <c r="AB91" i="195"/>
  <c r="AB96" i="195" s="1"/>
  <c r="AC91" i="195"/>
  <c r="AC93" i="195" s="1"/>
  <c r="AD91" i="195"/>
  <c r="AD93" i="195" s="1"/>
  <c r="AE91" i="195"/>
  <c r="AF91" i="195"/>
  <c r="AG91" i="195"/>
  <c r="AH91" i="195"/>
  <c r="AI91" i="195"/>
  <c r="AJ91" i="195"/>
  <c r="AJ96" i="195" s="1"/>
  <c r="AK91" i="195"/>
  <c r="AL91" i="195"/>
  <c r="AL93" i="195" s="1"/>
  <c r="AM91" i="195"/>
  <c r="AM93" i="195" s="1"/>
  <c r="AN91" i="195"/>
  <c r="AN94" i="195" s="1"/>
  <c r="AO91" i="195"/>
  <c r="AO93" i="195" s="1"/>
  <c r="AP91" i="195"/>
  <c r="AP95" i="195" s="1"/>
  <c r="AQ91" i="195"/>
  <c r="AQ94" i="195" s="1"/>
  <c r="AR91" i="195"/>
  <c r="AR96" i="195" s="1"/>
  <c r="AS91" i="195"/>
  <c r="AS93" i="195" s="1"/>
  <c r="AT91" i="195"/>
  <c r="AT93" i="195" s="1"/>
  <c r="AU91" i="195"/>
  <c r="AV91" i="195"/>
  <c r="AW91" i="195"/>
  <c r="AW95" i="195" s="1"/>
  <c r="AX91" i="195"/>
  <c r="AX95" i="195" s="1"/>
  <c r="AY91" i="195"/>
  <c r="AY96" i="195" s="1"/>
  <c r="AZ91" i="195"/>
  <c r="AZ96" i="195" s="1"/>
  <c r="BA91" i="195"/>
  <c r="BB91" i="195"/>
  <c r="BB93" i="195" s="1"/>
  <c r="BC91" i="195"/>
  <c r="BC93" i="195" s="1"/>
  <c r="BD91" i="195"/>
  <c r="BD94" i="195" s="1"/>
  <c r="BE91" i="195"/>
  <c r="BE93" i="195" s="1"/>
  <c r="BF91" i="195"/>
  <c r="BF96" i="195" s="1"/>
  <c r="BG91" i="195"/>
  <c r="BG93" i="195" s="1"/>
  <c r="BH91" i="195"/>
  <c r="BH96" i="195" s="1"/>
  <c r="BI91" i="195"/>
  <c r="BI93" i="195" s="1"/>
  <c r="D93" i="195"/>
  <c r="O93" i="195"/>
  <c r="U93" i="195"/>
  <c r="AB93" i="195"/>
  <c r="AE93" i="195"/>
  <c r="AK93" i="195"/>
  <c r="AR93" i="195"/>
  <c r="AU93" i="195"/>
  <c r="AV93" i="195"/>
  <c r="BA93" i="195"/>
  <c r="BH93" i="195"/>
  <c r="O94" i="195"/>
  <c r="U94" i="195"/>
  <c r="V94" i="195"/>
  <c r="W94" i="195"/>
  <c r="AB94" i="195"/>
  <c r="AC94" i="195"/>
  <c r="AD94" i="195"/>
  <c r="AE94" i="195"/>
  <c r="AK94" i="195"/>
  <c r="AL94" i="195"/>
  <c r="AM94" i="195"/>
  <c r="AR94" i="195"/>
  <c r="AS94" i="195"/>
  <c r="AT94" i="195"/>
  <c r="AU94" i="195"/>
  <c r="AV94" i="195"/>
  <c r="AW94" i="195"/>
  <c r="BA94" i="195"/>
  <c r="BB94" i="195"/>
  <c r="BC94" i="195"/>
  <c r="BH94" i="195"/>
  <c r="BI94" i="195"/>
  <c r="O95" i="195"/>
  <c r="U95" i="195"/>
  <c r="V95" i="195"/>
  <c r="W95" i="195"/>
  <c r="X95" i="195"/>
  <c r="AB95" i="195"/>
  <c r="AC95" i="195"/>
  <c r="AD95" i="195"/>
  <c r="AE95" i="195"/>
  <c r="AK95" i="195"/>
  <c r="AL95" i="195"/>
  <c r="AM95" i="195"/>
  <c r="AN95" i="195"/>
  <c r="AR95" i="195"/>
  <c r="AS95" i="195"/>
  <c r="AT95" i="195"/>
  <c r="AU95" i="195"/>
  <c r="AV95" i="195"/>
  <c r="BA95" i="195"/>
  <c r="BB95" i="195"/>
  <c r="BC95" i="195"/>
  <c r="BD95" i="195"/>
  <c r="BH95" i="195"/>
  <c r="BI95" i="195"/>
  <c r="O96" i="195"/>
  <c r="R96" i="195"/>
  <c r="U96" i="195"/>
  <c r="AC96" i="195"/>
  <c r="AD96" i="195"/>
  <c r="AE96" i="195"/>
  <c r="AK96" i="195"/>
  <c r="AS96" i="195"/>
  <c r="AT96" i="195"/>
  <c r="AU96" i="195"/>
  <c r="AV96" i="195"/>
  <c r="AW96" i="195"/>
  <c r="AX96" i="195"/>
  <c r="BA96" i="195"/>
  <c r="BI96" i="195"/>
  <c r="B108" i="195"/>
  <c r="C108" i="195"/>
  <c r="D108" i="195"/>
  <c r="E108" i="195"/>
  <c r="F108" i="195"/>
  <c r="G108" i="195" s="1"/>
  <c r="H108" i="195" s="1"/>
  <c r="I108" i="195" s="1"/>
  <c r="J108" i="195" s="1"/>
  <c r="K108" i="195" s="1"/>
  <c r="F110" i="195"/>
  <c r="F111" i="195"/>
  <c r="F112" i="195"/>
  <c r="F113" i="195"/>
  <c r="F114" i="195"/>
  <c r="F115" i="195"/>
  <c r="F117" i="195"/>
  <c r="F118" i="195"/>
  <c r="F119" i="195"/>
  <c r="F120" i="195"/>
  <c r="F121" i="195"/>
  <c r="C27" i="194"/>
  <c r="C40" i="194"/>
  <c r="C53" i="194"/>
  <c r="C87" i="194"/>
  <c r="C100" i="194"/>
  <c r="S114" i="194"/>
  <c r="T114" i="194"/>
  <c r="V114" i="194"/>
  <c r="W114" i="194"/>
  <c r="X114" i="194"/>
  <c r="Y114" i="194"/>
  <c r="Z114" i="194"/>
  <c r="AA114" i="194"/>
  <c r="C115" i="194"/>
  <c r="D115" i="194"/>
  <c r="E115" i="194"/>
  <c r="S115" i="194"/>
  <c r="T115" i="194"/>
  <c r="V115" i="194"/>
  <c r="W115" i="194"/>
  <c r="X115" i="194"/>
  <c r="Y115" i="194"/>
  <c r="Z115" i="194"/>
  <c r="AA115" i="194"/>
  <c r="C116" i="194"/>
  <c r="D116" i="194"/>
  <c r="E116" i="194"/>
  <c r="C117" i="194"/>
  <c r="D117" i="194"/>
  <c r="E117" i="194"/>
  <c r="M25" i="200" l="1"/>
  <c r="H43" i="198"/>
  <c r="J42" i="198"/>
  <c r="O42" i="198"/>
  <c r="H27" i="198"/>
  <c r="O26" i="198"/>
  <c r="J26" i="198"/>
  <c r="M10" i="200"/>
  <c r="O24" i="200"/>
  <c r="H10" i="200"/>
  <c r="O9" i="200"/>
  <c r="J9" i="200"/>
  <c r="O10" i="198"/>
  <c r="H11" i="198"/>
  <c r="J10" i="198"/>
  <c r="P26" i="195"/>
  <c r="N30" i="195"/>
  <c r="N34" i="195" s="1"/>
  <c r="Q17" i="195"/>
  <c r="N82" i="195"/>
  <c r="P78" i="195"/>
  <c r="BU4" i="195"/>
  <c r="Q82" i="195"/>
  <c r="F78" i="195"/>
  <c r="Q79" i="195"/>
  <c r="Q94" i="195" s="1"/>
  <c r="F80" i="195"/>
  <c r="Q81" i="195"/>
  <c r="Q83" i="195"/>
  <c r="P86" i="195"/>
  <c r="F79" i="195"/>
  <c r="Q80" i="195"/>
  <c r="Q86" i="195"/>
  <c r="F77" i="195"/>
  <c r="Q78" i="195"/>
  <c r="Q93" i="195" s="1"/>
  <c r="F81" i="195"/>
  <c r="Z93" i="195"/>
  <c r="AQ96" i="195"/>
  <c r="AO95" i="195"/>
  <c r="BF44" i="195"/>
  <c r="AZ93" i="195"/>
  <c r="BD96" i="195"/>
  <c r="AN96" i="195"/>
  <c r="X96" i="195"/>
  <c r="AZ94" i="195"/>
  <c r="AJ94" i="195"/>
  <c r="T94" i="195"/>
  <c r="AX93" i="195"/>
  <c r="R93" i="195"/>
  <c r="BT61" i="195"/>
  <c r="BC44" i="195"/>
  <c r="W44" i="195"/>
  <c r="AY42" i="195"/>
  <c r="S42" i="195"/>
  <c r="BC96" i="195"/>
  <c r="AM96" i="195"/>
  <c r="W96" i="195"/>
  <c r="AY94" i="195"/>
  <c r="S94" i="195"/>
  <c r="AW93" i="195"/>
  <c r="AX42" i="195"/>
  <c r="R42" i="195"/>
  <c r="AV41" i="195"/>
  <c r="P20" i="195"/>
  <c r="BT12" i="195"/>
  <c r="BT7" i="195"/>
  <c r="AQ93" i="195"/>
  <c r="BF41" i="195"/>
  <c r="AP41" i="195"/>
  <c r="Z41" i="195"/>
  <c r="BF93" i="195"/>
  <c r="AP93" i="195"/>
  <c r="BG96" i="195"/>
  <c r="AA96" i="195"/>
  <c r="BE95" i="195"/>
  <c r="Y95" i="195"/>
  <c r="Z96" i="195"/>
  <c r="AJ93" i="195"/>
  <c r="Q71" i="195"/>
  <c r="BE44" i="195"/>
  <c r="AO44" i="195"/>
  <c r="Y44" i="195"/>
  <c r="AY41" i="195"/>
  <c r="S41" i="195"/>
  <c r="AO96" i="195"/>
  <c r="P66" i="195"/>
  <c r="Q70" i="195"/>
  <c r="AM44" i="195"/>
  <c r="AW41" i="195"/>
  <c r="BB96" i="195"/>
  <c r="AL96" i="195"/>
  <c r="V96" i="195"/>
  <c r="AZ95" i="195"/>
  <c r="AJ95" i="195"/>
  <c r="T95" i="195"/>
  <c r="AX94" i="195"/>
  <c r="R94" i="195"/>
  <c r="BA44" i="195"/>
  <c r="AK44" i="195"/>
  <c r="U44" i="195"/>
  <c r="AY43" i="195"/>
  <c r="S43" i="195"/>
  <c r="AW42" i="195"/>
  <c r="AY95" i="195"/>
  <c r="S95" i="195"/>
  <c r="AP44" i="195"/>
  <c r="AP96" i="195"/>
  <c r="BE96" i="195"/>
  <c r="T96" i="195"/>
  <c r="BT57" i="195"/>
  <c r="BI41" i="195"/>
  <c r="AS41" i="195"/>
  <c r="AC41" i="195"/>
  <c r="Y96" i="195"/>
  <c r="AY93" i="195"/>
  <c r="S93" i="195"/>
  <c r="BT63" i="195"/>
  <c r="BT58" i="195"/>
  <c r="BD44" i="195"/>
  <c r="AN44" i="195"/>
  <c r="X44" i="195"/>
  <c r="AX41" i="195"/>
  <c r="R41" i="195"/>
  <c r="AX43" i="195"/>
  <c r="R43" i="195"/>
  <c r="BT65" i="195"/>
  <c r="BT62" i="195"/>
  <c r="BT60" i="195"/>
  <c r="BT11" i="195"/>
  <c r="BT6" i="195"/>
  <c r="BT9" i="195"/>
  <c r="BT56" i="195"/>
  <c r="BF42" i="195"/>
  <c r="AP42" i="195"/>
  <c r="Z42" i="195"/>
  <c r="BD41" i="195"/>
  <c r="AN41" i="195"/>
  <c r="X41" i="195"/>
  <c r="BF94" i="195"/>
  <c r="AP94" i="195"/>
  <c r="Z94" i="195"/>
  <c r="BD93" i="195"/>
  <c r="AN93" i="195"/>
  <c r="X93" i="195"/>
  <c r="BT64" i="195"/>
  <c r="BG43" i="195"/>
  <c r="AQ43" i="195"/>
  <c r="AA43" i="195"/>
  <c r="BE42" i="195"/>
  <c r="AO42" i="195"/>
  <c r="Y42" i="195"/>
  <c r="BC41" i="195"/>
  <c r="AM41" i="195"/>
  <c r="W41" i="195"/>
  <c r="O34" i="195"/>
  <c r="BG95" i="195"/>
  <c r="AQ95" i="195"/>
  <c r="AA95" i="195"/>
  <c r="BE94" i="195"/>
  <c r="AO94" i="195"/>
  <c r="Y94" i="195"/>
  <c r="Z43" i="195"/>
  <c r="BT5" i="195"/>
  <c r="BT14" i="195" s="1"/>
  <c r="BE41" i="195"/>
  <c r="AO41" i="195"/>
  <c r="Y41" i="195"/>
  <c r="BG94" i="195"/>
  <c r="AA94" i="195"/>
  <c r="BF95" i="195"/>
  <c r="BT13" i="195"/>
  <c r="BT10" i="195"/>
  <c r="BT8" i="195"/>
  <c r="M26" i="200" l="1"/>
  <c r="H44" i="198"/>
  <c r="J43" i="198"/>
  <c r="O43" i="198"/>
  <c r="H28" i="198"/>
  <c r="O27" i="198"/>
  <c r="J27" i="198"/>
  <c r="H11" i="200"/>
  <c r="M11" i="200"/>
  <c r="J11" i="200"/>
  <c r="O11" i="200"/>
  <c r="O25" i="200"/>
  <c r="O10" i="200"/>
  <c r="P10" i="200" s="1"/>
  <c r="J10" i="200"/>
  <c r="K10" i="200" s="1"/>
  <c r="H12" i="198"/>
  <c r="J11" i="198"/>
  <c r="O11" i="198"/>
  <c r="Q20" i="195"/>
  <c r="P14" i="195"/>
  <c r="Q18" i="195"/>
  <c r="F82" i="195"/>
  <c r="N86" i="195"/>
  <c r="P82" i="195"/>
  <c r="BU56" i="195"/>
  <c r="BT66" i="195"/>
  <c r="Q95" i="195"/>
  <c r="Q96" i="195" s="1"/>
  <c r="F27" i="195"/>
  <c r="Q27" i="195"/>
  <c r="F26" i="195"/>
  <c r="P34" i="195"/>
  <c r="Q34" i="195"/>
  <c r="F25" i="195"/>
  <c r="F30" i="195" s="1"/>
  <c r="Q26" i="195"/>
  <c r="F29" i="195"/>
  <c r="Q29" i="195"/>
  <c r="Q28" i="195"/>
  <c r="Q30" i="195"/>
  <c r="F28" i="195"/>
  <c r="Q31" i="195"/>
  <c r="AI93" i="195"/>
  <c r="AI94" i="195" s="1"/>
  <c r="AI95" i="195" s="1"/>
  <c r="AI96" i="195" s="1"/>
  <c r="Q16" i="195"/>
  <c r="R116" i="195"/>
  <c r="F116" i="195" s="1"/>
  <c r="Q19" i="195"/>
  <c r="BV4" i="195"/>
  <c r="BU5" i="195"/>
  <c r="P30" i="195"/>
  <c r="P25" i="200" l="1"/>
  <c r="P26" i="200"/>
  <c r="P21" i="200"/>
  <c r="P22" i="200"/>
  <c r="P23" i="200"/>
  <c r="P24" i="200"/>
  <c r="O44" i="198"/>
  <c r="J44" i="198"/>
  <c r="J28" i="198"/>
  <c r="O28" i="198"/>
  <c r="P11" i="200"/>
  <c r="P6" i="200"/>
  <c r="P7" i="200"/>
  <c r="P8" i="200"/>
  <c r="K11" i="200"/>
  <c r="K6" i="200"/>
  <c r="K7" i="200"/>
  <c r="K8" i="200"/>
  <c r="P9" i="200"/>
  <c r="K9" i="200"/>
  <c r="O12" i="198"/>
  <c r="P10" i="198" s="1"/>
  <c r="J12" i="198"/>
  <c r="Q116" i="195"/>
  <c r="E116" i="195" s="1"/>
  <c r="AH93" i="195"/>
  <c r="AH94" i="195" s="1"/>
  <c r="AH95" i="195" s="1"/>
  <c r="AH96" i="195" s="1"/>
  <c r="O116" i="195"/>
  <c r="C116" i="195" s="1"/>
  <c r="AF93" i="195"/>
  <c r="AF94" i="195" s="1"/>
  <c r="AF95" i="195" s="1"/>
  <c r="AF96" i="195" s="1"/>
  <c r="AF41" i="195"/>
  <c r="AF42" i="195" s="1"/>
  <c r="AF43" i="195" s="1"/>
  <c r="AF44" i="195" s="1"/>
  <c r="AH41" i="195"/>
  <c r="AH42" i="195" s="1"/>
  <c r="AH43" i="195" s="1"/>
  <c r="AH44" i="195" s="1"/>
  <c r="AI41" i="195"/>
  <c r="AI42" i="195" s="1"/>
  <c r="AI43" i="195" s="1"/>
  <c r="AI44" i="195" s="1"/>
  <c r="Q41" i="195"/>
  <c r="BV5" i="195"/>
  <c r="BU6" i="195"/>
  <c r="Q42" i="195"/>
  <c r="Q43" i="195" s="1"/>
  <c r="Q44" i="195" s="1"/>
  <c r="BU57" i="195"/>
  <c r="BV56" i="195"/>
  <c r="P116" i="195"/>
  <c r="D116" i="195" s="1"/>
  <c r="AG93" i="195"/>
  <c r="AG94" i="195" s="1"/>
  <c r="AG95" i="195" s="1"/>
  <c r="AG96" i="195" s="1"/>
  <c r="K8" i="198" l="1"/>
  <c r="K9" i="198"/>
  <c r="K7" i="198"/>
  <c r="P7" i="198"/>
  <c r="P6" i="198"/>
  <c r="P9" i="198"/>
  <c r="P8" i="198"/>
  <c r="K10" i="198"/>
  <c r="K11" i="198"/>
  <c r="P11" i="198"/>
  <c r="BV57" i="195"/>
  <c r="BU58" i="195"/>
  <c r="R115" i="195"/>
  <c r="Q115" i="195"/>
  <c r="O115" i="195"/>
  <c r="P115" i="195"/>
  <c r="BU7" i="195"/>
  <c r="BV6" i="195"/>
  <c r="BX56" i="195"/>
  <c r="BY56" i="195"/>
  <c r="BY4" i="195"/>
  <c r="BX4" i="195"/>
  <c r="AG41" i="195"/>
  <c r="AG42" i="195" s="1"/>
  <c r="AG43" i="195" s="1"/>
  <c r="AG44" i="195" s="1"/>
  <c r="BX6" i="195" l="1"/>
  <c r="BV7" i="195"/>
  <c r="BU8" i="195"/>
  <c r="BY5" i="195"/>
  <c r="BX5" i="195"/>
  <c r="BV58" i="195"/>
  <c r="BU59" i="195"/>
  <c r="BY57" i="195"/>
  <c r="BX57" i="195"/>
  <c r="BV59" i="195" l="1"/>
  <c r="BU60" i="195"/>
  <c r="BX58" i="195"/>
  <c r="BY58" i="195"/>
  <c r="BV8" i="195"/>
  <c r="BU9" i="195"/>
  <c r="BX7" i="195"/>
  <c r="BY7" i="195"/>
  <c r="BY6" i="195"/>
  <c r="BU10" i="195" l="1"/>
  <c r="BV9" i="195"/>
  <c r="BX8" i="195"/>
  <c r="BV60" i="195"/>
  <c r="BU61" i="195"/>
  <c r="BY59" i="195"/>
  <c r="BX59" i="195"/>
  <c r="BX9" i="195" l="1"/>
  <c r="BV10" i="195"/>
  <c r="BU11" i="195"/>
  <c r="BU62" i="195"/>
  <c r="BV61" i="195"/>
  <c r="BX60" i="195"/>
  <c r="BY60" i="195"/>
  <c r="BY8" i="195"/>
  <c r="BY61" i="195" l="1"/>
  <c r="BU63" i="195"/>
  <c r="BV62" i="195"/>
  <c r="BU12" i="195"/>
  <c r="BV11" i="195"/>
  <c r="BX10" i="195"/>
  <c r="BY10" i="195"/>
  <c r="BY9" i="195"/>
  <c r="BX11" i="195" l="1"/>
  <c r="BY11" i="195"/>
  <c r="BV12" i="195"/>
  <c r="BU13" i="195"/>
  <c r="BV13" i="195" s="1"/>
  <c r="BX62" i="195"/>
  <c r="BU64" i="195"/>
  <c r="BV63" i="195"/>
  <c r="BY62" i="195" s="1"/>
  <c r="BX61" i="195"/>
  <c r="BX13" i="195" l="1"/>
  <c r="BY13" i="195"/>
  <c r="BX12" i="195"/>
  <c r="BY12" i="195"/>
  <c r="BX63" i="195"/>
  <c r="BV64" i="195"/>
  <c r="BU65" i="195"/>
  <c r="BV65" i="195" s="1"/>
  <c r="BX65" i="195" l="1"/>
  <c r="BY65" i="195"/>
  <c r="BY64" i="195"/>
  <c r="BX64" i="195"/>
  <c r="BY63" i="195"/>
  <c r="BY14" i="195"/>
  <c r="BS17" i="195" s="1"/>
  <c r="BX14" i="195"/>
  <c r="BS16" i="195" s="1"/>
  <c r="BY66" i="195" l="1"/>
  <c r="BS69" i="195" s="1"/>
  <c r="BX66" i="195"/>
  <c r="BS68" i="195" s="1"/>
  <c r="L39" i="192" l="1"/>
  <c r="K39" i="192"/>
  <c r="J36" i="192"/>
  <c r="C45" i="192"/>
  <c r="C44" i="192"/>
  <c r="C43" i="192"/>
  <c r="C42" i="192"/>
  <c r="L34" i="192"/>
  <c r="L31" i="192"/>
  <c r="J31" i="192"/>
  <c r="F31" i="192"/>
  <c r="K31" i="192" s="1"/>
  <c r="G31" i="192"/>
  <c r="H31" i="192"/>
  <c r="M31" i="192" s="1"/>
  <c r="F34" i="192"/>
  <c r="G34" i="192"/>
  <c r="H34" i="192"/>
  <c r="F36" i="192"/>
  <c r="K36" i="192" s="1"/>
  <c r="G36" i="192"/>
  <c r="L36" i="192" s="1"/>
  <c r="H36" i="192"/>
  <c r="M36" i="192" s="1"/>
  <c r="F40" i="192"/>
  <c r="K40" i="192" s="1"/>
  <c r="G40" i="192"/>
  <c r="L40" i="192" s="1"/>
  <c r="H40" i="192"/>
  <c r="M40" i="192" s="1"/>
  <c r="F39" i="192"/>
  <c r="G39" i="192"/>
  <c r="H39" i="192"/>
  <c r="M39" i="192" s="1"/>
  <c r="F28" i="192"/>
  <c r="K28" i="192" s="1"/>
  <c r="G28" i="192"/>
  <c r="L28" i="192" s="1"/>
  <c r="H28" i="192"/>
  <c r="M28" i="192" s="1"/>
  <c r="E28" i="192"/>
  <c r="J28" i="192" s="1"/>
  <c r="E31" i="192"/>
  <c r="E34" i="192"/>
  <c r="E36" i="192"/>
  <c r="E39" i="192"/>
  <c r="J39" i="192" s="1"/>
  <c r="E40" i="192"/>
  <c r="J40" i="192" s="1"/>
  <c r="D31" i="192"/>
  <c r="D36" i="192"/>
  <c r="D34" i="192"/>
  <c r="K34" i="192" s="1"/>
  <c r="D39" i="192"/>
  <c r="D40" i="192"/>
  <c r="M34" i="192" l="1"/>
  <c r="J34" i="192"/>
  <c r="L38" i="192"/>
  <c r="D38" i="192"/>
  <c r="J38" i="192"/>
  <c r="D33" i="192" l="1"/>
  <c r="D45" i="192"/>
  <c r="E45" i="192"/>
  <c r="E38" i="192"/>
  <c r="G45" i="192"/>
  <c r="G38" i="192"/>
  <c r="M38" i="192"/>
  <c r="K38" i="192"/>
  <c r="F45" i="192" l="1"/>
  <c r="F38" i="192"/>
  <c r="H45" i="192"/>
  <c r="H38" i="192"/>
  <c r="D32" i="192"/>
  <c r="D37" i="192" s="1"/>
  <c r="D35" i="192" s="1"/>
  <c r="D43" i="192"/>
  <c r="D30" i="192" l="1"/>
  <c r="D44" i="192"/>
  <c r="D29" i="192" l="1"/>
  <c r="D42" i="192"/>
  <c r="D47" i="192" s="1"/>
  <c r="E60" i="191" l="1"/>
  <c r="F64" i="191" s="1"/>
  <c r="E59" i="191"/>
  <c r="F63" i="191" s="1"/>
  <c r="E62" i="191"/>
  <c r="E61" i="191"/>
  <c r="N66" i="191"/>
  <c r="N65" i="191"/>
  <c r="N64" i="191"/>
  <c r="N63" i="191"/>
  <c r="N62" i="191"/>
  <c r="M66" i="191"/>
  <c r="M65" i="191"/>
  <c r="M64" i="191"/>
  <c r="M63" i="191"/>
  <c r="M62" i="191"/>
  <c r="O58" i="191"/>
  <c r="N58" i="191"/>
  <c r="M58" i="191"/>
  <c r="O57" i="191"/>
  <c r="N57" i="191"/>
  <c r="M57" i="191"/>
  <c r="D58" i="191"/>
  <c r="E58" i="191"/>
  <c r="C58" i="191"/>
  <c r="E57" i="191"/>
  <c r="D57" i="191"/>
  <c r="C57" i="191"/>
  <c r="D69" i="191"/>
  <c r="D70" i="191"/>
  <c r="D68" i="191"/>
  <c r="D67" i="191"/>
  <c r="D66" i="191"/>
  <c r="C69" i="191"/>
  <c r="C70" i="191"/>
  <c r="C68" i="191"/>
  <c r="C66" i="191"/>
  <c r="C67" i="191"/>
  <c r="Q19" i="191"/>
  <c r="E63" i="191" l="1"/>
  <c r="E64" i="191"/>
  <c r="S6" i="171"/>
  <c r="AL6" i="171" l="1"/>
  <c r="AB6" i="171"/>
  <c r="AM6" i="171" s="1"/>
  <c r="AK6" i="171"/>
  <c r="AN6" i="171" s="1"/>
  <c r="D62" i="184" l="1"/>
  <c r="D63" i="184" s="1"/>
  <c r="D64" i="184" s="1"/>
  <c r="D65" i="184" s="1"/>
  <c r="D66" i="184" s="1"/>
  <c r="D67" i="184" s="1"/>
  <c r="D68" i="184" s="1"/>
  <c r="D69" i="184" s="1"/>
  <c r="D34" i="184"/>
  <c r="D35" i="184" s="1"/>
  <c r="D36" i="184" s="1"/>
  <c r="D37" i="184" s="1"/>
  <c r="D38" i="184" s="1"/>
  <c r="AP17" i="171"/>
  <c r="AP16" i="171"/>
  <c r="AP9" i="171"/>
  <c r="AP8" i="171"/>
  <c r="AP7" i="171"/>
  <c r="AP6" i="171"/>
  <c r="AP5" i="171"/>
  <c r="S5" i="171"/>
  <c r="G71" i="184"/>
  <c r="G55" i="184"/>
  <c r="G40" i="184"/>
  <c r="L71" i="183"/>
  <c r="L67" i="183"/>
  <c r="D66" i="183"/>
  <c r="D67" i="183" s="1"/>
  <c r="D68" i="183" s="1"/>
  <c r="D69" i="183" s="1"/>
  <c r="D70" i="183" s="1"/>
  <c r="D71" i="183" s="1"/>
  <c r="D72" i="183" s="1"/>
  <c r="D73" i="183" s="1"/>
  <c r="H34" i="183"/>
  <c r="D34" i="183"/>
  <c r="D35" i="183" s="1"/>
  <c r="D36" i="183" s="1"/>
  <c r="D37" i="183" s="1"/>
  <c r="D38" i="183" s="1"/>
  <c r="I19" i="180"/>
  <c r="H19" i="180"/>
  <c r="G19" i="180"/>
  <c r="F19" i="180"/>
  <c r="E19" i="180"/>
  <c r="D19" i="180"/>
  <c r="C19" i="180"/>
  <c r="C48" i="179"/>
  <c r="C34" i="179"/>
  <c r="E44" i="178"/>
  <c r="E24" i="178"/>
  <c r="E125" i="177"/>
  <c r="D125" i="177"/>
  <c r="F124" i="177"/>
  <c r="E124" i="177"/>
  <c r="F123" i="177"/>
  <c r="E123" i="177"/>
  <c r="F122" i="177"/>
  <c r="E122" i="177"/>
  <c r="F121" i="177"/>
  <c r="E121" i="177"/>
  <c r="F120" i="177"/>
  <c r="E120" i="177"/>
  <c r="F119" i="177"/>
  <c r="E119" i="177"/>
  <c r="F118" i="177"/>
  <c r="E118" i="177"/>
  <c r="F117" i="177"/>
  <c r="E117" i="177"/>
  <c r="F116" i="177"/>
  <c r="E116" i="177"/>
  <c r="F115" i="177"/>
  <c r="E115" i="177"/>
  <c r="F114" i="177"/>
  <c r="E114" i="177"/>
  <c r="F113" i="177"/>
  <c r="E113" i="177"/>
  <c r="U27" i="176"/>
  <c r="U25" i="176"/>
  <c r="O11" i="176"/>
  <c r="H12" i="176"/>
  <c r="O10" i="176"/>
  <c r="P8" i="176" s="1"/>
  <c r="I11" i="176"/>
  <c r="H11" i="176"/>
  <c r="O9" i="176"/>
  <c r="H10" i="176"/>
  <c r="O8" i="176"/>
  <c r="H9" i="176"/>
  <c r="G9" i="172"/>
  <c r="G10" i="172" s="1"/>
  <c r="G8" i="172"/>
  <c r="G4" i="172"/>
  <c r="G40" i="183" l="1"/>
  <c r="G50" i="183"/>
  <c r="C93" i="183" s="1"/>
  <c r="G36" i="183"/>
  <c r="C84" i="183" s="1"/>
  <c r="L73" i="183"/>
  <c r="G47" i="183"/>
  <c r="C90" i="183" s="1"/>
  <c r="L69" i="183"/>
  <c r="L66" i="183"/>
  <c r="M66" i="183" s="1"/>
  <c r="F100" i="183" s="1"/>
  <c r="L70" i="183"/>
  <c r="L74" i="183"/>
  <c r="G66" i="183"/>
  <c r="C100" i="183" s="1"/>
  <c r="H66" i="183"/>
  <c r="J66" i="183" s="1"/>
  <c r="D100" i="183" s="1"/>
  <c r="G52" i="183"/>
  <c r="C95" i="183" s="1"/>
  <c r="L47" i="184"/>
  <c r="M47" i="184" s="1"/>
  <c r="F90" i="184" s="1"/>
  <c r="L68" i="183"/>
  <c r="L37" i="183"/>
  <c r="AB5" i="171"/>
  <c r="AM5" i="171" s="1"/>
  <c r="AK5" i="171"/>
  <c r="AN5" i="171" s="1"/>
  <c r="AL5" i="171"/>
  <c r="G70" i="184"/>
  <c r="C108" i="184" s="1"/>
  <c r="L70" i="184"/>
  <c r="G64" i="184"/>
  <c r="C102" i="184" s="1"/>
  <c r="L64" i="184"/>
  <c r="G34" i="183"/>
  <c r="C82" i="183" s="1"/>
  <c r="G69" i="183"/>
  <c r="C103" i="183" s="1"/>
  <c r="G36" i="184"/>
  <c r="C84" i="184" s="1"/>
  <c r="L36" i="184"/>
  <c r="G53" i="184"/>
  <c r="C96" i="184" s="1"/>
  <c r="L53" i="184"/>
  <c r="G65" i="184"/>
  <c r="C103" i="184" s="1"/>
  <c r="L65" i="184"/>
  <c r="G68" i="183"/>
  <c r="C102" i="183" s="1"/>
  <c r="G69" i="184"/>
  <c r="C107" i="184" s="1"/>
  <c r="L69" i="184"/>
  <c r="G48" i="184"/>
  <c r="C91" i="184" s="1"/>
  <c r="L48" i="184"/>
  <c r="G52" i="184"/>
  <c r="C95" i="184" s="1"/>
  <c r="L52" i="184"/>
  <c r="L38" i="183"/>
  <c r="G35" i="184"/>
  <c r="C83" i="184" s="1"/>
  <c r="L35" i="184"/>
  <c r="O34" i="183"/>
  <c r="G37" i="184"/>
  <c r="C85" i="184" s="1"/>
  <c r="L37" i="184"/>
  <c r="G54" i="184"/>
  <c r="C97" i="184" s="1"/>
  <c r="L54" i="184"/>
  <c r="G66" i="184"/>
  <c r="C104" i="184" s="1"/>
  <c r="L66" i="184"/>
  <c r="G70" i="183"/>
  <c r="C104" i="183" s="1"/>
  <c r="G49" i="184"/>
  <c r="C92" i="184" s="1"/>
  <c r="L49" i="184"/>
  <c r="L35" i="183"/>
  <c r="L39" i="183"/>
  <c r="G53" i="183"/>
  <c r="C96" i="183" s="1"/>
  <c r="G38" i="184"/>
  <c r="C86" i="184" s="1"/>
  <c r="L38" i="184"/>
  <c r="G67" i="184"/>
  <c r="C105" i="184" s="1"/>
  <c r="L67" i="184"/>
  <c r="G50" i="184"/>
  <c r="C93" i="184" s="1"/>
  <c r="L50" i="184"/>
  <c r="G62" i="184"/>
  <c r="C100" i="184" s="1"/>
  <c r="L62" i="184"/>
  <c r="M62" i="184" s="1"/>
  <c r="G72" i="183"/>
  <c r="C106" i="183" s="1"/>
  <c r="L72" i="183"/>
  <c r="L36" i="183"/>
  <c r="G39" i="184"/>
  <c r="C87" i="184" s="1"/>
  <c r="L39" i="184"/>
  <c r="G68" i="184"/>
  <c r="C106" i="184" s="1"/>
  <c r="L68" i="184"/>
  <c r="G34" i="184"/>
  <c r="C82" i="184" s="1"/>
  <c r="L34" i="184"/>
  <c r="M34" i="184" s="1"/>
  <c r="G51" i="184"/>
  <c r="C94" i="184" s="1"/>
  <c r="L51" i="184"/>
  <c r="G63" i="184"/>
  <c r="C101" i="184" s="1"/>
  <c r="L63" i="184"/>
  <c r="H47" i="184"/>
  <c r="J47" i="184" s="1"/>
  <c r="D90" i="184" s="1"/>
  <c r="G47" i="184"/>
  <c r="C90" i="184" s="1"/>
  <c r="G39" i="183"/>
  <c r="C87" i="183" s="1"/>
  <c r="G67" i="183"/>
  <c r="C101" i="183" s="1"/>
  <c r="G75" i="183"/>
  <c r="G51" i="183"/>
  <c r="C94" i="183" s="1"/>
  <c r="J42" i="184"/>
  <c r="J43" i="184" s="1"/>
  <c r="J73" i="184"/>
  <c r="J74" i="184" s="1"/>
  <c r="H34" i="184"/>
  <c r="O34" i="184" s="1"/>
  <c r="J57" i="184"/>
  <c r="J58" i="184" s="1"/>
  <c r="H62" i="184"/>
  <c r="J62" i="184" s="1"/>
  <c r="D100" i="184" s="1"/>
  <c r="J77" i="183"/>
  <c r="J78" i="183" s="1"/>
  <c r="J42" i="183"/>
  <c r="J43" i="183" s="1"/>
  <c r="G37" i="183"/>
  <c r="C85" i="183" s="1"/>
  <c r="G73" i="183"/>
  <c r="C107" i="183" s="1"/>
  <c r="J34" i="183"/>
  <c r="D82" i="183" s="1"/>
  <c r="E55" i="183"/>
  <c r="G74" i="183"/>
  <c r="C108" i="183" s="1"/>
  <c r="H47" i="183"/>
  <c r="G54" i="183"/>
  <c r="C97" i="183" s="1"/>
  <c r="G38" i="183"/>
  <c r="C86" i="183" s="1"/>
  <c r="J57" i="183"/>
  <c r="G71" i="183"/>
  <c r="C105" i="183" s="1"/>
  <c r="G49" i="183"/>
  <c r="C92" i="183" s="1"/>
  <c r="G35" i="183"/>
  <c r="C83" i="183" s="1"/>
  <c r="H35" i="183"/>
  <c r="G48" i="183"/>
  <c r="C91" i="183" s="1"/>
  <c r="L34" i="183"/>
  <c r="M34" i="183" s="1"/>
  <c r="L47" i="183" l="1"/>
  <c r="M47" i="183" s="1"/>
  <c r="H67" i="183"/>
  <c r="J67" i="183" s="1"/>
  <c r="D101" i="183" s="1"/>
  <c r="O66" i="183"/>
  <c r="O47" i="184"/>
  <c r="M48" i="184"/>
  <c r="M49" i="184" s="1"/>
  <c r="H48" i="184"/>
  <c r="H49" i="184" s="1"/>
  <c r="J49" i="184" s="1"/>
  <c r="D92" i="184" s="1"/>
  <c r="J34" i="184"/>
  <c r="D82" i="184" s="1"/>
  <c r="J58" i="183"/>
  <c r="F90" i="183"/>
  <c r="L54" i="183"/>
  <c r="L49" i="183"/>
  <c r="G55" i="183"/>
  <c r="M35" i="183"/>
  <c r="F82" i="183"/>
  <c r="L50" i="183"/>
  <c r="L52" i="183"/>
  <c r="L48" i="183"/>
  <c r="M48" i="183" s="1"/>
  <c r="M63" i="184"/>
  <c r="F100" i="184"/>
  <c r="L53" i="183"/>
  <c r="M35" i="184"/>
  <c r="F82" i="184"/>
  <c r="L51" i="183"/>
  <c r="H35" i="184"/>
  <c r="O49" i="184"/>
  <c r="H63" i="184"/>
  <c r="O62" i="184"/>
  <c r="H48" i="183"/>
  <c r="J47" i="183"/>
  <c r="D90" i="183" s="1"/>
  <c r="O47" i="183"/>
  <c r="M67" i="183"/>
  <c r="J35" i="183"/>
  <c r="D83" i="183" s="1"/>
  <c r="H36" i="183"/>
  <c r="O35" i="183"/>
  <c r="J48" i="184" l="1"/>
  <c r="D91" i="184" s="1"/>
  <c r="F91" i="184"/>
  <c r="O67" i="183"/>
  <c r="H68" i="183"/>
  <c r="O68" i="183" s="1"/>
  <c r="O48" i="184"/>
  <c r="H50" i="184"/>
  <c r="M49" i="183"/>
  <c r="F91" i="183"/>
  <c r="M68" i="183"/>
  <c r="F101" i="183"/>
  <c r="M36" i="183"/>
  <c r="F83" i="183"/>
  <c r="J68" i="183"/>
  <c r="D102" i="183" s="1"/>
  <c r="M50" i="184"/>
  <c r="F92" i="184"/>
  <c r="M64" i="184"/>
  <c r="F101" i="184"/>
  <c r="M36" i="184"/>
  <c r="F83" i="184"/>
  <c r="H36" i="184"/>
  <c r="O35" i="184"/>
  <c r="J35" i="184"/>
  <c r="D83" i="184" s="1"/>
  <c r="J50" i="184"/>
  <c r="D93" i="184" s="1"/>
  <c r="H51" i="184"/>
  <c r="O50" i="184"/>
  <c r="H64" i="184"/>
  <c r="O63" i="184"/>
  <c r="J63" i="184"/>
  <c r="D101" i="184" s="1"/>
  <c r="O48" i="183"/>
  <c r="J48" i="183"/>
  <c r="D91" i="183" s="1"/>
  <c r="H49" i="183"/>
  <c r="H37" i="183"/>
  <c r="O36" i="183"/>
  <c r="J36" i="183"/>
  <c r="D84" i="183" s="1"/>
  <c r="H69" i="183" l="1"/>
  <c r="H70" i="183" s="1"/>
  <c r="M51" i="184"/>
  <c r="F93" i="184"/>
  <c r="M37" i="184"/>
  <c r="F84" i="184"/>
  <c r="M37" i="183"/>
  <c r="F84" i="183"/>
  <c r="M65" i="184"/>
  <c r="F102" i="184"/>
  <c r="M69" i="183"/>
  <c r="F102" i="183"/>
  <c r="O69" i="183"/>
  <c r="F92" i="183"/>
  <c r="M50" i="183"/>
  <c r="H65" i="184"/>
  <c r="O64" i="184"/>
  <c r="J64" i="184"/>
  <c r="D102" i="184" s="1"/>
  <c r="H52" i="184"/>
  <c r="O51" i="184"/>
  <c r="J51" i="184"/>
  <c r="D94" i="184" s="1"/>
  <c r="H37" i="184"/>
  <c r="O36" i="184"/>
  <c r="J36" i="184"/>
  <c r="D84" i="184" s="1"/>
  <c r="H50" i="183"/>
  <c r="O49" i="183"/>
  <c r="J49" i="183"/>
  <c r="D92" i="183" s="1"/>
  <c r="H38" i="183"/>
  <c r="J37" i="183"/>
  <c r="D85" i="183" s="1"/>
  <c r="O37" i="183"/>
  <c r="O70" i="183"/>
  <c r="J70" i="183"/>
  <c r="D104" i="183" s="1"/>
  <c r="H71" i="183"/>
  <c r="J69" i="183" l="1"/>
  <c r="D103" i="183" s="1"/>
  <c r="M70" i="183"/>
  <c r="F103" i="183"/>
  <c r="M38" i="183"/>
  <c r="F85" i="183"/>
  <c r="M38" i="184"/>
  <c r="F85" i="184"/>
  <c r="M51" i="183"/>
  <c r="F93" i="183"/>
  <c r="M66" i="184"/>
  <c r="F103" i="184"/>
  <c r="F94" i="184"/>
  <c r="M52" i="184"/>
  <c r="H38" i="184"/>
  <c r="O37" i="184"/>
  <c r="J37" i="184"/>
  <c r="D85" i="184" s="1"/>
  <c r="H66" i="184"/>
  <c r="O65" i="184"/>
  <c r="J65" i="184"/>
  <c r="D103" i="184" s="1"/>
  <c r="H53" i="184"/>
  <c r="O52" i="184"/>
  <c r="J52" i="184"/>
  <c r="D95" i="184" s="1"/>
  <c r="H51" i="183"/>
  <c r="O50" i="183"/>
  <c r="J50" i="183"/>
  <c r="D93" i="183" s="1"/>
  <c r="H72" i="183"/>
  <c r="J71" i="183"/>
  <c r="D105" i="183" s="1"/>
  <c r="O71" i="183"/>
  <c r="H39" i="183"/>
  <c r="O38" i="183"/>
  <c r="J38" i="183"/>
  <c r="D86" i="183" s="1"/>
  <c r="I19" i="191" l="1"/>
  <c r="P19" i="191"/>
  <c r="M67" i="184"/>
  <c r="F104" i="184"/>
  <c r="M39" i="184"/>
  <c r="F87" i="184" s="1"/>
  <c r="F86" i="184"/>
  <c r="M52" i="183"/>
  <c r="F94" i="183"/>
  <c r="F86" i="183"/>
  <c r="M39" i="183"/>
  <c r="F87" i="183" s="1"/>
  <c r="M53" i="184"/>
  <c r="F95" i="184"/>
  <c r="M71" i="183"/>
  <c r="F104" i="183"/>
  <c r="H39" i="184"/>
  <c r="O38" i="184"/>
  <c r="J38" i="184"/>
  <c r="D86" i="184" s="1"/>
  <c r="H54" i="184"/>
  <c r="O53" i="184"/>
  <c r="J53" i="184"/>
  <c r="D96" i="184" s="1"/>
  <c r="H67" i="184"/>
  <c r="O66" i="184"/>
  <c r="J66" i="184"/>
  <c r="D104" i="184" s="1"/>
  <c r="J51" i="183"/>
  <c r="D94" i="183" s="1"/>
  <c r="O51" i="183"/>
  <c r="H52" i="183"/>
  <c r="O39" i="183"/>
  <c r="P38" i="183" s="1"/>
  <c r="R19" i="191" s="1"/>
  <c r="J39" i="183"/>
  <c r="J72" i="183"/>
  <c r="D106" i="183" s="1"/>
  <c r="H73" i="183"/>
  <c r="O72" i="183"/>
  <c r="K37" i="183" l="1"/>
  <c r="E85" i="183" s="1"/>
  <c r="D87" i="183"/>
  <c r="M53" i="183"/>
  <c r="F95" i="183"/>
  <c r="P35" i="183"/>
  <c r="K34" i="183"/>
  <c r="E82" i="183" s="1"/>
  <c r="M54" i="184"/>
  <c r="F97" i="184" s="1"/>
  <c r="F96" i="184"/>
  <c r="P34" i="183"/>
  <c r="M72" i="183"/>
  <c r="F105" i="183"/>
  <c r="M68" i="184"/>
  <c r="F105" i="184"/>
  <c r="O54" i="184"/>
  <c r="J54" i="184"/>
  <c r="O39" i="184"/>
  <c r="J39" i="184"/>
  <c r="H68" i="184"/>
  <c r="O67" i="184"/>
  <c r="J67" i="184"/>
  <c r="D105" i="184" s="1"/>
  <c r="O52" i="183"/>
  <c r="J52" i="183"/>
  <c r="D95" i="183" s="1"/>
  <c r="H53" i="183"/>
  <c r="K36" i="183"/>
  <c r="E84" i="183" s="1"/>
  <c r="P36" i="183"/>
  <c r="K35" i="183"/>
  <c r="E83" i="183" s="1"/>
  <c r="J73" i="183"/>
  <c r="D107" i="183" s="1"/>
  <c r="O73" i="183"/>
  <c r="H74" i="183"/>
  <c r="K39" i="183"/>
  <c r="E87" i="183" s="1"/>
  <c r="P37" i="183"/>
  <c r="P39" i="183"/>
  <c r="K38" i="183"/>
  <c r="P53" i="184" l="1"/>
  <c r="P38" i="184"/>
  <c r="E175" i="184"/>
  <c r="E176" i="184"/>
  <c r="E178" i="184"/>
  <c r="E177" i="184"/>
  <c r="E179" i="184"/>
  <c r="E180" i="184"/>
  <c r="E181" i="184"/>
  <c r="E182" i="184"/>
  <c r="E167" i="184"/>
  <c r="E168" i="184"/>
  <c r="E169" i="184"/>
  <c r="E170" i="184"/>
  <c r="E171" i="184"/>
  <c r="E172" i="184"/>
  <c r="P37" i="184"/>
  <c r="P36" i="184"/>
  <c r="P35" i="184"/>
  <c r="P48" i="184"/>
  <c r="M69" i="184"/>
  <c r="F106" i="184"/>
  <c r="M73" i="183"/>
  <c r="F106" i="183"/>
  <c r="E86" i="183"/>
  <c r="P34" i="184"/>
  <c r="K53" i="184"/>
  <c r="E96" i="184" s="1"/>
  <c r="D97" i="184"/>
  <c r="K38" i="184"/>
  <c r="E86" i="184" s="1"/>
  <c r="D87" i="184"/>
  <c r="K51" i="184"/>
  <c r="E94" i="184" s="1"/>
  <c r="P50" i="184"/>
  <c r="M54" i="183"/>
  <c r="F97" i="183" s="1"/>
  <c r="F96" i="183"/>
  <c r="P51" i="184"/>
  <c r="P49" i="184"/>
  <c r="K50" i="184"/>
  <c r="E93" i="184" s="1"/>
  <c r="K49" i="184"/>
  <c r="E92" i="184" s="1"/>
  <c r="K47" i="184"/>
  <c r="E90" i="184" s="1"/>
  <c r="K48" i="184"/>
  <c r="E91" i="184" s="1"/>
  <c r="K37" i="184"/>
  <c r="E85" i="184" s="1"/>
  <c r="P47" i="184"/>
  <c r="K36" i="184"/>
  <c r="E84" i="184" s="1"/>
  <c r="K34" i="184"/>
  <c r="E82" i="184" s="1"/>
  <c r="K54" i="184"/>
  <c r="E97" i="184" s="1"/>
  <c r="H69" i="184"/>
  <c r="O68" i="184"/>
  <c r="J68" i="184"/>
  <c r="D106" i="184" s="1"/>
  <c r="K35" i="184"/>
  <c r="E83" i="184" s="1"/>
  <c r="P54" i="184"/>
  <c r="K52" i="184"/>
  <c r="E95" i="184" s="1"/>
  <c r="P52" i="184"/>
  <c r="K39" i="184"/>
  <c r="E87" i="184" s="1"/>
  <c r="P39" i="184"/>
  <c r="J53" i="183"/>
  <c r="D96" i="183" s="1"/>
  <c r="H54" i="183"/>
  <c r="O53" i="183"/>
  <c r="O74" i="183"/>
  <c r="P73" i="183" s="1"/>
  <c r="J74" i="183"/>
  <c r="P69" i="183" l="1"/>
  <c r="P68" i="183"/>
  <c r="P67" i="183"/>
  <c r="K71" i="183"/>
  <c r="D108" i="183"/>
  <c r="F107" i="183"/>
  <c r="M74" i="183"/>
  <c r="F108" i="183" s="1"/>
  <c r="P66" i="183"/>
  <c r="M70" i="184"/>
  <c r="F108" i="184" s="1"/>
  <c r="F107" i="184"/>
  <c r="H70" i="184"/>
  <c r="O69" i="184"/>
  <c r="J69" i="184"/>
  <c r="C211" i="184" s="1"/>
  <c r="K67" i="183"/>
  <c r="K70" i="183"/>
  <c r="K69" i="183"/>
  <c r="K68" i="183"/>
  <c r="K66" i="183"/>
  <c r="P72" i="183"/>
  <c r="J54" i="183"/>
  <c r="K50" i="183" s="1"/>
  <c r="E93" i="183" s="1"/>
  <c r="O54" i="183"/>
  <c r="P47" i="183" s="1"/>
  <c r="P70" i="183"/>
  <c r="P71" i="183"/>
  <c r="P74" i="183"/>
  <c r="K73" i="183"/>
  <c r="K74" i="183"/>
  <c r="E108" i="183" s="1"/>
  <c r="K72" i="183"/>
  <c r="D107" i="184" l="1"/>
  <c r="P49" i="183"/>
  <c r="P50" i="183"/>
  <c r="R9" i="188"/>
  <c r="E100" i="183"/>
  <c r="R15" i="188"/>
  <c r="E106" i="183"/>
  <c r="R11" i="188"/>
  <c r="E102" i="183"/>
  <c r="R12" i="188"/>
  <c r="E103" i="183"/>
  <c r="R13" i="188"/>
  <c r="E104" i="183"/>
  <c r="R10" i="188"/>
  <c r="E101" i="183"/>
  <c r="R16" i="188"/>
  <c r="E107" i="183"/>
  <c r="K53" i="183"/>
  <c r="E96" i="183" s="1"/>
  <c r="D97" i="183"/>
  <c r="R14" i="188"/>
  <c r="E105" i="183"/>
  <c r="O70" i="184"/>
  <c r="J70" i="184"/>
  <c r="C212" i="184" s="1"/>
  <c r="P53" i="183"/>
  <c r="P54" i="183"/>
  <c r="K54" i="183"/>
  <c r="E97" i="183" s="1"/>
  <c r="K51" i="183"/>
  <c r="E94" i="183" s="1"/>
  <c r="P51" i="183"/>
  <c r="P48" i="183"/>
  <c r="K49" i="183"/>
  <c r="E92" i="183" s="1"/>
  <c r="K48" i="183"/>
  <c r="E91" i="183" s="1"/>
  <c r="K52" i="183"/>
  <c r="E95" i="183" s="1"/>
  <c r="P52" i="183"/>
  <c r="K47" i="183"/>
  <c r="E90" i="183" s="1"/>
  <c r="K69" i="184" l="1"/>
  <c r="C224" i="184" s="1"/>
  <c r="C225" i="184" s="1"/>
  <c r="C226" i="184" s="1"/>
  <c r="P69" i="184"/>
  <c r="K66" i="184"/>
  <c r="E104" i="184" s="1"/>
  <c r="E185" i="184"/>
  <c r="E186" i="184"/>
  <c r="E187" i="184"/>
  <c r="E188" i="184"/>
  <c r="E189" i="184"/>
  <c r="E190" i="184"/>
  <c r="E191" i="184"/>
  <c r="E192" i="184"/>
  <c r="E193" i="184"/>
  <c r="P66" i="184"/>
  <c r="K67" i="184"/>
  <c r="E105" i="184" s="1"/>
  <c r="K65" i="184"/>
  <c r="E103" i="184" s="1"/>
  <c r="K64" i="184"/>
  <c r="E102" i="184" s="1"/>
  <c r="K70" i="184"/>
  <c r="E108" i="184" s="1"/>
  <c r="D108" i="184"/>
  <c r="K63" i="184"/>
  <c r="E101" i="184" s="1"/>
  <c r="P64" i="184"/>
  <c r="P65" i="184"/>
  <c r="P63" i="184"/>
  <c r="K62" i="184"/>
  <c r="E100" i="184" s="1"/>
  <c r="P62" i="184"/>
  <c r="E107" i="184"/>
  <c r="P68" i="184"/>
  <c r="P70" i="184"/>
  <c r="K68" i="184"/>
  <c r="E106" i="184" s="1"/>
  <c r="P67" i="184"/>
  <c r="E33" i="192"/>
  <c r="J33" i="192" s="1"/>
  <c r="G33" i="192"/>
  <c r="L33" i="192" s="1"/>
  <c r="F33" i="192"/>
  <c r="K33" i="192" s="1"/>
  <c r="H33" i="192"/>
  <c r="M33" i="192" s="1"/>
  <c r="C228" i="184" l="1"/>
  <c r="G220" i="184" s="1"/>
  <c r="G219" i="184"/>
  <c r="K32" i="192"/>
  <c r="F32" i="192" s="1"/>
  <c r="J32" i="192"/>
  <c r="E32" i="192" s="1"/>
  <c r="E43" i="192"/>
  <c r="M32" i="192"/>
  <c r="H32" i="192" s="1"/>
  <c r="L32" i="192"/>
  <c r="G32" i="192" s="1"/>
  <c r="G43" i="192" l="1"/>
  <c r="H43" i="192"/>
  <c r="F43" i="192"/>
  <c r="E37" i="192"/>
  <c r="J37" i="192"/>
  <c r="J35" i="192"/>
  <c r="E35" i="192" s="1"/>
  <c r="H37" i="192"/>
  <c r="M37" i="192" s="1"/>
  <c r="M35" i="192" s="1"/>
  <c r="G37" i="192"/>
  <c r="L37" i="192" s="1"/>
  <c r="L35" i="192" s="1"/>
  <c r="G35" i="192" s="1"/>
  <c r="F37" i="192"/>
  <c r="K37" i="192" s="1"/>
  <c r="K35" i="192" s="1"/>
  <c r="F35" i="192" s="1"/>
  <c r="E44" i="192" l="1"/>
  <c r="H44" i="192"/>
  <c r="H35" i="192"/>
  <c r="F44" i="192"/>
  <c r="G44" i="192"/>
  <c r="G30" i="192"/>
  <c r="L30" i="192" s="1"/>
  <c r="H30" i="192"/>
  <c r="M30" i="192" s="1"/>
  <c r="E30" i="192"/>
  <c r="J30" i="192"/>
  <c r="J29" i="192" s="1"/>
  <c r="E29" i="192" s="1"/>
  <c r="F30" i="192"/>
  <c r="K30" i="192" s="1"/>
  <c r="K29" i="192" l="1"/>
  <c r="F29" i="192" s="1"/>
  <c r="E42" i="192"/>
  <c r="E47" i="192" s="1"/>
  <c r="M29" i="192"/>
  <c r="H29" i="192" s="1"/>
  <c r="H42" i="192"/>
  <c r="H47" i="192" s="1"/>
  <c r="L29" i="192"/>
  <c r="G29" i="192" s="1"/>
  <c r="G42" i="192" l="1"/>
  <c r="G47" i="192" s="1"/>
  <c r="F42" i="192"/>
  <c r="F47" i="192" s="1"/>
  <c r="J11" i="171"/>
  <c r="AN11" i="17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Jeanettec Chavez</author>
  </authors>
  <commentList>
    <comment ref="J9" authorId="0" shapeId="0" xr:uid="{9CF8ABD3-80FA-4944-BB45-F137C5718C6B}">
      <text>
        <r>
          <rPr>
            <sz val="9"/>
            <color indexed="81"/>
            <rFont val="Tahoma"/>
            <family val="2"/>
          </rPr>
          <t>No alcanzo la masa para realizar el análisis, masa insuficiente.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Ignacio Rojas</author>
  </authors>
  <commentList>
    <comment ref="AA83" authorId="0" shapeId="0" xr:uid="{B3D8E6D7-4567-46A0-BACE-D27034C95762}">
      <text>
        <r>
          <rPr>
            <b/>
            <sz val="9"/>
            <color indexed="81"/>
            <rFont val="Tahoma"/>
            <family val="2"/>
          </rPr>
          <t>Ignacio Rojas: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1">
    <bk>
      <extLst>
        <ext uri="{3e2802c4-a4d2-4d8b-9148-e3be6c30e623}">
          <xlrd:rvb i="0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">
    <bk>
      <rc t="1" v="0"/>
    </bk>
  </valueMetadata>
</metadata>
</file>

<file path=xl/sharedStrings.xml><?xml version="1.0" encoding="utf-8"?>
<sst xmlns="http://schemas.openxmlformats.org/spreadsheetml/2006/main" count="8720" uniqueCount="1431">
  <si>
    <t>Mo</t>
  </si>
  <si>
    <t>Cu</t>
  </si>
  <si>
    <t>Clorita</t>
  </si>
  <si>
    <t>Molibdenita</t>
  </si>
  <si>
    <t>Rango</t>
  </si>
  <si>
    <t xml:space="preserve">RESULTADOS CONSOLIDADOS DE PRUEBAS </t>
  </si>
  <si>
    <t>Fecha</t>
  </si>
  <si>
    <t>BHP ESCONDIDA</t>
  </si>
  <si>
    <t>Cliente</t>
  </si>
  <si>
    <t>Revision / Autor</t>
  </si>
  <si>
    <t>Revision / Jefe Esp.</t>
  </si>
  <si>
    <t>MC</t>
  </si>
  <si>
    <t>Galena</t>
  </si>
  <si>
    <t>Elemento</t>
  </si>
  <si>
    <t>Condición</t>
  </si>
  <si>
    <t>RE Rougher</t>
  </si>
  <si>
    <t>Rougher</t>
  </si>
  <si>
    <t>Fe</t>
  </si>
  <si>
    <t>Rec. Met. %</t>
  </si>
  <si>
    <t>Rec. Masica  (%)</t>
  </si>
  <si>
    <t>P80</t>
  </si>
  <si>
    <t>Alim. Ro</t>
  </si>
  <si>
    <t>Conc. Ro</t>
  </si>
  <si>
    <t>Cola Ro</t>
  </si>
  <si>
    <t>Complex/Other</t>
  </si>
  <si>
    <t>Pérdida masa (%)</t>
  </si>
  <si>
    <t>N°</t>
  </si>
  <si>
    <t>(%)</t>
  </si>
  <si>
    <t>Cu (%)</t>
  </si>
  <si>
    <t>Tamaño</t>
  </si>
  <si>
    <t>Total</t>
  </si>
  <si>
    <t>%</t>
  </si>
  <si>
    <t>Alimentación</t>
  </si>
  <si>
    <t>Masa</t>
  </si>
  <si>
    <t/>
  </si>
  <si>
    <t>pH</t>
  </si>
  <si>
    <t>Error Cu (%)</t>
  </si>
  <si>
    <t>Error Fe (%)</t>
  </si>
  <si>
    <t>ID Muestra</t>
  </si>
  <si>
    <t>cero</t>
  </si>
  <si>
    <t>Rangos Ampliados</t>
  </si>
  <si>
    <t>&gt;90%</t>
  </si>
  <si>
    <t>80%-90%</t>
  </si>
  <si>
    <t>70%-80%</t>
  </si>
  <si>
    <t>60%-70%</t>
  </si>
  <si>
    <t>50%-60%</t>
  </si>
  <si>
    <t>40%-50%</t>
  </si>
  <si>
    <t>30%-40%</t>
  </si>
  <si>
    <t>20%-30%</t>
  </si>
  <si>
    <t>10%-20%</t>
  </si>
  <si>
    <t>&lt;10%</t>
  </si>
  <si>
    <t>Error</t>
  </si>
  <si>
    <t>S</t>
  </si>
  <si>
    <t>Cabeza Calculada</t>
  </si>
  <si>
    <t>[%]</t>
  </si>
  <si>
    <t>[mm]</t>
  </si>
  <si>
    <t>[l/h]</t>
  </si>
  <si>
    <t>[kPa]</t>
  </si>
  <si>
    <t>[m3/h]</t>
  </si>
  <si>
    <t>WW</t>
  </si>
  <si>
    <t>Air</t>
  </si>
  <si>
    <t>Menas</t>
  </si>
  <si>
    <t>Mesh</t>
  </si>
  <si>
    <t>P50</t>
  </si>
  <si>
    <t>Max</t>
  </si>
  <si>
    <t>Etapa</t>
  </si>
  <si>
    <t>QAQC Pruebas de flotación (Test dilución)</t>
  </si>
  <si>
    <t>Masa concentrados (g)</t>
  </si>
  <si>
    <t>Masa Relaves (g)</t>
  </si>
  <si>
    <t>Masa 
Alim. Cal.</t>
  </si>
  <si>
    <t>Ley concentrados Cu (%)</t>
  </si>
  <si>
    <t>Ley Relaves Cu (%)</t>
  </si>
  <si>
    <t>Cu (%) Cal.</t>
  </si>
  <si>
    <t>Ley concentrados Fe (%)</t>
  </si>
  <si>
    <t>Ley Relaves Fe (%)</t>
  </si>
  <si>
    <t>Fe (%) Cal.</t>
  </si>
  <si>
    <t>QAQC</t>
  </si>
  <si>
    <t>QAQC Cab. Calculada y Cab. Analizada</t>
  </si>
  <si>
    <t>Masa Alim.</t>
  </si>
  <si>
    <t>Cp (%)</t>
  </si>
  <si>
    <t>Cu (%) Ana.</t>
  </si>
  <si>
    <t>Fe (%) Ana.</t>
  </si>
  <si>
    <t xml:space="preserve"> CONC  1</t>
  </si>
  <si>
    <t xml:space="preserve"> CONC  2</t>
  </si>
  <si>
    <t xml:space="preserve"> CONC  3</t>
  </si>
  <si>
    <t xml:space="preserve"> CONC  4</t>
  </si>
  <si>
    <t xml:space="preserve"> REL -3</t>
  </si>
  <si>
    <t xml:space="preserve"> REL -2</t>
  </si>
  <si>
    <t xml:space="preserve"> REL RO</t>
  </si>
  <si>
    <t>LS</t>
  </si>
  <si>
    <t>Min</t>
  </si>
  <si>
    <t>Resul</t>
  </si>
  <si>
    <t>Concentrados
Cu</t>
  </si>
  <si>
    <t>Muestra ROM</t>
  </si>
  <si>
    <t>UGREC</t>
  </si>
  <si>
    <t>% representación en Plan FY28-FY35</t>
  </si>
  <si>
    <t>D</t>
  </si>
  <si>
    <t>G</t>
  </si>
  <si>
    <t>H</t>
  </si>
  <si>
    <t>J</t>
  </si>
  <si>
    <t>Cu sol</t>
  </si>
  <si>
    <t>Ins</t>
  </si>
  <si>
    <t>G/T</t>
  </si>
  <si>
    <t>CAA11D</t>
  </si>
  <si>
    <t>CAA13F</t>
  </si>
  <si>
    <t>CAA09V</t>
  </si>
  <si>
    <t>LEC010B</t>
  </si>
  <si>
    <t>CLA020V</t>
  </si>
  <si>
    <t>ICP</t>
  </si>
  <si>
    <t>001</t>
  </si>
  <si>
    <t>Alimentación Compósito Global</t>
  </si>
  <si>
    <t>Pendiente</t>
  </si>
  <si>
    <t>002</t>
  </si>
  <si>
    <t>Muestra J</t>
  </si>
  <si>
    <t>003</t>
  </si>
  <si>
    <t>Muestra G</t>
  </si>
  <si>
    <t>S179 QAQC Pruebas Laboratorio Jameson (BHP)</t>
  </si>
  <si>
    <t>#</t>
  </si>
  <si>
    <t>Casos Piloto Jameson</t>
  </si>
  <si>
    <t>Hipótesis a validar</t>
  </si>
  <si>
    <t>Caso Base (con compósito)</t>
  </si>
  <si>
    <t>Establecer el circuito base con condiciones actuales de planta LS2 de comparación para los siguientes casos</t>
  </si>
  <si>
    <t>Caso Base (con compósito) + Jameson [Cola Ro]</t>
  </si>
  <si>
    <t>Cuantificar potencial recuperación y ley de cobre en relave rougher que actualmente se va directo a relave final</t>
  </si>
  <si>
    <t>Caso Base (con compósito)+ Jameson [Pre Cl-SCV]</t>
  </si>
  <si>
    <t>Cuantificar el impacto en la recuperación  y ley de cobre en relave 1ra limpieza al disminuir la alimentación y recirculación de finos en la etapa scavenger-cleaner del circuito</t>
  </si>
  <si>
    <t>Caso Base (con compósito)+ Jameson [Pre-Cl]</t>
  </si>
  <si>
    <t>Cuantificar el impacto en la 1ra flotación de limpieza al disminuir la alimentación y recirculación de finos en esta parte del circuito</t>
  </si>
  <si>
    <t xml:space="preserve">Mayor Flujo Caso Base (con compósito) + Jameson [Pre Cl-SCV] </t>
  </si>
  <si>
    <t>Cuantificar el impacto del throughput en el performance obtenido en la prueba del caso N°3</t>
  </si>
  <si>
    <t>Caso Base (con compósito) P80 mayor + Jameson [Cola Ro]</t>
  </si>
  <si>
    <t>Cuantificar el impacto del P80 en el performance obtenido en la prueba del caso N°2. Además, obtener resultados complementarios por su a futuro se pretende aumentar el P80 en planta</t>
  </si>
  <si>
    <t>Caso Base (con compósito) + Dispersante</t>
  </si>
  <si>
    <t>Establecer el impacto del dispersante en el caso base del piloto</t>
  </si>
  <si>
    <t>Caso Base con Muestra alta ley</t>
  </si>
  <si>
    <t>Establecer el caso base para periodos donde la ley de alimentación en planta aumente y cuantificar el impacto de la ley con respecto al circuito base con compósito</t>
  </si>
  <si>
    <t xml:space="preserve">Caso Base con Muestra baja ley </t>
  </si>
  <si>
    <t>Establecer el caso base para periodos donde la ley de alimentación en planta disminuya y cuantificar el impacto de la ley con respecto al circuito base con compósito</t>
  </si>
  <si>
    <t>Mejor Caso Jameson (con compósito) + Dispersante</t>
  </si>
  <si>
    <t>Establecer el impacto del dispersante en el mejor caso con Jameson elegido (Caso N°2, N°3, N°4)</t>
  </si>
  <si>
    <t>Tabla 1. Tamaño y cantidad de celdas LS2 y MPP</t>
  </si>
  <si>
    <t>Celdas de Flotación LS2</t>
  </si>
  <si>
    <t>Celdas/Fila</t>
  </si>
  <si>
    <t>Filas</t>
  </si>
  <si>
    <t>Volumen</t>
  </si>
  <si>
    <t>r/F. Primaria</t>
  </si>
  <si>
    <t>Flotación Primaria</t>
  </si>
  <si>
    <t>Flotación Primera Limpieza</t>
  </si>
  <si>
    <t xml:space="preserve"> 7 - 6   Columnas de 4,5 m de diametro</t>
  </si>
  <si>
    <t>Flotación Barrido</t>
  </si>
  <si>
    <t>Flotación Segunda Limpieza</t>
  </si>
  <si>
    <t xml:space="preserve"> 5 - 6   Columnas de 4,5 m de diametro</t>
  </si>
  <si>
    <t>* Según criterios de diseño originales</t>
  </si>
  <si>
    <t xml:space="preserve">Relación volumétrica de cada etapa respecto a la flotación primaria </t>
  </si>
  <si>
    <t>GRIND N° 01</t>
  </si>
  <si>
    <t>10 min</t>
  </si>
  <si>
    <t>min</t>
  </si>
  <si>
    <t>Pass Actual</t>
  </si>
  <si>
    <t>Pass Swebrec</t>
  </si>
  <si>
    <t>ASTM</t>
  </si>
  <si>
    <t>[µm]</t>
  </si>
  <si>
    <t>[g]</t>
  </si>
  <si>
    <t>P100 [µm]</t>
  </si>
  <si>
    <t>P80 [µm]</t>
  </si>
  <si>
    <t>P50 [µm]</t>
  </si>
  <si>
    <t>GRIND N° 02</t>
  </si>
  <si>
    <t>20 min</t>
  </si>
  <si>
    <t>(µm)</t>
  </si>
  <si>
    <t>(gr)</t>
  </si>
  <si>
    <t>GRIND N° 03</t>
  </si>
  <si>
    <t>30 min</t>
  </si>
  <si>
    <t>: 48</t>
  </si>
  <si>
    <t>:Seg</t>
  </si>
  <si>
    <t>Required</t>
  </si>
  <si>
    <t>[min]</t>
  </si>
  <si>
    <t>P50/P80</t>
  </si>
  <si>
    <t>Summary</t>
  </si>
  <si>
    <t>%m/m</t>
  </si>
  <si>
    <t>Solids</t>
  </si>
  <si>
    <t>kg</t>
  </si>
  <si>
    <t>Mass (ore)</t>
  </si>
  <si>
    <t>gr</t>
  </si>
  <si>
    <t>Real Weight Rod Charge</t>
  </si>
  <si>
    <t>Rods Number 1/2</t>
  </si>
  <si>
    <t>Rods Number 3/4</t>
  </si>
  <si>
    <t>Rods 1/2</t>
  </si>
  <si>
    <t>Rods 3/4</t>
  </si>
  <si>
    <t>Weight Rods</t>
  </si>
  <si>
    <t>gr/cc</t>
  </si>
  <si>
    <t>Rod Density</t>
  </si>
  <si>
    <t>Porosity</t>
  </si>
  <si>
    <t>Load Percentage</t>
  </si>
  <si>
    <t>cc</t>
  </si>
  <si>
    <t>Mill Volume</t>
  </si>
  <si>
    <t>mm</t>
  </si>
  <si>
    <t>Mill Long</t>
  </si>
  <si>
    <t>Mill Diameter</t>
  </si>
  <si>
    <t>Amarillo</t>
  </si>
  <si>
    <t>ID Mill</t>
  </si>
  <si>
    <t>units</t>
  </si>
  <si>
    <t>Mill Characteristics</t>
  </si>
  <si>
    <t>Compósito Global</t>
  </si>
  <si>
    <t>Análisis Granulométrico P80 Objetivo</t>
  </si>
  <si>
    <t>Carga de 1750 gr para alimentar a 30% la Flotación Rougher</t>
  </si>
  <si>
    <t>ASTM #</t>
  </si>
  <si>
    <t>Masa, gr</t>
  </si>
  <si>
    <t>Ret.Parcial, %</t>
  </si>
  <si>
    <t>Pasante Experimental, %</t>
  </si>
  <si>
    <t>Pasante Modelado, %</t>
  </si>
  <si>
    <t>-400</t>
  </si>
  <si>
    <t>Swebrec</t>
  </si>
  <si>
    <t>Size</t>
  </si>
  <si>
    <t>Pass</t>
  </si>
  <si>
    <t>P100</t>
  </si>
  <si>
    <t>Ciclón 1</t>
  </si>
  <si>
    <t>Ciclón 2</t>
  </si>
  <si>
    <t>Ciclón 3</t>
  </si>
  <si>
    <t>Ciclón 4</t>
  </si>
  <si>
    <t>Ciclón 5</t>
  </si>
  <si>
    <t>Cuarzo</t>
  </si>
  <si>
    <t>Muscovita/illita</t>
  </si>
  <si>
    <t>Plagioclasa</t>
  </si>
  <si>
    <t>Pirita</t>
  </si>
  <si>
    <t>Arcillas Al</t>
  </si>
  <si>
    <t>Calcopirita</t>
  </si>
  <si>
    <t>Hematita/Magnetita</t>
  </si>
  <si>
    <t>Alunita</t>
  </si>
  <si>
    <t>Biotita/flogopita</t>
  </si>
  <si>
    <t>Ilmenita</t>
  </si>
  <si>
    <t>Rutilo/anatase</t>
  </si>
  <si>
    <t>Calcosina/digenita</t>
  </si>
  <si>
    <t>Covelina</t>
  </si>
  <si>
    <t>Bornita</t>
  </si>
  <si>
    <t>Feldespato K</t>
  </si>
  <si>
    <t>Piroxeno</t>
  </si>
  <si>
    <t>Apatito</t>
  </si>
  <si>
    <t>Anfibol</t>
  </si>
  <si>
    <t>Arcillas Cu</t>
  </si>
  <si>
    <t>Enargita/Tennantita</t>
  </si>
  <si>
    <t>Anhidrita/Yeso</t>
  </si>
  <si>
    <t>Circon</t>
  </si>
  <si>
    <t>Epidota</t>
  </si>
  <si>
    <t>Ankerita/Siderita</t>
  </si>
  <si>
    <t>Biotita/flogopita Cu</t>
  </si>
  <si>
    <t>Otros</t>
  </si>
  <si>
    <t>COMPÓSITO GLOBAL</t>
  </si>
  <si>
    <t>Ocurrencia</t>
  </si>
  <si>
    <t>Atacamita</t>
  </si>
  <si>
    <t>Sample / Grupo Mineral</t>
  </si>
  <si>
    <t>Calcita</t>
  </si>
  <si>
    <t>Esfalerita</t>
  </si>
  <si>
    <t>Partículas libres</t>
  </si>
  <si>
    <t>Parículas binarias</t>
  </si>
  <si>
    <t>Partículas complejas</t>
  </si>
  <si>
    <t>debe ser igual a LS2</t>
  </si>
  <si>
    <t>Concentrado 1</t>
  </si>
  <si>
    <t>Concentrado 2</t>
  </si>
  <si>
    <t>Concentrado 3</t>
  </si>
  <si>
    <t>004</t>
  </si>
  <si>
    <t>Concentrado 4</t>
  </si>
  <si>
    <t>005</t>
  </si>
  <si>
    <t>Concentrado 5</t>
  </si>
  <si>
    <t>Ro</t>
  </si>
  <si>
    <t>1 Cl</t>
  </si>
  <si>
    <t>Scv</t>
  </si>
  <si>
    <t>Cl - Scv</t>
  </si>
  <si>
    <t>r/F Primaria %</t>
  </si>
  <si>
    <t>Planta Piloto AMINPRO</t>
  </si>
  <si>
    <t>m3</t>
  </si>
  <si>
    <t>Alimentación Rougher A Planta Piloto Compósito Global Futuro</t>
  </si>
  <si>
    <t>Cinetica Rougher 1</t>
  </si>
  <si>
    <t>Masa acumulada, gr</t>
  </si>
  <si>
    <t>Ley, Cu%</t>
  </si>
  <si>
    <t>Ley acumulada, Cu%</t>
  </si>
  <si>
    <t>Recuperación, Cu%</t>
  </si>
  <si>
    <t>Ley, Fe%</t>
  </si>
  <si>
    <t>Ley acumulada, Fe%</t>
  </si>
  <si>
    <t>Recuperación, Fe%</t>
  </si>
  <si>
    <t xml:space="preserve">Relave </t>
  </si>
  <si>
    <t>T. Dilución 1</t>
  </si>
  <si>
    <t>Relave Stage 3</t>
  </si>
  <si>
    <t>Relave Stage 2</t>
  </si>
  <si>
    <t>Relave Stage 1</t>
  </si>
  <si>
    <t>Concentrado 6</t>
  </si>
  <si>
    <t>Concentrado 7</t>
  </si>
  <si>
    <t>Concentrado 8</t>
  </si>
  <si>
    <t>Relave Rougher Planta Piloto Compósito Global Futuro</t>
  </si>
  <si>
    <t>T. Dilución 2</t>
  </si>
  <si>
    <t>T. Desgaste 1 L-150</t>
  </si>
  <si>
    <t>Proporciones</t>
  </si>
  <si>
    <t>Compósito (ton)</t>
  </si>
  <si>
    <t>T. Desgaste 2 L-150</t>
  </si>
  <si>
    <t>Cabeza Medida</t>
  </si>
  <si>
    <r>
      <t>P80  [µm</t>
    </r>
    <r>
      <rPr>
        <b/>
        <sz val="12.65"/>
        <color rgb="FF252223"/>
        <rFont val="Source Sans Pro"/>
        <family val="2"/>
      </rPr>
      <t>]</t>
    </r>
  </si>
  <si>
    <t>Abertura, µm</t>
  </si>
  <si>
    <t>P100, µm</t>
  </si>
  <si>
    <t>P80, µm</t>
  </si>
  <si>
    <t>P50, µm</t>
  </si>
  <si>
    <t>Granulometría Planta Laguna Seca 2</t>
  </si>
  <si>
    <t>Granulometría Lab Aminpro</t>
  </si>
  <si>
    <t>Muestra H</t>
  </si>
  <si>
    <t>Muestra D</t>
  </si>
  <si>
    <t>Pilotaje Rougher</t>
  </si>
  <si>
    <t>Estándar</t>
  </si>
  <si>
    <t>AQ por confirmar</t>
  </si>
  <si>
    <t>Cu Calculado</t>
  </si>
  <si>
    <t>Cu Analizado</t>
  </si>
  <si>
    <t>176 um</t>
  </si>
  <si>
    <t>Tiempo, min</t>
  </si>
  <si>
    <t>Tiempo acumulado, min</t>
  </si>
  <si>
    <t>Cp, %</t>
  </si>
  <si>
    <t>Masa seca, gr</t>
  </si>
  <si>
    <t>Masa húmeda, gr</t>
  </si>
  <si>
    <t>Etapa 1</t>
  </si>
  <si>
    <t>Etapa 2</t>
  </si>
  <si>
    <t>Etapa 3</t>
  </si>
  <si>
    <t>Mass Pull, %</t>
  </si>
  <si>
    <t>Mass Pull acumulado, %</t>
  </si>
  <si>
    <t>Pruebas de Desgaste</t>
  </si>
  <si>
    <t>Jameson Pre Rougher</t>
  </si>
  <si>
    <t>Condiciones de Operación</t>
  </si>
  <si>
    <t>Agua en conc.</t>
  </si>
  <si>
    <t>Flujo pulpa</t>
  </si>
  <si>
    <t>razon</t>
  </si>
  <si>
    <t>Vel. Sup. Gas</t>
  </si>
  <si>
    <t>Agua de lavado</t>
  </si>
  <si>
    <t>N° 
Concen.</t>
  </si>
  <si>
    <t xml:space="preserve">Presión Alim. </t>
  </si>
  <si>
    <t>Aire</t>
  </si>
  <si>
    <t>Vacío</t>
  </si>
  <si>
    <t>Altura espuma</t>
  </si>
  <si>
    <t>Tiempo Flot.</t>
  </si>
  <si>
    <t>ORP</t>
  </si>
  <si>
    <t>Flujo aire</t>
  </si>
  <si>
    <t>Qwc</t>
  </si>
  <si>
    <t>Downcomer</t>
  </si>
  <si>
    <t>Aire/pulpa</t>
  </si>
  <si>
    <t>Jg</t>
  </si>
  <si>
    <t>W</t>
  </si>
  <si>
    <t>[cm3/s]</t>
  </si>
  <si>
    <t>L/h</t>
  </si>
  <si>
    <t>A/P</t>
  </si>
  <si>
    <t>cm/s</t>
  </si>
  <si>
    <t>Qww/Qwc</t>
  </si>
  <si>
    <t>Acond.</t>
  </si>
  <si>
    <t>Con 1</t>
  </si>
  <si>
    <t>Con 2</t>
  </si>
  <si>
    <t>Con 3</t>
  </si>
  <si>
    <t>Con 4</t>
  </si>
  <si>
    <t>Con 5</t>
  </si>
  <si>
    <t>Con 6</t>
  </si>
  <si>
    <t>Con 7</t>
  </si>
  <si>
    <t>Con 8</t>
  </si>
  <si>
    <t>Criterios QAQC</t>
  </si>
  <si>
    <t>Profundidad de la espuma (mm)</t>
  </si>
  <si>
    <t>profundo</t>
  </si>
  <si>
    <t>Poco profundo</t>
  </si>
  <si>
    <t>Cleaner</t>
  </si>
  <si>
    <t>Scavenger</t>
  </si>
  <si>
    <t>Jg (cm/s)</t>
  </si>
  <si>
    <t>Razón agua de lavado</t>
  </si>
  <si>
    <t>ww/wc</t>
  </si>
  <si>
    <t>[1 - 2]</t>
  </si>
  <si>
    <t>[0,4 - 0,8]</t>
  </si>
  <si>
    <t>[0,5 -1]</t>
  </si>
  <si>
    <t>Razón (Aire/Alim.)</t>
  </si>
  <si>
    <t>[0,3 - 0,9]</t>
  </si>
  <si>
    <t>Rec Cu %</t>
  </si>
  <si>
    <t>Vel. Sup. Agua</t>
  </si>
  <si>
    <t>Jb</t>
  </si>
  <si>
    <t>Cu %</t>
  </si>
  <si>
    <t>14-08-2025</t>
  </si>
  <si>
    <t>04-08-2025</t>
  </si>
  <si>
    <t>05-08-2025</t>
  </si>
  <si>
    <t>06-08-2025</t>
  </si>
  <si>
    <t>07-08-2025</t>
  </si>
  <si>
    <t>11-08-2025</t>
  </si>
  <si>
    <t>12-08-2025</t>
  </si>
  <si>
    <t>13-08-2025</t>
  </si>
  <si>
    <t>18-08-2025</t>
  </si>
  <si>
    <t>19-08-2025</t>
  </si>
  <si>
    <t>20-08-2025</t>
  </si>
  <si>
    <t>21-08-2025</t>
  </si>
  <si>
    <t>25-08-2025</t>
  </si>
  <si>
    <t>26-08-2025</t>
  </si>
  <si>
    <t>27-08-2025</t>
  </si>
  <si>
    <t>28-08-2025</t>
  </si>
  <si>
    <t>EM-S179-PR-RP-001</t>
  </si>
  <si>
    <t>CL</t>
  </si>
  <si>
    <t>SR</t>
  </si>
  <si>
    <t>2. Datos LS2</t>
  </si>
  <si>
    <t>3. Cinética Molienda</t>
  </si>
  <si>
    <t>5. Análisis Granulométrico</t>
  </si>
  <si>
    <t>6. Análisis Químico Cabeza</t>
  </si>
  <si>
    <t>7. Mineralogía Modal Compósito</t>
  </si>
  <si>
    <t>8. Liberación Compósito</t>
  </si>
  <si>
    <t>9. Asociación Compósito</t>
  </si>
  <si>
    <t>1. Compósito</t>
  </si>
  <si>
    <t>* Preliminar, pendiente confirmación</t>
  </si>
  <si>
    <t>Liberación mineral</t>
  </si>
  <si>
    <t>Asociación mineral</t>
  </si>
  <si>
    <t>Mineralogía</t>
  </si>
  <si>
    <t>Circuitos</t>
  </si>
  <si>
    <t>P80 = 165 um</t>
  </si>
  <si>
    <t>P80 = 180 um</t>
  </si>
  <si>
    <t>Pruebas Jameson - Pre rougher</t>
  </si>
  <si>
    <t>Pruebas Jameson - Cola rougher</t>
  </si>
  <si>
    <t>Compósito</t>
  </si>
  <si>
    <t>Mo (G/T) Ana.</t>
  </si>
  <si>
    <t>CONC 5</t>
  </si>
  <si>
    <t>Circuito</t>
  </si>
  <si>
    <t>Pre-Rougher</t>
  </si>
  <si>
    <t>Cola Rougher</t>
  </si>
  <si>
    <t>Pre Cl - Scv</t>
  </si>
  <si>
    <t>Pre Cl</t>
  </si>
  <si>
    <t>Jameson Cola Rougher</t>
  </si>
  <si>
    <t>Tiempo molienda:</t>
  </si>
  <si>
    <t>Pasante</t>
  </si>
  <si>
    <t>Retenido</t>
  </si>
  <si>
    <t>Tiempo Molienda</t>
  </si>
  <si>
    <t>Tiempo Molienda [min]</t>
  </si>
  <si>
    <t>Cinética Molienda</t>
  </si>
  <si>
    <t>Mínimo</t>
  </si>
  <si>
    <t>Máximo</t>
  </si>
  <si>
    <t>Media</t>
  </si>
  <si>
    <t>Mediana</t>
  </si>
  <si>
    <t>Media geométrica</t>
  </si>
  <si>
    <t>Condición #1</t>
  </si>
  <si>
    <t>Condición #2</t>
  </si>
  <si>
    <t>CV #1</t>
  </si>
  <si>
    <t>CV #2</t>
  </si>
  <si>
    <t>Media #1</t>
  </si>
  <si>
    <t>Media #2</t>
  </si>
  <si>
    <t>Desv #1</t>
  </si>
  <si>
    <t>Desv #2</t>
  </si>
  <si>
    <t>Rango #1</t>
  </si>
  <si>
    <t>Rango #2</t>
  </si>
  <si>
    <t>Reactivos en g/t</t>
  </si>
  <si>
    <t>Concentrado</t>
  </si>
  <si>
    <t>Relave</t>
  </si>
  <si>
    <t>Vol. Celda, L</t>
  </si>
  <si>
    <t>Agitación, rpm</t>
  </si>
  <si>
    <t>Flujo Aire, L/min</t>
  </si>
  <si>
    <t>ORP, mV</t>
  </si>
  <si>
    <t>Tiempo Flot., mm;ss</t>
  </si>
  <si>
    <t>Frecuencia de Paleteo</t>
  </si>
  <si>
    <t>Matcol 715</t>
  </si>
  <si>
    <t>FP-650</t>
  </si>
  <si>
    <t>Matcol 660</t>
  </si>
  <si>
    <t>Cal</t>
  </si>
  <si>
    <t>Peso Pulpa, g</t>
  </si>
  <si>
    <t>ID Bandeja</t>
  </si>
  <si>
    <t>ID Celda</t>
  </si>
  <si>
    <t>ml Cal 10%</t>
  </si>
  <si>
    <t>Grind</t>
  </si>
  <si>
    <t>-</t>
  </si>
  <si>
    <t>14:40</t>
  </si>
  <si>
    <t>3:00</t>
  </si>
  <si>
    <t>Rougherx2</t>
  </si>
  <si>
    <t>20:00</t>
  </si>
  <si>
    <t>1 cada 10 sg</t>
  </si>
  <si>
    <t>B018</t>
  </si>
  <si>
    <t>C-42</t>
  </si>
  <si>
    <t>Regrind</t>
  </si>
  <si>
    <t>00:30</t>
  </si>
  <si>
    <t>Cleaner 1</t>
  </si>
  <si>
    <t>1 cada 15 sg</t>
  </si>
  <si>
    <t>F077</t>
  </si>
  <si>
    <t>C-13</t>
  </si>
  <si>
    <t>Cleaner Scv</t>
  </si>
  <si>
    <t>15:00</t>
  </si>
  <si>
    <t>1 cada 5 sg</t>
  </si>
  <si>
    <t>B088</t>
  </si>
  <si>
    <t>TK-43</t>
  </si>
  <si>
    <t>Cleaner 2</t>
  </si>
  <si>
    <t>F131</t>
  </si>
  <si>
    <t>F097</t>
  </si>
  <si>
    <t>B</t>
  </si>
  <si>
    <t>Test de Ciclo Abierto (TCA)</t>
  </si>
  <si>
    <t>Producto</t>
  </si>
  <si>
    <t>Peso</t>
  </si>
  <si>
    <t>Análisis Químicos%</t>
  </si>
  <si>
    <t>g</t>
  </si>
  <si>
    <t>Cu-T</t>
  </si>
  <si>
    <t>Relave Ro</t>
  </si>
  <si>
    <t>Concentrado 1°CL</t>
  </si>
  <si>
    <t>Relave Cln SCV</t>
  </si>
  <si>
    <t>Relave 2 Cl</t>
  </si>
  <si>
    <t>Concentrado 2°Cl</t>
  </si>
  <si>
    <t>Alimentación Cl. Assay</t>
  </si>
  <si>
    <t>Balance</t>
  </si>
  <si>
    <t>Peso, gr</t>
  </si>
  <si>
    <t>alim</t>
  </si>
  <si>
    <t>conc</t>
  </si>
  <si>
    <t>relave</t>
  </si>
  <si>
    <t>Recuperación Global</t>
  </si>
  <si>
    <t>Recuperación por Etapa</t>
  </si>
  <si>
    <t>10. Test Cliclo Abierto</t>
  </si>
  <si>
    <t>11. Casos</t>
  </si>
  <si>
    <t>12. Circuitos</t>
  </si>
  <si>
    <t>13. Pilotaje Rougher</t>
  </si>
  <si>
    <t>NaSH recupera Fe</t>
  </si>
  <si>
    <t>Simulación Rougher Muestra Actual LS2</t>
  </si>
  <si>
    <t>Rec. Wt</t>
  </si>
  <si>
    <t>Grade</t>
  </si>
  <si>
    <t>Rec.</t>
  </si>
  <si>
    <t>Muestra Actual LS2</t>
  </si>
  <si>
    <t>Muestra Futuro</t>
  </si>
  <si>
    <t>k</t>
  </si>
  <si>
    <t>Rmáx</t>
  </si>
  <si>
    <t>Experimental</t>
  </si>
  <si>
    <t>Nominal</t>
  </si>
  <si>
    <t>µm</t>
  </si>
  <si>
    <t>Cu sulf.</t>
  </si>
  <si>
    <t xml:space="preserve">Rec. Cu </t>
  </si>
  <si>
    <t>P80 Remolienda</t>
  </si>
  <si>
    <t>Cu-Sulf</t>
  </si>
  <si>
    <t>Alimentación, %</t>
  </si>
  <si>
    <t>Resumen</t>
  </si>
  <si>
    <t>Cp</t>
  </si>
  <si>
    <t>Gangue</t>
  </si>
  <si>
    <t>FeOX</t>
  </si>
  <si>
    <t>FeS2</t>
  </si>
  <si>
    <t>MoS2</t>
  </si>
  <si>
    <t>SKT Relave 1ra Limpieza - Muestra Actual</t>
  </si>
  <si>
    <t>SKT Producto Remolienda - Muestra Actual</t>
  </si>
  <si>
    <t>Rec. Experimental</t>
  </si>
  <si>
    <t>T</t>
  </si>
  <si>
    <t>C4</t>
  </si>
  <si>
    <t>C3</t>
  </si>
  <si>
    <t>C2</t>
  </si>
  <si>
    <t>C1</t>
  </si>
  <si>
    <t>F</t>
  </si>
  <si>
    <t>SKT Rougher - Muestra Actual</t>
  </si>
  <si>
    <t>Mineral Actual LS2</t>
  </si>
  <si>
    <t>SKT Cleaner - Muestra Futuro (P80 = 25 µm)</t>
  </si>
  <si>
    <t>SKT Cleaner - Muestra Futuro (P80 = 35 µm)</t>
  </si>
  <si>
    <t>SKT Cleaner - Muestra Futuro (P80 = 45 µm)</t>
  </si>
  <si>
    <t>SKT Rougher - Muestra Futuro</t>
  </si>
  <si>
    <t>Mineral Futuro (en Aminpro)</t>
  </si>
  <si>
    <t>SKT Cleaner-T</t>
  </si>
  <si>
    <t>SKT Cleaner-C4</t>
  </si>
  <si>
    <t>SKT Cleaner-C3</t>
  </si>
  <si>
    <t>SKT Cleaner-C2</t>
  </si>
  <si>
    <t>SKT Cleaner-C1</t>
  </si>
  <si>
    <t>SKT Cleaner-F</t>
  </si>
  <si>
    <t>SKT Rougher-T</t>
  </si>
  <si>
    <t>SKT Rougher-C4</t>
  </si>
  <si>
    <t>SKT Rougher-C3</t>
  </si>
  <si>
    <t>SKT Rougher-C2</t>
  </si>
  <si>
    <t>SKT Rougher-C1</t>
  </si>
  <si>
    <t>SKT Rougher-F</t>
  </si>
  <si>
    <t>Au</t>
  </si>
  <si>
    <t>A. Químicos</t>
  </si>
  <si>
    <t>Tip Speed [m/sec]</t>
  </si>
  <si>
    <t>Rotational Velocity [rpm]</t>
  </si>
  <si>
    <t>Mass</t>
  </si>
  <si>
    <t>Water</t>
  </si>
  <si>
    <t>Time</t>
  </si>
  <si>
    <t>Impeller Diameter [cm]</t>
  </si>
  <si>
    <t>Recovery (Preliminary)</t>
  </si>
  <si>
    <t>Jg [cm/sec]</t>
  </si>
  <si>
    <t>N2 [l/min]</t>
  </si>
  <si>
    <t>Acond</t>
  </si>
  <si>
    <t>Cell Area [m2]</t>
  </si>
  <si>
    <t>Effective Volume [L]</t>
  </si>
  <si>
    <t>Calc Feed</t>
  </si>
  <si>
    <t>mL</t>
  </si>
  <si>
    <t>Flotation Cell</t>
  </si>
  <si>
    <t>Tail2</t>
  </si>
  <si>
    <t>NaHS</t>
  </si>
  <si>
    <t>CAL 10%</t>
  </si>
  <si>
    <t>Tail1</t>
  </si>
  <si>
    <t>Tail</t>
  </si>
  <si>
    <t>Tot Conc</t>
  </si>
  <si>
    <t>B022</t>
  </si>
  <si>
    <t>Conc 4</t>
  </si>
  <si>
    <t>Flot 4</t>
  </si>
  <si>
    <t>F013</t>
  </si>
  <si>
    <t>Conc 3</t>
  </si>
  <si>
    <t>Flot 3</t>
  </si>
  <si>
    <t>F020</t>
  </si>
  <si>
    <t>Conc 2</t>
  </si>
  <si>
    <t>Flot 2</t>
  </si>
  <si>
    <t>F126</t>
  </si>
  <si>
    <t>Conc 1</t>
  </si>
  <si>
    <t>Flot 1</t>
  </si>
  <si>
    <t>Codigo Aminpro</t>
  </si>
  <si>
    <t>Peso pulpa</t>
  </si>
  <si>
    <t>Bandeja</t>
  </si>
  <si>
    <t>Tara</t>
  </si>
  <si>
    <t>Dist (%)</t>
  </si>
  <si>
    <t>by mass</t>
  </si>
  <si>
    <t>Conditioning 2</t>
  </si>
  <si>
    <t>Mineralogy [Qemscan / MLA / XRD]</t>
  </si>
  <si>
    <t>Adders [%]</t>
  </si>
  <si>
    <t>Tracers [g/t]</t>
  </si>
  <si>
    <t>% Solids</t>
  </si>
  <si>
    <t xml:space="preserve">Dry </t>
  </si>
  <si>
    <t>Wet</t>
  </si>
  <si>
    <t>Stage</t>
  </si>
  <si>
    <t>Cum t,min</t>
  </si>
  <si>
    <t>Reactivos/reagents, g/t</t>
  </si>
  <si>
    <t>Feed Assay</t>
  </si>
  <si>
    <t>pan</t>
  </si>
  <si>
    <t>Reagent 6</t>
  </si>
  <si>
    <t>Tracers [%]</t>
  </si>
  <si>
    <t>Reagent 5</t>
  </si>
  <si>
    <t>% solids [% m/m)</t>
  </si>
  <si>
    <t>Screens</t>
  </si>
  <si>
    <t>Reagent 4</t>
  </si>
  <si>
    <t>Mill Speed [RPM]</t>
  </si>
  <si>
    <t>FEED</t>
  </si>
  <si>
    <t>Reagent 3</t>
  </si>
  <si>
    <t>Steel Charge [g]</t>
  </si>
  <si>
    <t>% Mass</t>
  </si>
  <si>
    <t>Mass (g)</t>
  </si>
  <si>
    <t>FP 650</t>
  </si>
  <si>
    <t>Reagent 2</t>
  </si>
  <si>
    <t>Mill Length [cm]</t>
  </si>
  <si>
    <t>Reagent 1</t>
  </si>
  <si>
    <t>Mill Diameter [cm]</t>
  </si>
  <si>
    <t>-635</t>
  </si>
  <si>
    <t>Reagent Names/ID</t>
  </si>
  <si>
    <t>Grinding Conditions</t>
  </si>
  <si>
    <t>0:30</t>
  </si>
  <si>
    <t>% Sol</t>
  </si>
  <si>
    <t>Dry Mass</t>
  </si>
  <si>
    <t>Wet Mass</t>
  </si>
  <si>
    <t>CaO</t>
  </si>
  <si>
    <t>eH, mV</t>
  </si>
  <si>
    <t>min:seg</t>
  </si>
  <si>
    <t>STAGE</t>
  </si>
  <si>
    <t>Reagents, g/T</t>
  </si>
  <si>
    <t>Ret. Acum.</t>
  </si>
  <si>
    <t>Ret. Parc.</t>
  </si>
  <si>
    <t>Malla</t>
  </si>
  <si>
    <t>Análisis Granulométrico</t>
  </si>
  <si>
    <t>SKT Cleaner Compósito</t>
  </si>
  <si>
    <t xml:space="preserve"> </t>
  </si>
  <si>
    <t>C-2</t>
  </si>
  <si>
    <t>B035</t>
  </si>
  <si>
    <t>F012</t>
  </si>
  <si>
    <t>F145</t>
  </si>
  <si>
    <t>F161</t>
  </si>
  <si>
    <t>-500</t>
  </si>
  <si>
    <t>16:47</t>
  </si>
  <si>
    <t>SKT Rougher Compósito</t>
  </si>
  <si>
    <t xml:space="preserve">4. SKT Mineral actual y futuro </t>
  </si>
  <si>
    <t>4.1 SKT Ro y Cleaner compósito</t>
  </si>
  <si>
    <t>Circuito Cleaner</t>
  </si>
  <si>
    <t>Condición #1 45 um</t>
  </si>
  <si>
    <t>Cinetica STD</t>
  </si>
  <si>
    <t>Condición #2 45 um</t>
  </si>
  <si>
    <t>Condición #2 35 um</t>
  </si>
  <si>
    <t>Cinéticas Rougher</t>
  </si>
  <si>
    <t>P80 165 um</t>
  </si>
  <si>
    <t>P80 145 um</t>
  </si>
  <si>
    <t>Detalles de Muestras</t>
  </si>
  <si>
    <t>Alim.</t>
  </si>
  <si>
    <t>Ley de Cabeza</t>
  </si>
  <si>
    <t>% Error</t>
  </si>
  <si>
    <t>Concentrados Parciales</t>
  </si>
  <si>
    <t>ID</t>
  </si>
  <si>
    <t>Calc.</t>
  </si>
  <si>
    <t>Medida/Analizada</t>
  </si>
  <si>
    <t>Masa, g</t>
  </si>
  <si>
    <t>Cu, %</t>
  </si>
  <si>
    <t>Fe, %</t>
  </si>
  <si>
    <t>C5</t>
  </si>
  <si>
    <t>Aminpro 33</t>
  </si>
  <si>
    <t>Aminpro 34</t>
  </si>
  <si>
    <t>Laguna Seca Línea 2</t>
  </si>
  <si>
    <r>
      <t xml:space="preserve">Tiempo de residencia en planta: </t>
    </r>
    <r>
      <rPr>
        <b/>
        <sz val="11"/>
        <color theme="1"/>
        <rFont val="Aptos Narrow"/>
        <family val="2"/>
        <scheme val="minor"/>
      </rPr>
      <t>35,3 minutos</t>
    </r>
  </si>
  <si>
    <r>
      <t xml:space="preserve">Tiempo equivalente en laboratorio: </t>
    </r>
    <r>
      <rPr>
        <b/>
        <sz val="11"/>
        <color theme="1"/>
        <rFont val="Aptos Narrow"/>
        <family val="2"/>
        <scheme val="minor"/>
      </rPr>
      <t>7,8 minutos</t>
    </r>
  </si>
  <si>
    <r>
      <t>Factor de escala</t>
    </r>
    <r>
      <rPr>
        <sz val="11"/>
        <color theme="1"/>
        <rFont val="Aptos Narrow"/>
        <family val="2"/>
        <scheme val="minor"/>
      </rPr>
      <t>:</t>
    </r>
  </si>
  <si>
    <t>35,3/7,8≈ 4,5</t>
  </si>
  <si>
    <t>Según el muestreo cinético realizado por Empírica en julio de 2023 en las plantas concentradoras de Minera Escondida</t>
  </si>
  <si>
    <t xml:space="preserve"> —incluyendo Los Colorados, Laguna Seca Línea 1 y Laguna Seca Línea 2— se determinó que los tiempos de residencia en planta son:</t>
  </si>
  <si>
    <t>Planta</t>
  </si>
  <si>
    <t>Tiempo residencia (min)</t>
  </si>
  <si>
    <t>Los Colorados</t>
  </si>
  <si>
    <t>Laguna Seca 1</t>
  </si>
  <si>
    <t>Laguna Seca 2</t>
  </si>
  <si>
    <t>K planta (1/s)</t>
  </si>
  <si>
    <t>K lab (1/s)</t>
  </si>
  <si>
    <t xml:space="preserve">Relación Klab / Kplanta </t>
  </si>
  <si>
    <t>8,6 veces</t>
  </si>
  <si>
    <t>3,8 veces</t>
  </si>
  <si>
    <t>4,75 veces</t>
  </si>
  <si>
    <t>Se estima:</t>
  </si>
  <si>
    <t>Tiempo disponible (min)</t>
  </si>
  <si>
    <t>K mínimo Lab</t>
  </si>
  <si>
    <r>
      <t>0,758</t>
    </r>
    <r>
      <rPr>
        <sz val="11"/>
        <color theme="1"/>
        <rFont val="Aptos Narrow"/>
        <family val="2"/>
        <scheme val="minor"/>
      </rPr>
      <t xml:space="preserve"> (1/s)</t>
    </r>
  </si>
  <si>
    <r>
      <t>0,332</t>
    </r>
    <r>
      <rPr>
        <sz val="11"/>
        <color theme="1"/>
        <rFont val="Aptos Narrow"/>
        <family val="2"/>
        <scheme val="minor"/>
      </rPr>
      <t xml:space="preserve"> (1/s)</t>
    </r>
  </si>
  <si>
    <r>
      <t>0,403</t>
    </r>
    <r>
      <rPr>
        <sz val="11"/>
        <color theme="1"/>
        <rFont val="Aptos Narrow"/>
        <family val="2"/>
        <scheme val="minor"/>
      </rPr>
      <t xml:space="preserve"> (1/s)</t>
    </r>
  </si>
  <si>
    <t>Leyes tan bajas?</t>
  </si>
  <si>
    <t>Vale la pena remolienda a 35?</t>
  </si>
  <si>
    <t>Recuperación Acumulada Cu (%)</t>
  </si>
  <si>
    <t>C0</t>
  </si>
  <si>
    <t>Recuperación GyZ Cu (%)</t>
  </si>
  <si>
    <t>R∞</t>
  </si>
  <si>
    <t>K</t>
  </si>
  <si>
    <t>14. Cinética Rougher</t>
  </si>
  <si>
    <t>SKT Rougher</t>
  </si>
  <si>
    <t>SKT Cleaner (P80 = 45 µm)</t>
  </si>
  <si>
    <t>SKT Cleaner (P80 = 35 µm)</t>
  </si>
  <si>
    <t>Rec.
 Experimental</t>
  </si>
  <si>
    <t>Ganga</t>
  </si>
  <si>
    <t>Pruebas</t>
  </si>
  <si>
    <t>SKT Producto Remolienda</t>
  </si>
  <si>
    <t>SKT Relave 1ra Limpieza</t>
  </si>
  <si>
    <t>Producto Remolienda Conc. Condición #1</t>
  </si>
  <si>
    <t>Prueba: Etapa Remolienda Concentrado Rougher Condición #1</t>
  </si>
  <si>
    <r>
      <t xml:space="preserve">Abertura, </t>
    </r>
    <r>
      <rPr>
        <b/>
        <sz val="10"/>
        <color theme="1"/>
        <rFont val="Calibri"/>
        <family val="2"/>
      </rPr>
      <t>µ</t>
    </r>
    <r>
      <rPr>
        <b/>
        <sz val="10"/>
        <color theme="1"/>
        <rFont val="Arial"/>
        <family val="2"/>
      </rPr>
      <t>m</t>
    </r>
  </si>
  <si>
    <t xml:space="preserve">Aminpro </t>
  </si>
  <si>
    <t>Referencia</t>
  </si>
  <si>
    <r>
      <t xml:space="preserve">P100, </t>
    </r>
    <r>
      <rPr>
        <sz val="10"/>
        <color theme="1"/>
        <rFont val="Calibri"/>
        <family val="2"/>
      </rPr>
      <t>µ</t>
    </r>
    <r>
      <rPr>
        <sz val="10"/>
        <color theme="1"/>
        <rFont val="Arial"/>
        <family val="2"/>
      </rPr>
      <t>m</t>
    </r>
  </si>
  <si>
    <r>
      <t xml:space="preserve">P80, </t>
    </r>
    <r>
      <rPr>
        <sz val="10"/>
        <color theme="1"/>
        <rFont val="Calibri"/>
        <family val="2"/>
      </rPr>
      <t>µ</t>
    </r>
    <r>
      <rPr>
        <sz val="10"/>
        <color theme="1"/>
        <rFont val="Arial"/>
        <family val="2"/>
      </rPr>
      <t>m</t>
    </r>
  </si>
  <si>
    <r>
      <t xml:space="preserve">P50, </t>
    </r>
    <r>
      <rPr>
        <sz val="10"/>
        <color theme="1"/>
        <rFont val="Calibri"/>
        <family val="2"/>
      </rPr>
      <t>µ</t>
    </r>
    <r>
      <rPr>
        <sz val="10"/>
        <color theme="1"/>
        <rFont val="Arial"/>
        <family val="2"/>
      </rPr>
      <t>m</t>
    </r>
  </si>
  <si>
    <t>Desv.</t>
  </si>
  <si>
    <t>Pre-Cleaner Planta Piloto Compósito Global Futuro</t>
  </si>
  <si>
    <t>Parámetros</t>
  </si>
  <si>
    <t>#1 - Caso Base Original</t>
  </si>
  <si>
    <t>#2 - Caso Base Original Mejorado</t>
  </si>
  <si>
    <t>#3 – Caso Base Original Mejorado con Aire</t>
  </si>
  <si>
    <t>NaSH</t>
  </si>
  <si>
    <t>No</t>
  </si>
  <si>
    <t>Sí (ORP ≈ -125)</t>
  </si>
  <si>
    <t>Feed P80 (µm)</t>
  </si>
  <si>
    <t>%Cp</t>
  </si>
  <si>
    <t>Collector Matcol715 (g/ton)</t>
  </si>
  <si>
    <t>Frother FP-650 (g/ton)</t>
  </si>
  <si>
    <t>16–18</t>
  </si>
  <si>
    <t>18–24</t>
  </si>
  <si>
    <t>Aire (Jg)</t>
  </si>
  <si>
    <t>Normal (0.4–0.5)</t>
  </si>
  <si>
    <t>Aumentado (0.7-1.0)</t>
  </si>
  <si>
    <t>%Cu Alimentación</t>
  </si>
  <si>
    <t>%Cu Concentrado</t>
  </si>
  <si>
    <t>%Cu Cola</t>
  </si>
  <si>
    <t>%Cu Recuperación</t>
  </si>
  <si>
    <t>%Cu Recuperación en Peso</t>
  </si>
  <si>
    <t>Tiempos SKT</t>
  </si>
  <si>
    <t>Alim. 1° Cl</t>
  </si>
  <si>
    <t>Cola 1° Cl</t>
  </si>
  <si>
    <t>Conc. 1° Cl</t>
  </si>
  <si>
    <t>Alim. SCV</t>
  </si>
  <si>
    <t>Conc. SCV</t>
  </si>
  <si>
    <t>Conc. Cl-SCV</t>
  </si>
  <si>
    <t>Cola Cl-SCV</t>
  </si>
  <si>
    <t>Cola SCV</t>
  </si>
  <si>
    <t>Rp</t>
  </si>
  <si>
    <t>RE</t>
  </si>
  <si>
    <t>Rec Ro</t>
  </si>
  <si>
    <t>Rec Global</t>
  </si>
  <si>
    <t>RE 1° Cl</t>
  </si>
  <si>
    <t>Promedio</t>
  </si>
  <si>
    <t>Noche</t>
  </si>
  <si>
    <t>Día</t>
  </si>
  <si>
    <t>Global</t>
  </si>
  <si>
    <t>Rec Cleaner</t>
  </si>
  <si>
    <t>T. Dilución</t>
  </si>
  <si>
    <t>Rp Global</t>
  </si>
  <si>
    <t>RE Cl-SCV</t>
  </si>
  <si>
    <t>Pilotaje Cleaner</t>
  </si>
  <si>
    <t>Producto Remolienda Conc. Condición #2</t>
  </si>
  <si>
    <t>Prueba: Etapa Remolienda Concentrado Rougher Condición #2</t>
  </si>
  <si>
    <t>Análisis Químico Cabeza</t>
  </si>
  <si>
    <t>15. Remolienda</t>
  </si>
  <si>
    <t>Abertura
 (µm)</t>
  </si>
  <si>
    <t>Masa
(gr)</t>
  </si>
  <si>
    <t>Ret.Parcial
(%)</t>
  </si>
  <si>
    <t>Pasante Experimental
(%)</t>
  </si>
  <si>
    <t>Pasante Modelado 
(%)</t>
  </si>
  <si>
    <t>Pasante Modelado Referencia
(%)</t>
  </si>
  <si>
    <t>16. Circuito Cleaner</t>
  </si>
  <si>
    <t>16.1 Cinética Cleaner</t>
  </si>
  <si>
    <t>17. Jameson Scalper Rougher</t>
  </si>
  <si>
    <t>17.1 Jameson Scalper Rougher - Test de Desgaste</t>
  </si>
  <si>
    <t>18. Jameson Scavenger Rougher</t>
  </si>
  <si>
    <t>18.1 Jameson Scavenger Rougher - Test de Desgaste</t>
  </si>
  <si>
    <t>19. Jameson Scalper Cleaner</t>
  </si>
  <si>
    <t>20. Jameson Scalper Scavenger</t>
  </si>
  <si>
    <t>21. QAQC Test Dilución</t>
  </si>
  <si>
    <t>CL-IS</t>
  </si>
  <si>
    <t>Cinetica Scavenger</t>
  </si>
  <si>
    <t>Cond #1</t>
  </si>
  <si>
    <t>Cond #2</t>
  </si>
  <si>
    <t>Pre Cleaner-Scavenger Planta Piloto Compósito Global Futuro</t>
  </si>
  <si>
    <t>T. Desgaste L-150</t>
  </si>
  <si>
    <t>Cond</t>
  </si>
  <si>
    <t>OK</t>
  </si>
  <si>
    <t>problemas columnas</t>
  </si>
  <si>
    <t>L-150</t>
  </si>
  <si>
    <t>leyes más bajas</t>
  </si>
  <si>
    <t>Cinetica Convencional</t>
  </si>
  <si>
    <t>Pruebas Jameson - Pre Cleaner-Scavenger</t>
  </si>
  <si>
    <t>Pruebas Jameson - Pre Cleaner</t>
  </si>
  <si>
    <t>Pre Cleaner Planta Piloto Compósito Global Futuro</t>
  </si>
  <si>
    <t>#1</t>
  </si>
  <si>
    <t>#2</t>
  </si>
  <si>
    <t xml:space="preserve">Conc. Jameson </t>
  </si>
  <si>
    <t>Cola Jameson</t>
  </si>
  <si>
    <t>Rec Jameson</t>
  </si>
  <si>
    <t>Rec Jms Eq</t>
  </si>
  <si>
    <t>Rec Ro-Jms</t>
  </si>
  <si>
    <t>Con Jameson</t>
  </si>
  <si>
    <t>Caso Base</t>
  </si>
  <si>
    <t>Flujo</t>
  </si>
  <si>
    <t>Conc. 1</t>
  </si>
  <si>
    <t>Cola</t>
  </si>
  <si>
    <t>Recuperaciones</t>
  </si>
  <si>
    <t>Rf</t>
  </si>
  <si>
    <t xml:space="preserve">Continua 1 </t>
  </si>
  <si>
    <t>Continua 2</t>
  </si>
  <si>
    <t>Conc. 2</t>
  </si>
  <si>
    <t>Conc. 3</t>
  </si>
  <si>
    <t>Continua 4</t>
  </si>
  <si>
    <t>Conc. 4</t>
  </si>
  <si>
    <t>Continua 5</t>
  </si>
  <si>
    <t>Conc. 5</t>
  </si>
  <si>
    <t>Continua 6</t>
  </si>
  <si>
    <t>Continua 7</t>
  </si>
  <si>
    <t>Conc. 6</t>
  </si>
  <si>
    <t>Conc. 7</t>
  </si>
  <si>
    <t>Continua 3</t>
  </si>
  <si>
    <t>Cinética Convencional</t>
  </si>
  <si>
    <t>Alim. Jameson (1° Cl)</t>
  </si>
  <si>
    <t>Alim. 1° Cl (Cola Jms)</t>
  </si>
  <si>
    <t>Alimentación 1ra Limpieza</t>
  </si>
  <si>
    <t>Concentrado 1ra Limpieza</t>
  </si>
  <si>
    <t>Relave 1ra Limpíeza</t>
  </si>
  <si>
    <t>Alimentación Scavenger</t>
  </si>
  <si>
    <t>Concentrado Scavenger</t>
  </si>
  <si>
    <t>Concentrado Cleaner Scavenger</t>
  </si>
  <si>
    <t>Relave Cleaner Scavenger</t>
  </si>
  <si>
    <t>Relave Scavenger</t>
  </si>
  <si>
    <t>Concentrado Celda Jameson</t>
  </si>
  <si>
    <t>Relave Celda Jameson</t>
  </si>
  <si>
    <t>Conc. Jms</t>
  </si>
  <si>
    <t>Cola Jms</t>
  </si>
  <si>
    <t>RE Cleaner</t>
  </si>
  <si>
    <t>RP Cleaner</t>
  </si>
  <si>
    <t>Alimentación Rougher</t>
  </si>
  <si>
    <t>Concentrado Rougher</t>
  </si>
  <si>
    <t>Relave Rougher</t>
  </si>
  <si>
    <t>Nodo 1</t>
  </si>
  <si>
    <t>2+3-1</t>
  </si>
  <si>
    <t>Nodo 2</t>
  </si>
  <si>
    <t>4-2</t>
  </si>
  <si>
    <t>Nodo 3</t>
  </si>
  <si>
    <t>5+6-4</t>
  </si>
  <si>
    <t>Nodo 4</t>
  </si>
  <si>
    <t>Nodo 5</t>
  </si>
  <si>
    <t>Nodo 6</t>
  </si>
  <si>
    <t>Nodo 7</t>
  </si>
  <si>
    <t>7-6-10</t>
  </si>
  <si>
    <t>13+12-7</t>
  </si>
  <si>
    <t>8+11-13</t>
  </si>
  <si>
    <t>9+10-8</t>
  </si>
  <si>
    <t>Nodo 8</t>
  </si>
  <si>
    <t>5+12+9+11-4</t>
  </si>
  <si>
    <t>Masa, kph</t>
  </si>
  <si>
    <t>Ley, %</t>
  </si>
  <si>
    <t>Aforo (s)</t>
  </si>
  <si>
    <t>Flujo Másico, kg/h</t>
  </si>
  <si>
    <t>Masa Humeda, gr</t>
  </si>
  <si>
    <t>Masa Seca, gr</t>
  </si>
  <si>
    <t>Masa Cu, kph</t>
  </si>
  <si>
    <t>Datos medidos</t>
  </si>
  <si>
    <t>Datos ajustados</t>
  </si>
  <si>
    <t>Tolerancias</t>
  </si>
  <si>
    <t>Ley Fe, %</t>
  </si>
  <si>
    <t>Ley Cu, %</t>
  </si>
  <si>
    <t>Masa Fe, kph</t>
  </si>
  <si>
    <t>Masa, %</t>
  </si>
  <si>
    <t>Tolerancias máximas</t>
  </si>
  <si>
    <t>mover poquito</t>
  </si>
  <si>
    <t>mover muy poco</t>
  </si>
  <si>
    <t>Objetivo</t>
  </si>
  <si>
    <t>CM</t>
  </si>
  <si>
    <t>Aforo (min)</t>
  </si>
  <si>
    <t>Mass Pull</t>
  </si>
  <si>
    <t>Ley Conc Final</t>
  </si>
  <si>
    <t>Balanceados</t>
  </si>
  <si>
    <t>13+12-4</t>
  </si>
  <si>
    <t>5+6-13</t>
  </si>
  <si>
    <t>8+11-7</t>
  </si>
  <si>
    <t>7-10-6</t>
  </si>
  <si>
    <t>Comparación Circuitos</t>
  </si>
  <si>
    <t>Datos Balanceados</t>
  </si>
  <si>
    <t>Jamson Pre Cleaner</t>
  </si>
  <si>
    <t>Jameson Pre Scavenger</t>
  </si>
  <si>
    <t>Concentrado Jameson</t>
  </si>
  <si>
    <t>Relave Jameson</t>
  </si>
  <si>
    <t>Ley Concentrado Final</t>
  </si>
  <si>
    <t>Rp Cleaner</t>
  </si>
  <si>
    <t>RE Jameson</t>
  </si>
  <si>
    <t>Jameson Pre Cleaner</t>
  </si>
  <si>
    <t>Conc. Final</t>
  </si>
  <si>
    <t>Cond. #1</t>
  </si>
  <si>
    <t>Cond. #2</t>
  </si>
  <si>
    <r>
      <rPr>
        <b/>
        <sz val="11"/>
        <color theme="0"/>
        <rFont val="Aptos Narrow"/>
        <family val="2"/>
      </rPr>
      <t>∆</t>
    </r>
    <r>
      <rPr>
        <b/>
        <sz val="11"/>
        <color theme="0"/>
        <rFont val="Source Sans Pro"/>
        <family val="2"/>
      </rPr>
      <t xml:space="preserve"> Rec Ro</t>
    </r>
  </si>
  <si>
    <r>
      <rPr>
        <b/>
        <sz val="11"/>
        <color theme="0"/>
        <rFont val="Aptos Narrow"/>
        <family val="2"/>
      </rPr>
      <t>∆</t>
    </r>
    <r>
      <rPr>
        <b/>
        <sz val="11"/>
        <color theme="0"/>
        <rFont val="Source Sans Pro"/>
        <family val="2"/>
      </rPr>
      <t xml:space="preserve"> Rec Global</t>
    </r>
  </si>
  <si>
    <t>Conc. Final Caso base</t>
  </si>
  <si>
    <t>Conc. Final Caso Jms</t>
  </si>
  <si>
    <r>
      <rPr>
        <b/>
        <sz val="11"/>
        <color theme="0"/>
        <rFont val="Aptos Narrow"/>
        <family val="2"/>
      </rPr>
      <t>∆</t>
    </r>
    <r>
      <rPr>
        <b/>
        <sz val="11"/>
        <color theme="0"/>
        <rFont val="Source Sans Pro"/>
        <family val="2"/>
      </rPr>
      <t xml:space="preserve"> Rec Cleaner</t>
    </r>
  </si>
  <si>
    <t>Recuperación Cleaner</t>
  </si>
  <si>
    <t>Rec Scavenger</t>
  </si>
  <si>
    <t>Granulometría Alimentación Rougher</t>
  </si>
  <si>
    <t>Posterior a Molienda</t>
  </si>
  <si>
    <t>Lab es más desfavorabole porque tiene más gruesos. Ro flota intermedios</t>
  </si>
  <si>
    <t>RP Jameson</t>
  </si>
  <si>
    <t>Ley Conc. Final</t>
  </si>
  <si>
    <t>Ley Conc. Jameson</t>
  </si>
  <si>
    <t>Scalper Rougher</t>
  </si>
  <si>
    <t>Rougher Scavenger</t>
  </si>
  <si>
    <t xml:space="preserve">Scalper Cleaner </t>
  </si>
  <si>
    <t>Scalper Scavenger</t>
  </si>
  <si>
    <t>1,06–1,49</t>
  </si>
  <si>
    <t>18,6–27,7</t>
  </si>
  <si>
    <t>0,98–3,14</t>
  </si>
  <si>
    <t>21,8–34,1</t>
  </si>
  <si>
    <r>
      <t>80,52</t>
    </r>
    <r>
      <rPr>
        <sz val="11"/>
        <color theme="1"/>
        <rFont val="Tw Cen MT"/>
        <family val="2"/>
      </rPr>
      <t>–</t>
    </r>
    <r>
      <rPr>
        <sz val="9"/>
        <color rgb="FF000000"/>
        <rFont val="Tw Cen MT"/>
        <family val="2"/>
      </rPr>
      <t>82,31</t>
    </r>
  </si>
  <si>
    <r>
      <t>81,70</t>
    </r>
    <r>
      <rPr>
        <sz val="11"/>
        <color theme="1"/>
        <rFont val="Tw Cen MT"/>
        <family val="2"/>
      </rPr>
      <t>–</t>
    </r>
    <r>
      <rPr>
        <sz val="9"/>
        <color rgb="FF000000"/>
        <rFont val="Tw Cen MT"/>
        <family val="2"/>
      </rPr>
      <t>83,49</t>
    </r>
  </si>
  <si>
    <t>13,01</t>
  </si>
  <si>
    <t>13,37</t>
  </si>
  <si>
    <r>
      <t>m</t>
    </r>
    <r>
      <rPr>
        <b/>
        <vertAlign val="superscript"/>
        <sz val="11"/>
        <color theme="0"/>
        <rFont val="Source Sans Pro"/>
        <family val="2"/>
      </rPr>
      <t>3</t>
    </r>
  </si>
  <si>
    <t>Volumen (l)</t>
  </si>
  <si>
    <t>Celdas x Fila</t>
  </si>
  <si>
    <t>Total (l)</t>
  </si>
  <si>
    <t>Caso Base Etapa Cleaner</t>
  </si>
  <si>
    <t>Alimentación Cl</t>
  </si>
  <si>
    <t>Concentrado
SCV</t>
  </si>
  <si>
    <t>Concentrado
Cl</t>
  </si>
  <si>
    <t>Relave
SCV</t>
  </si>
  <si>
    <t>Fe %</t>
  </si>
  <si>
    <t>Turno noche 01-09-2025</t>
  </si>
  <si>
    <t>Turno día 22-09-2025</t>
  </si>
  <si>
    <t>Rec 1° Limpieza</t>
  </si>
  <si>
    <t>Rec Cl-Scv</t>
  </si>
  <si>
    <t>1° Cleaner</t>
  </si>
  <si>
    <t>Rec 1° Cl</t>
  </si>
  <si>
    <t>2.6/0.22</t>
  </si>
  <si>
    <t>Capacidad Levante</t>
  </si>
  <si>
    <t>Cl-Scv</t>
  </si>
  <si>
    <t>Bias</t>
  </si>
  <si>
    <t>Flujo volumétrico</t>
  </si>
  <si>
    <t>Q alimentacion (L/h)</t>
  </si>
  <si>
    <t>Q relave (L/h)</t>
  </si>
  <si>
    <t>Rec Scv</t>
  </si>
  <si>
    <t xml:space="preserve">MP </t>
  </si>
  <si>
    <t>Ley</t>
  </si>
  <si>
    <t>ton/h</t>
  </si>
  <si>
    <t>Ley alim</t>
  </si>
  <si>
    <t>Rec global</t>
  </si>
  <si>
    <t>RP global</t>
  </si>
  <si>
    <t>Masa conc</t>
  </si>
  <si>
    <t>Conc final Cb</t>
  </si>
  <si>
    <t>RP Ro</t>
  </si>
  <si>
    <t>Alim Jms</t>
  </si>
  <si>
    <t>ton Cu/h Jms</t>
  </si>
  <si>
    <t>Masa Cu rec Jms</t>
  </si>
  <si>
    <t>Masa Cu CB</t>
  </si>
  <si>
    <t>Masa Cu alim</t>
  </si>
  <si>
    <t>Cond. 1</t>
  </si>
  <si>
    <t>Cond. 2</t>
  </si>
  <si>
    <t>Rec. Másica  (%)</t>
  </si>
  <si>
    <t>Cu Cond. 1</t>
  </si>
  <si>
    <t>Cu Cond. 2</t>
  </si>
  <si>
    <t>PP-Etapa Cl-Conc. Ro. Remolido Cond. #2 Alto Flujo</t>
  </si>
  <si>
    <t xml:space="preserve">Alim </t>
  </si>
  <si>
    <t>Conc</t>
  </si>
  <si>
    <t xml:space="preserve">Rel </t>
  </si>
  <si>
    <t xml:space="preserve">Dia </t>
  </si>
  <si>
    <t xml:space="preserve">Noche </t>
  </si>
  <si>
    <t>Alim Cl</t>
  </si>
  <si>
    <t>Conc Cl</t>
  </si>
  <si>
    <t>Rel Cl-SCV</t>
  </si>
  <si>
    <t>Rel SCV</t>
  </si>
  <si>
    <t xml:space="preserve">Cu </t>
  </si>
  <si>
    <t>Alim Cl (1)</t>
  </si>
  <si>
    <t>Conc Cl (2)</t>
  </si>
  <si>
    <t>Rel Cl (3)</t>
  </si>
  <si>
    <t>Alim SCV (4)</t>
  </si>
  <si>
    <t>Conc SCV (5)</t>
  </si>
  <si>
    <t>Conc CL-SCV (6)</t>
  </si>
  <si>
    <t>Rel Cl-SCV (7)</t>
  </si>
  <si>
    <t>Rel SCV (8)</t>
  </si>
  <si>
    <t>Planta Piloto-Etapa Rougher + Dispersante</t>
  </si>
  <si>
    <t>Alim Ro (1)</t>
  </si>
  <si>
    <t>Planta Piloto-Etapa Rougher</t>
  </si>
  <si>
    <t>Alim Ro</t>
  </si>
  <si>
    <t xml:space="preserve">Conc Ro </t>
  </si>
  <si>
    <t xml:space="preserve">Rel Ro </t>
  </si>
  <si>
    <t>Turno Dia - 26-08-25</t>
  </si>
  <si>
    <t>#212 um</t>
  </si>
  <si>
    <t>#150 um</t>
  </si>
  <si>
    <t>#106 um</t>
  </si>
  <si>
    <t xml:space="preserve">#53 um </t>
  </si>
  <si>
    <t>#+25um</t>
  </si>
  <si>
    <t>#-25um</t>
  </si>
  <si>
    <t>Turno Dia - 07-08-25</t>
  </si>
  <si>
    <t>Rel Ro (2)</t>
  </si>
  <si>
    <t>Conc Ro (3)</t>
  </si>
  <si>
    <t>PP-Etapa Cl-Conc. Ro. Remolido Cond. #2</t>
  </si>
  <si>
    <t>Dia</t>
  </si>
  <si>
    <t>Planta Piloto-Etapa Cl Cond. 1#</t>
  </si>
  <si>
    <t>Con SCV</t>
  </si>
  <si>
    <t>Conc 5</t>
  </si>
  <si>
    <t>Mel-2 Etapa Ro 180 um</t>
  </si>
  <si>
    <t>Rel</t>
  </si>
  <si>
    <t xml:space="preserve">Conc 3 </t>
  </si>
  <si>
    <t xml:space="preserve">Conc 5 </t>
  </si>
  <si>
    <t>Grupo Mineral / Sample</t>
  </si>
  <si>
    <t>Monazita</t>
  </si>
  <si>
    <t>Limonita(Cu)</t>
  </si>
  <si>
    <t>(Cu,Fe)OH</t>
  </si>
  <si>
    <t>PUNTO 1: ALIMENTACION 1° CLEANER TURNO_NOCHE 01-09-25</t>
  </si>
  <si>
    <t>PUNTO 2: CONCENTRADO 1° CLEANER TURNO_NOCHE 01-09-25</t>
  </si>
  <si>
    <t>PUNTO 5: CONCENTRADO CLNR SCV TURNO_NOCHE 01-09-25</t>
  </si>
  <si>
    <t>PUNTO 8: RELAVE SCAVENGER TURNO_NOCHE 01-09-25</t>
  </si>
  <si>
    <t>PUNTO 1: ALIMENTACION 1° CLEANER TURNO_DIA 22-09-25</t>
  </si>
  <si>
    <t>PUNTO 2: CONCENTRADO 1° CLEANER TURNO_DIA 22-09-25</t>
  </si>
  <si>
    <t>PUNTO 5: CONCENTRADO CLNR SCV TURNO_DIA 22-09-25</t>
  </si>
  <si>
    <t>PUNTO 8: RELAVE SCAVENGER TURNO_DIA 22-09-25</t>
  </si>
  <si>
    <t>1°CL</t>
  </si>
  <si>
    <t>Noche 01-09-25</t>
  </si>
  <si>
    <t xml:space="preserve">Conc </t>
  </si>
  <si>
    <t>Dia 22-09-2025</t>
  </si>
  <si>
    <t>CLNR SCV</t>
  </si>
  <si>
    <t>SCV</t>
  </si>
  <si>
    <t>Titanomagnetita</t>
  </si>
  <si>
    <t>Limonita(Cu,Mn)</t>
  </si>
  <si>
    <t>Jarosita</t>
  </si>
  <si>
    <t xml:space="preserve">Jameson Pre Cl </t>
  </si>
  <si>
    <t>Conc Jms (Pre-Cl)</t>
  </si>
  <si>
    <t>Rel Jms (pre-Cl)</t>
  </si>
  <si>
    <t>Conc Jms (Pre-SCV)</t>
  </si>
  <si>
    <t>Rel Jms (pre-SCV)</t>
  </si>
  <si>
    <t>Jameson Pre SCV</t>
  </si>
  <si>
    <t>Jameson Repetición Pre-SCV</t>
  </si>
  <si>
    <t>Alim 1°Cl Rep Pre Scv (1)</t>
  </si>
  <si>
    <t>Conc 1°Cl Rep Pre Scv (2)</t>
  </si>
  <si>
    <t>Rel 1°Cl Rep Pre Scv (3)</t>
  </si>
  <si>
    <t>Alim SCV Rep Pre Scv(4)</t>
  </si>
  <si>
    <t>Conc SCV Rep Pre Scv (5)</t>
  </si>
  <si>
    <t>Conc CL-SCV Rep Pre Scv (6)</t>
  </si>
  <si>
    <t>Rel Cl-SCV Rep Pre Scv (7)</t>
  </si>
  <si>
    <t>Rel SCV Rep Pre Scv (8)</t>
  </si>
  <si>
    <t>Conc Jms (Rep Pre-SCV)</t>
  </si>
  <si>
    <t>Rel Jms (Rep Pre-SCV)</t>
  </si>
  <si>
    <t>Jameson Rep Pre SCV</t>
  </si>
  <si>
    <t>IS</t>
  </si>
  <si>
    <t xml:space="preserve">Peso recepcionado en SGS (gr) </t>
  </si>
  <si>
    <t>%Cu</t>
  </si>
  <si>
    <t>%Fe</t>
  </si>
  <si>
    <t>Jameson Experimetal 1 (Pre-SCV)</t>
  </si>
  <si>
    <t>Alim 1°Cl Exp1 Pre Scv (1)</t>
  </si>
  <si>
    <t>Conc 1°Cl Exp1 Pre Scv (2)</t>
  </si>
  <si>
    <t>Rel 1°Cl exp1 Pre Scv (3)</t>
  </si>
  <si>
    <t>Alim SCV Exp1 Pre Scv(4)</t>
  </si>
  <si>
    <t>Conc SCV Exp1 Pre Scv (5)</t>
  </si>
  <si>
    <t>Conc CL-SCV Exp1 Pre Scv (6)</t>
  </si>
  <si>
    <t>Rel Cl-SCV Exp1 Pre Scv (7)</t>
  </si>
  <si>
    <t>Rel SCV Exp1 Pre Scv (8)</t>
  </si>
  <si>
    <t>Conc Jms Exp1 Pre Scv (9)</t>
  </si>
  <si>
    <t>Rel Jms Exp1 Pre Scv (10)</t>
  </si>
  <si>
    <t>Jameson Experimental 1 Pre SCV</t>
  </si>
  <si>
    <t>Conc Jms (Exp1 Pre-SCV) (9)</t>
  </si>
  <si>
    <t>Rel Jms (Exp1 Pre-SCV)(10)</t>
  </si>
  <si>
    <t>Conc Jms (Exp1 Pre-SCV)(9)</t>
  </si>
  <si>
    <t>Jameson Relave Ro Cond. 1#</t>
  </si>
  <si>
    <t xml:space="preserve">Conc Jms RelRo </t>
  </si>
  <si>
    <t>Jameson Relave Ro Cond. 2#</t>
  </si>
  <si>
    <t>Leyes</t>
  </si>
  <si>
    <t xml:space="preserve">Cinetica Cl SCV </t>
  </si>
  <si>
    <t>sacar pasante cumulado AQxMalla</t>
  </si>
  <si>
    <t>Pedir Alim AQxM</t>
  </si>
  <si>
    <t xml:space="preserve">Ajutar curva del pasante acumulado (ajutar la curva) </t>
  </si>
  <si>
    <t xml:space="preserve">usar masas ajustadas para balancear el cobre -deberia coincidir con el global </t>
  </si>
  <si>
    <t xml:space="preserve">Ley Final Cu </t>
  </si>
  <si>
    <t>Ley Final Fe</t>
  </si>
  <si>
    <t>Error Cu +-10%</t>
  </si>
  <si>
    <t>Error Fe +-20%</t>
  </si>
  <si>
    <t xml:space="preserve">Flujo </t>
  </si>
  <si>
    <t>Alim  1°CL</t>
  </si>
  <si>
    <t>Conc 1°CL</t>
  </si>
  <si>
    <t>Rel  1°CL</t>
  </si>
  <si>
    <t>Alim SCV</t>
  </si>
  <si>
    <t>Conc SCV</t>
  </si>
  <si>
    <t>Conc CL SCV</t>
  </si>
  <si>
    <t>Rel CL SCV</t>
  </si>
  <si>
    <t>Conc JMS</t>
  </si>
  <si>
    <t>Rel JMS</t>
  </si>
  <si>
    <t xml:space="preserve">Rec Cu </t>
  </si>
  <si>
    <t>Flujos</t>
  </si>
  <si>
    <t xml:space="preserve">Masas </t>
  </si>
  <si>
    <t>Alim 1°CL</t>
  </si>
  <si>
    <t>CL SCV</t>
  </si>
  <si>
    <t>Análisis de liberación por perímetro</t>
  </si>
  <si>
    <t>Clases liberación</t>
  </si>
  <si>
    <t>ID MUESTRA</t>
  </si>
  <si>
    <t>FASE MINERAL</t>
  </si>
  <si>
    <t>&lt;10</t>
  </si>
  <si>
    <t>≥10&lt;20</t>
  </si>
  <si>
    <t>≥20&lt;30</t>
  </si>
  <si>
    <t>≥30&lt;40</t>
  </si>
  <si>
    <t>≥40&lt;50</t>
  </si>
  <si>
    <t>≥50&lt;60</t>
  </si>
  <si>
    <t>≥60&lt;70</t>
  </si>
  <si>
    <t>≥70&lt;80</t>
  </si>
  <si>
    <t>≥80&lt;90</t>
  </si>
  <si>
    <t>≥90</t>
  </si>
  <si>
    <t>All particles</t>
  </si>
  <si>
    <t>Partículas binarias</t>
  </si>
  <si>
    <t>Masspull Jms</t>
  </si>
  <si>
    <t>Mass Pull jms</t>
  </si>
  <si>
    <t>Mass Pull Jms</t>
  </si>
  <si>
    <t>Conc Jms Ajustado</t>
  </si>
  <si>
    <t xml:space="preserve">Rel Jms Ajustado </t>
  </si>
  <si>
    <t>Conc Jms AQxM Calculado</t>
  </si>
  <si>
    <t xml:space="preserve">Rel Jms AQxM Calculado </t>
  </si>
  <si>
    <t>PUNTO 1: ALIMENTACION RO TURNO_DIA 26-08-25</t>
  </si>
  <si>
    <t>PUNTO 2: RELAVE RO TURNO_DIA 26-08-25</t>
  </si>
  <si>
    <t>PUNTO 3: CONCENTRADO RO TURNO_DIA 26-08-25</t>
  </si>
  <si>
    <t>PUNTO 1: ALIMENTACION RO TURNO_NOCHE 07-08-25</t>
  </si>
  <si>
    <t>PUNTO 2: RELAVE RO TURNO_NOCHE 07-08-25</t>
  </si>
  <si>
    <t>PUNTO 3: CONCENTRADO RO TURNO_NOCHE 07-08-25</t>
  </si>
  <si>
    <t xml:space="preserve">Alim Ro </t>
  </si>
  <si>
    <t>Rel Ro</t>
  </si>
  <si>
    <t>Dia 26-08-25</t>
  </si>
  <si>
    <t>Noche 07-08-25</t>
  </si>
  <si>
    <t>CONCENTRADO JAMESON 1</t>
  </si>
  <si>
    <t>RELAVE JAMESON 9</t>
  </si>
  <si>
    <t>Conc Jms</t>
  </si>
  <si>
    <t xml:space="preserve">Rel Jms </t>
  </si>
  <si>
    <t>Silicato Fe</t>
  </si>
  <si>
    <t>The rest</t>
  </si>
  <si>
    <t>CinCl-SCV4 (Cinetica)</t>
  </si>
  <si>
    <t>Cin Cl 3 (Cinetica)</t>
  </si>
  <si>
    <t>FLUJO</t>
  </si>
  <si>
    <t>Peso Pulpa, gr</t>
  </si>
  <si>
    <t>Peso Seco, gr</t>
  </si>
  <si>
    <t>seg</t>
  </si>
  <si>
    <t>A.Q., % Cu</t>
  </si>
  <si>
    <t>A.Q., % Fe</t>
  </si>
  <si>
    <t>Alimentación Celda Jameson</t>
  </si>
  <si>
    <t xml:space="preserve">RE 1°Cl </t>
  </si>
  <si>
    <t>Re Cl-SCV</t>
  </si>
  <si>
    <t xml:space="preserve">RP </t>
  </si>
  <si>
    <t>Prom</t>
  </si>
  <si>
    <t xml:space="preserve">Rec Ro </t>
  </si>
  <si>
    <t xml:space="preserve">Masa Seca </t>
  </si>
  <si>
    <t>kg/h</t>
  </si>
  <si>
    <t xml:space="preserve">Balance Pre.ClSCV Septiembre </t>
  </si>
  <si>
    <t>1. Alim Ro</t>
  </si>
  <si>
    <t xml:space="preserve">2. Cons Ro </t>
  </si>
  <si>
    <t xml:space="preserve">3. Rel Ro </t>
  </si>
  <si>
    <t>4. Alim  1°CL</t>
  </si>
  <si>
    <t>5. Conc 1°CL</t>
  </si>
  <si>
    <t>6. Rel  1°CL</t>
  </si>
  <si>
    <t>7. Alim SCV</t>
  </si>
  <si>
    <t>8.Conc SCV</t>
  </si>
  <si>
    <t>9.Conc CL SCV</t>
  </si>
  <si>
    <t>10. Rel CL SCV</t>
  </si>
  <si>
    <t>11. Rel SCV</t>
  </si>
  <si>
    <t>12. Conc JMS</t>
  </si>
  <si>
    <t>13. Rel JMS</t>
  </si>
  <si>
    <t>Unidades</t>
  </si>
  <si>
    <t>Agua</t>
  </si>
  <si>
    <t>Masa Seca Bal gr</t>
  </si>
  <si>
    <t>Masa humeda Bal  gr</t>
  </si>
  <si>
    <t>Masa Cp%</t>
  </si>
  <si>
    <t>Masa Humeda Bal gr</t>
  </si>
  <si>
    <t xml:space="preserve">Cp Bal </t>
  </si>
  <si>
    <t>agua</t>
  </si>
  <si>
    <t>Masspull</t>
  </si>
  <si>
    <t>Etapa Ro (1)</t>
  </si>
  <si>
    <t>Etapa Cl (3)</t>
  </si>
  <si>
    <t>Etapa SCV (4)</t>
  </si>
  <si>
    <t>Etapa Cl SCV (5)</t>
  </si>
  <si>
    <t xml:space="preserve">Global </t>
  </si>
  <si>
    <t xml:space="preserve">unidades </t>
  </si>
  <si>
    <t>1. Alim. Ro</t>
  </si>
  <si>
    <t>2. Cola Ro</t>
  </si>
  <si>
    <t>3. Conc. Ro</t>
  </si>
  <si>
    <t>4. Alim Cl</t>
  </si>
  <si>
    <t>5. Conc Cl</t>
  </si>
  <si>
    <t xml:space="preserve">6. Rel Cl </t>
  </si>
  <si>
    <t>8. Conc SCV</t>
  </si>
  <si>
    <t>10. Conc CL-SCV</t>
  </si>
  <si>
    <t>11. Rel Cl-SCV</t>
  </si>
  <si>
    <t>12. Rel SCV</t>
  </si>
  <si>
    <t>Etapa Jms (Cl-SCV) (5)</t>
  </si>
  <si>
    <t>Etapa SCV (6)</t>
  </si>
  <si>
    <t>Etapa Cl SCV (7)</t>
  </si>
  <si>
    <t>Etapa Jms (Cl) (3)</t>
  </si>
  <si>
    <t>Etapa Cl (4)</t>
  </si>
  <si>
    <t>S186 Continuación QAQC Pruebas Laboratorio Jameson (BHP)</t>
  </si>
  <si>
    <t>EM-S186-PR-RP-001</t>
  </si>
  <si>
    <t xml:space="preserve">Cl Condición 2 Alto Flujo </t>
  </si>
  <si>
    <t xml:space="preserve">Ley </t>
  </si>
  <si>
    <t>L150 Pre-Scv Batch</t>
  </si>
  <si>
    <t>Caso (27-11-2025)</t>
  </si>
  <si>
    <t>Alimentación Jameso Pre Scavenger</t>
  </si>
  <si>
    <t>TDD. Feed Pre-Scv. #1</t>
  </si>
  <si>
    <t>Caso (01-12-2025)</t>
  </si>
  <si>
    <t>TDD. Feed Pre-Scv. #2</t>
  </si>
  <si>
    <t>L150 Pre-Scv #1</t>
  </si>
  <si>
    <t>Cu, (%)</t>
  </si>
  <si>
    <t>Fe, (%)</t>
  </si>
  <si>
    <t>Recuperación</t>
  </si>
  <si>
    <t>R. Enriquecimiento</t>
  </si>
  <si>
    <t>L150 Pre-Scv #2</t>
  </si>
  <si>
    <t>Rec. L150</t>
  </si>
  <si>
    <t xml:space="preserve">                                                                   </t>
  </si>
  <si>
    <t>1#</t>
  </si>
  <si>
    <t>2#</t>
  </si>
  <si>
    <t xml:space="preserve">Elemento </t>
  </si>
  <si>
    <t>Alimentacion Ro</t>
  </si>
  <si>
    <t xml:space="preserve">Concentrado </t>
  </si>
  <si>
    <t xml:space="preserve">Rec. Masica </t>
  </si>
  <si>
    <t xml:space="preserve">Rec. Metalurgica </t>
  </si>
  <si>
    <t>Carpeta</t>
  </si>
  <si>
    <t>Archivo</t>
  </si>
  <si>
    <t>Formato</t>
  </si>
  <si>
    <t>General</t>
  </si>
  <si>
    <t>20250610_P2025-018_BHP_Estudio_Jameson_Aminpro</t>
  </si>
  <si>
    <t>pptx</t>
  </si>
  <si>
    <t>20250618_SlidesJamesonAminpro_TallerLSEJameson_revP</t>
  </si>
  <si>
    <t>Nota técnica alcance programa Jameson Aminpro</t>
  </si>
  <si>
    <t>pdf</t>
  </si>
  <si>
    <t>1. Compósito Futuro</t>
  </si>
  <si>
    <t>Thumbs</t>
  </si>
  <si>
    <t>db</t>
  </si>
  <si>
    <t>20250415__P2025_018_BHP_Protocolo_Generación_Compósito</t>
  </si>
  <si>
    <t>20250703_P2025-018_Lab_Simul_Prel</t>
  </si>
  <si>
    <t>20250529_P2025-018_Comp_1750 gr</t>
  </si>
  <si>
    <t>xlsx</t>
  </si>
  <si>
    <t>20250701_BHP_SKT_Muestra_Futuro</t>
  </si>
  <si>
    <t>20250701_Pruebas_SKT_Compósito_Global</t>
  </si>
  <si>
    <t>20250723_Summary_Data</t>
  </si>
  <si>
    <t>20250529_Comparación_LS2_Lab (1)</t>
  </si>
  <si>
    <t>20250529_Distr_Granulom_Alim</t>
  </si>
  <si>
    <t>20250701_Mineralogía_Compósito_REPORTE</t>
  </si>
  <si>
    <t>202507_Mineralogía_Rel_Cl</t>
  </si>
  <si>
    <t>XLS</t>
  </si>
  <si>
    <t>20250612_Lab_Químico_BHP</t>
  </si>
  <si>
    <t>20250827_P2025-018 BHP Jameson PCCGTCA-1 (1)</t>
  </si>
  <si>
    <t>2. Circuito Rougher</t>
  </si>
  <si>
    <t>20250822_Concentrado_Rougher_Condición#1</t>
  </si>
  <si>
    <t>20250827_Slides_MonthlyMeeting</t>
  </si>
  <si>
    <t>20250901_P. Lab. 28-08-25</t>
  </si>
  <si>
    <t>20250829_FRX_Aminpro_PP_Calibrated</t>
  </si>
  <si>
    <t>FRX_Aminpro_SR - ReCalibrada</t>
  </si>
  <si>
    <t>OT-450 Aminpro 34 a 36</t>
  </si>
  <si>
    <t>Reporte Aminpro (34 al 36)</t>
  </si>
  <si>
    <t>Reporte Aminpro (27, 28, 31 al 33)</t>
  </si>
  <si>
    <t>OT-446 Aminpro 27 y 28 (Envio 10)</t>
  </si>
  <si>
    <t>OT-447 Aminpro 29 y 30 (Envio 11)</t>
  </si>
  <si>
    <t>OT-448 Aminpro 31 a 33 (Envio 12)</t>
  </si>
  <si>
    <t>Reporte Aminpro (29 y 30)</t>
  </si>
  <si>
    <t>Reporte Aminpro (25)</t>
  </si>
  <si>
    <t>OT-445 Aminpro 26 (Envio 9)</t>
  </si>
  <si>
    <t>Reporte Aminpro (26)</t>
  </si>
  <si>
    <t>OT-451 Aminpro 37 a 39</t>
  </si>
  <si>
    <t>Reporte Aminpro (37 al 39)</t>
  </si>
  <si>
    <t>OT-452 Aminpro 40 a 45</t>
  </si>
  <si>
    <t>Reporte Aminpro (40 al 45)</t>
  </si>
  <si>
    <t>3. Remolienda</t>
  </si>
  <si>
    <t>Curva Remolienda Referencia</t>
  </si>
  <si>
    <t>Summary_Regrind_Product_01072024 (1) (2)</t>
  </si>
  <si>
    <t>20250902_Producto_Remolienda_Conc._Condición_#1 (1)</t>
  </si>
  <si>
    <t>20251001_Producto_Remolienda_Conc._Condición_#2</t>
  </si>
  <si>
    <t>4. Circuito Cleaner</t>
  </si>
  <si>
    <t>20250826_Circuito Piloto Cleaner</t>
  </si>
  <si>
    <t>MM25-07483</t>
  </si>
  <si>
    <t>MM25-07513</t>
  </si>
  <si>
    <t>OT-453 Aminpro 46 a 48</t>
  </si>
  <si>
    <t>Reporte Aminpro (46 al 48)</t>
  </si>
  <si>
    <t>OT-460 Aminpro 49 a 53</t>
  </si>
  <si>
    <t>Reporte Aminpro (49 al 55)</t>
  </si>
  <si>
    <t>OT-461 Aminpro 54 y 55</t>
  </si>
  <si>
    <t>5. Pruebas Jameson</t>
  </si>
  <si>
    <t>20250909_P2025-018 BHP Jameson pruebas de flotación L-150 (1)</t>
  </si>
  <si>
    <t>6. Condiciones Operacionales LSL2</t>
  </si>
  <si>
    <t>20250513_Valid_CondExperim</t>
  </si>
  <si>
    <t>BHP_ES~1</t>
  </si>
  <si>
    <t>GranulCurve</t>
  </si>
  <si>
    <t>Llenar con Info Laguna Seca 2 (2)</t>
  </si>
  <si>
    <t>20250529_BHP_Estudio_JamAmin</t>
  </si>
  <si>
    <t>E-PLT-~1</t>
  </si>
  <si>
    <t>Jameson Flotation Cell Operatio</t>
  </si>
  <si>
    <t>P-OPE-027 Prueba de flotación SKT</t>
  </si>
  <si>
    <t>7. Mineral Actual LSL2</t>
  </si>
  <si>
    <t>20250723_BHP_Presentación</t>
  </si>
  <si>
    <t>202507_SKT_Pulpa_fresca_LSL2</t>
  </si>
  <si>
    <t>202507_Granul_Pulpa_fresca_LSL2</t>
  </si>
  <si>
    <t>Reporte Aminpro (14 al 16)</t>
  </si>
  <si>
    <t>xlsm</t>
  </si>
  <si>
    <t>8. Envió Muestras</t>
  </si>
  <si>
    <t>Planilla Envío Muestras SGS</t>
  </si>
  <si>
    <t>Proyecto S179</t>
  </si>
  <si>
    <t>Prueba Piloto Cleaner Condición #2</t>
  </si>
  <si>
    <t>Circuito Caso Base - Prueba #1</t>
  </si>
  <si>
    <t>22-09-2025 (Día)</t>
  </si>
  <si>
    <t>Circuito Caso Base - Prueba #2</t>
  </si>
  <si>
    <t>22-09-2025 (Noche)</t>
  </si>
  <si>
    <t>20250807-N</t>
  </si>
  <si>
    <t>Peso Pulpa     [gr]</t>
  </si>
  <si>
    <t>Peso Seco     [gr]</t>
  </si>
  <si>
    <t>Concentración de sólidos [%]</t>
  </si>
  <si>
    <t>Volumen Total     [lt]</t>
  </si>
  <si>
    <t>Aforo Total         [seg]</t>
  </si>
  <si>
    <t>A. Q.                    [% Cu]</t>
  </si>
  <si>
    <t>A. Q.                    [% Fe]</t>
  </si>
  <si>
    <t>20250804-D</t>
  </si>
  <si>
    <t>20250804-N</t>
  </si>
  <si>
    <t>20250805-D</t>
  </si>
  <si>
    <t>20250805-N</t>
  </si>
  <si>
    <t>20250806-D</t>
  </si>
  <si>
    <t>20250806-N</t>
  </si>
  <si>
    <t>20250807-D</t>
  </si>
  <si>
    <t>20250811-D</t>
  </si>
  <si>
    <t>20250811-N</t>
  </si>
  <si>
    <t>20250812-D</t>
  </si>
  <si>
    <t>20250812-N</t>
  </si>
  <si>
    <t>20250813-D</t>
  </si>
  <si>
    <t>20250813-N</t>
  </si>
  <si>
    <t>20250814-D</t>
  </si>
  <si>
    <t>COND#2</t>
  </si>
  <si>
    <t>COND 1#</t>
  </si>
  <si>
    <t>20250818-D</t>
  </si>
  <si>
    <t>20250818-N</t>
  </si>
  <si>
    <t>20250819-D</t>
  </si>
  <si>
    <t>20250819-N</t>
  </si>
  <si>
    <t>20250820-D</t>
  </si>
  <si>
    <t>20250820-N</t>
  </si>
  <si>
    <t>20250821-D</t>
  </si>
  <si>
    <t>20250821-N</t>
  </si>
  <si>
    <t>20250825-D</t>
  </si>
  <si>
    <t>20250825-N</t>
  </si>
  <si>
    <t>20250826-D</t>
  </si>
  <si>
    <t>20250826-N</t>
  </si>
  <si>
    <t>20250827-D</t>
  </si>
  <si>
    <t>20250827-N</t>
  </si>
  <si>
    <t>20250828-D</t>
  </si>
  <si>
    <t>20250828-N</t>
  </si>
  <si>
    <t xml:space="preserve">NODOS </t>
  </si>
  <si>
    <t>shift+alt+0</t>
  </si>
  <si>
    <t>FO Masas</t>
  </si>
  <si>
    <t xml:space="preserve">Tolerancias </t>
  </si>
  <si>
    <t xml:space="preserve">Medido </t>
  </si>
  <si>
    <t xml:space="preserve">Ajustado </t>
  </si>
  <si>
    <t xml:space="preserve">valor inicial </t>
  </si>
  <si>
    <t xml:space="preserve">Ley Cu </t>
  </si>
  <si>
    <t>FO Ley Cu</t>
  </si>
  <si>
    <t xml:space="preserve">Ley Fe </t>
  </si>
  <si>
    <t xml:space="preserve">Funcion Objetivo </t>
  </si>
  <si>
    <t>B Masa</t>
  </si>
  <si>
    <t>B Masa Cu</t>
  </si>
  <si>
    <t>B Masa Fe</t>
  </si>
  <si>
    <t>x2 - y 2</t>
  </si>
  <si>
    <t>7. Alim JMS</t>
  </si>
  <si>
    <t>8. Conc JMS</t>
  </si>
  <si>
    <t>9. Rel JMS</t>
  </si>
  <si>
    <t>10.Conc SCV</t>
  </si>
  <si>
    <t>12.Conc CL SCV</t>
  </si>
  <si>
    <t>13. Rel CL SCV</t>
  </si>
  <si>
    <t>sii</t>
  </si>
  <si>
    <t>Rec Cu Cl</t>
  </si>
  <si>
    <t>REC</t>
  </si>
  <si>
    <t>MASA</t>
  </si>
  <si>
    <t>Desbalace Masa</t>
  </si>
  <si>
    <t>Desbalace CuF</t>
  </si>
  <si>
    <t>Desbalace FeF</t>
  </si>
  <si>
    <t>Tolerancia</t>
  </si>
  <si>
    <t>Medido</t>
  </si>
  <si>
    <t>Ajustado</t>
  </si>
  <si>
    <t>Bal. Masa</t>
  </si>
  <si>
    <t>FO Ley Fe</t>
  </si>
  <si>
    <t>Masa, kph Empirica</t>
  </si>
  <si>
    <t>Ley, % Empirica</t>
  </si>
  <si>
    <t>Ley Fe, % Empirica</t>
  </si>
  <si>
    <t>Ley Cu</t>
  </si>
  <si>
    <t>Ley Fe</t>
  </si>
  <si>
    <t>F0</t>
  </si>
  <si>
    <t>Cobre Total</t>
  </si>
  <si>
    <t>Hierro Total</t>
  </si>
  <si>
    <t>Balance Cu</t>
  </si>
  <si>
    <t>Balance Fe</t>
  </si>
  <si>
    <t>Balance Masa</t>
  </si>
  <si>
    <t>DEFINICION DE SPLIT FACTOR</t>
  </si>
  <si>
    <t>Masa Cu</t>
  </si>
  <si>
    <t>Masa Fe</t>
  </si>
  <si>
    <t xml:space="preserve">Pilotaje Datos Medidos Jameson Pre Cleaner Scavenger - Septiembre </t>
  </si>
  <si>
    <t>ConC Ro</t>
  </si>
  <si>
    <t>Conc Scv</t>
  </si>
  <si>
    <t>Alim 1°Cl</t>
  </si>
  <si>
    <t>Conc 1°Cl</t>
  </si>
  <si>
    <t>Cola 1°Cl</t>
  </si>
  <si>
    <t>Conc Cl Scv</t>
  </si>
  <si>
    <t>Cola Cl Scv</t>
  </si>
  <si>
    <t>Cola Scv</t>
  </si>
  <si>
    <t xml:space="preserve">Balance Metalurgico Jameson Pre Cl Scv - Septiembre </t>
  </si>
  <si>
    <t>Bal Fino Cu Med</t>
  </si>
  <si>
    <t>Bal Fino Cu Aju</t>
  </si>
  <si>
    <t>Bal Fino Fe Med</t>
  </si>
  <si>
    <t>Bal Fino Fe Aju</t>
  </si>
  <si>
    <t xml:space="preserve">Desbalance Inicial </t>
  </si>
  <si>
    <t>Flujo masa ajus</t>
  </si>
  <si>
    <t xml:space="preserve">Cp, % Ajust </t>
  </si>
  <si>
    <t>Alim Scv</t>
  </si>
  <si>
    <t xml:space="preserve">Pilotaje Datos Medidos Cleaner  Septiembre </t>
  </si>
  <si>
    <t xml:space="preserve">Balance Metalurgico Cl Septiembre </t>
  </si>
  <si>
    <t>Cl</t>
  </si>
  <si>
    <t>Cl Scv</t>
  </si>
  <si>
    <t>Scv d</t>
  </si>
  <si>
    <t>Scv N</t>
  </si>
  <si>
    <t>Scv P</t>
  </si>
  <si>
    <t>%Cu Conc</t>
  </si>
  <si>
    <t>%Cu Alim</t>
  </si>
  <si>
    <t>Jms</t>
  </si>
  <si>
    <t xml:space="preserve">Alimentacion </t>
  </si>
  <si>
    <t>Cu%</t>
  </si>
  <si>
    <t>Sept</t>
  </si>
  <si>
    <t>Nov</t>
  </si>
  <si>
    <t>Dic</t>
  </si>
  <si>
    <t>Estos test de dilucion ocn que se alimentó (solo la Columna cleaner o tiene ambas cleaner)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</si>
</sst>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5" formatCode="&quot;$&quot;#,##0;&quot;$&quot;\-#,##0"/>
    <numFmt numFmtId="42" formatCode="_ &quot;$&quot;* #,##0_ ;_ &quot;$&quot;* \-#,##0_ ;_ &quot;$&quot;* &quot;-&quot;_ ;_ @_ "/>
    <numFmt numFmtId="41" formatCode="_ * #,##0_ ;_ * \-#,##0_ ;_ * &quot;-&quot;_ ;_ @_ "/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_-* #,##0_-;\-* #,##0_-;_-* &quot;-&quot;_-;_-@_-"/>
    <numFmt numFmtId="165" formatCode="_-* #,##0.00_-;\-* #,##0.00_-;_-* &quot;-&quot;??_-;_-@_-"/>
    <numFmt numFmtId="166" formatCode="0.0"/>
    <numFmt numFmtId="167" formatCode="0.000"/>
    <numFmt numFmtId="168" formatCode="0.0%"/>
    <numFmt numFmtId="169" formatCode="_-&quot;$&quot;\ * #,##0.00_-;\-&quot;$&quot;\ * #,##0.00_-;_-&quot;$&quot;\ * &quot;-&quot;??_-;_-@_-"/>
    <numFmt numFmtId="170" formatCode="_-[$€-2]\ * #,##0.00_-;\-[$€-2]\ * #,##0.00_-;_-[$€-2]\ * &quot;-&quot;??_-"/>
    <numFmt numFmtId="171" formatCode="_-&quot;$&quot;\ * #,##0_-;\-&quot;$&quot;\ * #,##0_-;_-&quot;$&quot;\ * &quot;-&quot;_-;_-@_-"/>
    <numFmt numFmtId="172" formatCode="_-* #.##000\ [$€]_-;\-* #.##000\ [$€]_-;_-* \-??\ [$€]_-;_-@_-"/>
    <numFmt numFmtId="173" formatCode="_-[$€]\ * #,##0.00_-;\-[$€]\ * #,##0.00_-;_-[$€]\ * &quot;-&quot;??_-;_-@_-"/>
    <numFmt numFmtId="174" formatCode="_-* #.##0.00\ [$€]_-;\-* #.##0.00\ [$€]_-;_-* &quot;-&quot;??\ [$€]_-;_-@_-"/>
    <numFmt numFmtId="175" formatCode="0_)"/>
    <numFmt numFmtId="176" formatCode="dddd&quot;, &quot;mmmm\ dd&quot;, &quot;yyyy"/>
    <numFmt numFmtId="177" formatCode="0.0000"/>
    <numFmt numFmtId="178" formatCode="0.0000000"/>
    <numFmt numFmtId="179" formatCode="\$#,##0\ ;\(\$#,##0\)"/>
    <numFmt numFmtId="180" formatCode="0.00000E+00;\_xddb8_"/>
    <numFmt numFmtId="181" formatCode="_(&quot;R$ &quot;* #,##0.00_);_(&quot;R$ &quot;* \(#,##0.00\);_(&quot;R$ &quot;* &quot;-&quot;??_);_(@_)"/>
    <numFmt numFmtId="182" formatCode="&quot;Ch$&quot;#,##0.00_);\(&quot;Ch$&quot;#,##0.00\)"/>
    <numFmt numFmtId="183" formatCode="&quot;Ch$&quot;#,##0_);\(&quot;Ch$&quot;#,##0\)"/>
    <numFmt numFmtId="184" formatCode="#,##0.0"/>
    <numFmt numFmtId="185" formatCode="0.0000%"/>
    <numFmt numFmtId="186" formatCode="m/d/yy\ h:mm:ss"/>
    <numFmt numFmtId="187" formatCode="#,##0.000"/>
    <numFmt numFmtId="188" formatCode="&quot;$&quot;#,##0\ ;\(&quot;$&quot;#,##0\)"/>
    <numFmt numFmtId="189" formatCode="0.00000"/>
  </numFmts>
  <fonts count="19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Tw Cen MT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sz val="11"/>
      <color theme="1"/>
      <name val="Arial"/>
      <family val="2"/>
    </font>
    <font>
      <sz val="12"/>
      <name val="Times New Roman"/>
      <family val="1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Times New Roman"/>
      <family val="1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rgb="FF9C6500"/>
      <name val="Aptos Narrow"/>
      <family val="2"/>
      <scheme val="minor"/>
    </font>
    <font>
      <sz val="8"/>
      <name val="MS Sans Serif"/>
      <charset val="1"/>
    </font>
    <font>
      <b/>
      <sz val="18"/>
      <color theme="3"/>
      <name val="Aptos Display"/>
      <family val="2"/>
      <scheme val="major"/>
    </font>
    <font>
      <sz val="11"/>
      <color rgb="FF000000"/>
      <name val="Calibri"/>
      <family val="2"/>
    </font>
    <font>
      <sz val="11"/>
      <color rgb="FFFF0000"/>
      <name val="Tw Cen MT"/>
      <family val="2"/>
    </font>
    <font>
      <sz val="1"/>
      <color indexed="8"/>
      <name val="Courier"/>
      <family val="3"/>
    </font>
    <font>
      <b/>
      <sz val="18"/>
      <color theme="3"/>
      <name val="Aptos Display"/>
      <family val="1"/>
      <scheme val="major"/>
    </font>
    <font>
      <sz val="12"/>
      <name val="Helv"/>
    </font>
    <font>
      <b/>
      <sz val="12"/>
      <color theme="1"/>
      <name val="Source Sans Pro"/>
      <family val="2"/>
    </font>
    <font>
      <sz val="11"/>
      <color theme="1"/>
      <name val="Source Sans Pro"/>
      <family val="2"/>
    </font>
    <font>
      <b/>
      <sz val="12"/>
      <color theme="0"/>
      <name val="Source Sans Pro"/>
      <family val="2"/>
    </font>
    <font>
      <b/>
      <sz val="11"/>
      <color theme="0"/>
      <name val="Source Sans Pro"/>
      <family val="2"/>
    </font>
    <font>
      <b/>
      <sz val="10"/>
      <color theme="0"/>
      <name val="Source Sans Pro"/>
      <family val="2"/>
    </font>
    <font>
      <sz val="11"/>
      <color rgb="FF252223"/>
      <name val="Source Sans Pro"/>
      <family val="2"/>
    </font>
    <font>
      <b/>
      <sz val="11"/>
      <color rgb="FF252223"/>
      <name val="Source Sans Pro"/>
      <family val="2"/>
    </font>
    <font>
      <b/>
      <sz val="11"/>
      <name val="Source Sans Pro"/>
      <family val="2"/>
    </font>
    <font>
      <sz val="11"/>
      <color theme="0"/>
      <name val="Source Sans Pro"/>
      <family val="2"/>
    </font>
    <font>
      <b/>
      <sz val="12.65"/>
      <color rgb="FF252223"/>
      <name val="Source Sans Pro"/>
      <family val="2"/>
    </font>
    <font>
      <b/>
      <sz val="10"/>
      <color theme="1"/>
      <name val="Source Sans Pro"/>
      <family val="2"/>
    </font>
    <font>
      <sz val="10"/>
      <color theme="1"/>
      <name val="Source Sans Pro"/>
      <family val="2"/>
    </font>
    <font>
      <b/>
      <sz val="11"/>
      <color theme="1"/>
      <name val="Source Sans Pro"/>
      <family val="2"/>
    </font>
    <font>
      <sz val="11"/>
      <color rgb="FFFF0000"/>
      <name val="Source Sans Pro"/>
      <family val="2"/>
    </font>
    <font>
      <sz val="10"/>
      <name val="Source Sans Pro"/>
      <family val="2"/>
    </font>
    <font>
      <sz val="11"/>
      <name val="Source Sans Pro"/>
      <family val="2"/>
    </font>
    <font>
      <b/>
      <sz val="11"/>
      <color rgb="FF0000FF"/>
      <name val="Aptos Narrow"/>
      <family val="2"/>
      <scheme val="minor"/>
    </font>
    <font>
      <sz val="11"/>
      <color rgb="FF000000"/>
      <name val="Source Sans Pro"/>
      <family val="2"/>
    </font>
    <font>
      <b/>
      <sz val="14"/>
      <color theme="1"/>
      <name val="Source Sans Pro"/>
      <family val="2"/>
    </font>
    <font>
      <sz val="12"/>
      <name val="Source Sans Pro"/>
      <family val="2"/>
    </font>
    <font>
      <b/>
      <sz val="12"/>
      <name val="Source Sans Pro"/>
      <family val="2"/>
    </font>
    <font>
      <sz val="12"/>
      <color theme="1"/>
      <name val="Aptos"/>
      <family val="2"/>
    </font>
    <font>
      <sz val="11"/>
      <color rgb="FF000000"/>
      <name val="Aptos Narrow"/>
      <family val="2"/>
    </font>
    <font>
      <b/>
      <sz val="9"/>
      <color theme="0"/>
      <name val="Source Sans Pro"/>
      <family val="2"/>
    </font>
    <font>
      <sz val="11"/>
      <color rgb="FF0070C0"/>
      <name val="Source Sans Pro"/>
      <family val="2"/>
    </font>
    <font>
      <b/>
      <sz val="11"/>
      <color rgb="FF0070C0"/>
      <name val="Source Sans Pro"/>
      <family val="2"/>
    </font>
    <font>
      <b/>
      <sz val="11"/>
      <color rgb="FFFF0000"/>
      <name val="Source Sans Pro"/>
      <family val="2"/>
    </font>
    <font>
      <i/>
      <sz val="11"/>
      <color theme="1"/>
      <name val="Source Sans Pro"/>
      <family val="2"/>
    </font>
    <font>
      <sz val="10"/>
      <color rgb="FF000000"/>
      <name val="Source Sans Pro"/>
      <family val="2"/>
    </font>
    <font>
      <u/>
      <sz val="11"/>
      <color theme="10"/>
      <name val="Source Sans Pro"/>
      <family val="2"/>
    </font>
    <font>
      <sz val="10"/>
      <name val="Calibri"/>
      <family val="2"/>
      <charset val="1"/>
    </font>
    <font>
      <b/>
      <sz val="10"/>
      <color theme="1"/>
      <name val="Arial"/>
      <family val="2"/>
    </font>
    <font>
      <sz val="11"/>
      <color theme="0" tint="-0.34998626667073579"/>
      <name val="Source Sans Pro"/>
      <family val="2"/>
    </font>
    <font>
      <b/>
      <sz val="11"/>
      <color rgb="FF008000"/>
      <name val="Source Sans Pro"/>
      <family val="2"/>
    </font>
    <font>
      <sz val="11"/>
      <color rgb="FF3F3F76"/>
      <name val="Source Sans Pro"/>
      <family val="2"/>
    </font>
    <font>
      <sz val="11"/>
      <color rgb="FF0000FF"/>
      <name val="Source Sans Pro"/>
      <family val="2"/>
    </font>
    <font>
      <sz val="11"/>
      <color rgb="FF963634"/>
      <name val="Source Sans Pro"/>
      <family val="2"/>
    </font>
    <font>
      <b/>
      <sz val="11"/>
      <color rgb="FF0000FF"/>
      <name val="Source Sans Pro"/>
      <family val="2"/>
    </font>
    <font>
      <i/>
      <sz val="11"/>
      <color rgb="FF7F7F7F"/>
      <name val="Source Sans Pro"/>
      <family val="2"/>
    </font>
    <font>
      <sz val="10"/>
      <color rgb="FF0000FF"/>
      <name val="Source Sans Pro"/>
      <family val="2"/>
    </font>
    <font>
      <sz val="11"/>
      <color rgb="FFFFFFFF"/>
      <name val="Source Sans Pro"/>
      <family val="2"/>
    </font>
    <font>
      <b/>
      <sz val="11"/>
      <color rgb="FFFFFFFF"/>
      <name val="Source Sans Pro"/>
      <family val="2"/>
    </font>
    <font>
      <sz val="11"/>
      <color rgb="FFA6A6A6"/>
      <name val="Source Sans Pro"/>
      <family val="2"/>
    </font>
    <font>
      <sz val="11"/>
      <color indexed="62"/>
      <name val="Source Sans Pro"/>
      <family val="2"/>
    </font>
    <font>
      <b/>
      <sz val="10"/>
      <name val="Source Sans Pro"/>
      <family val="2"/>
    </font>
    <font>
      <b/>
      <sz val="11"/>
      <color rgb="FF000000"/>
      <name val="Source Sans Pro"/>
      <family val="2"/>
    </font>
    <font>
      <b/>
      <sz val="10"/>
      <color rgb="FF000000"/>
      <name val="Source Sans Pro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Tw Cen MT"/>
      <family val="2"/>
    </font>
    <font>
      <b/>
      <sz val="10"/>
      <color theme="0"/>
      <name val="Tw Cen MT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10"/>
      <color indexed="9"/>
      <name val="Arial"/>
      <family val="2"/>
    </font>
    <font>
      <sz val="10"/>
      <name val="Courier"/>
      <family val="3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u/>
      <sz val="10"/>
      <name val="Arial"/>
      <family val="2"/>
    </font>
    <font>
      <sz val="12"/>
      <color indexed="24"/>
      <name val="Arial"/>
      <family val="2"/>
    </font>
    <font>
      <sz val="10"/>
      <name val="Helv"/>
    </font>
    <font>
      <sz val="5"/>
      <name val="Arial"/>
      <family val="2"/>
    </font>
    <font>
      <sz val="14"/>
      <name val="Arial"/>
      <family val="2"/>
    </font>
    <font>
      <sz val="6"/>
      <name val="Arial"/>
      <family val="2"/>
    </font>
    <font>
      <sz val="6"/>
      <name val="Times New Roman"/>
      <family val="1"/>
    </font>
    <font>
      <sz val="5"/>
      <name val="Times New Roman"/>
      <family val="1"/>
    </font>
    <font>
      <sz val="8"/>
      <name val="Helv"/>
    </font>
    <font>
      <i/>
      <sz val="10"/>
      <name val="Arial"/>
      <family val="2"/>
    </font>
    <font>
      <b/>
      <sz val="9"/>
      <name val="Arial"/>
      <family val="2"/>
    </font>
    <font>
      <sz val="18"/>
      <name val="Arial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0"/>
      <color rgb="FF0070C0"/>
      <name val="Tw Cen MT"/>
      <family val="2"/>
    </font>
    <font>
      <sz val="10"/>
      <color rgb="FF000000"/>
      <name val="Arial"/>
      <family val="2"/>
    </font>
    <font>
      <sz val="11"/>
      <color rgb="FFFFFFFF"/>
      <name val="Calibri"/>
      <family val="2"/>
    </font>
    <font>
      <sz val="11"/>
      <color rgb="FF008000"/>
      <name val="Calibri"/>
      <family val="2"/>
    </font>
    <font>
      <b/>
      <sz val="11"/>
      <color rgb="FFFF9900"/>
      <name val="Calibri"/>
      <family val="2"/>
    </font>
    <font>
      <b/>
      <sz val="11"/>
      <color rgb="FFFFFFFF"/>
      <name val="Calibri"/>
      <family val="2"/>
    </font>
    <font>
      <sz val="11"/>
      <color rgb="FFFF9900"/>
      <name val="Calibri"/>
      <family val="2"/>
    </font>
    <font>
      <b/>
      <sz val="11"/>
      <color rgb="FF003366"/>
      <name val="Calibri"/>
      <family val="2"/>
    </font>
    <font>
      <sz val="11"/>
      <color rgb="FF333399"/>
      <name val="Calibri"/>
      <family val="2"/>
    </font>
    <font>
      <sz val="10"/>
      <color rgb="FF000000"/>
      <name val="Times New Roman"/>
      <family val="1"/>
    </font>
    <font>
      <sz val="11"/>
      <color rgb="FF800080"/>
      <name val="Calibri"/>
      <family val="2"/>
    </font>
    <font>
      <sz val="11"/>
      <color rgb="FF993300"/>
      <name val="Calibri"/>
      <family val="2"/>
    </font>
    <font>
      <b/>
      <sz val="11"/>
      <color rgb="FF333333"/>
      <name val="Calibri"/>
      <family val="2"/>
    </font>
    <font>
      <sz val="11"/>
      <color rgb="FFFF0000"/>
      <name val="Calibri"/>
      <family val="2"/>
    </font>
    <font>
      <i/>
      <sz val="11"/>
      <color rgb="FF808080"/>
      <name val="Calibri"/>
      <family val="2"/>
    </font>
    <font>
      <b/>
      <sz val="15"/>
      <color rgb="FF003366"/>
      <name val="Calibri"/>
      <family val="2"/>
    </font>
    <font>
      <b/>
      <sz val="13"/>
      <color rgb="FF003366"/>
      <name val="Calibri"/>
      <family val="2"/>
    </font>
    <font>
      <b/>
      <sz val="18"/>
      <color rgb="FF003366"/>
      <name val="Cambria"/>
      <family val="1"/>
    </font>
    <font>
      <b/>
      <sz val="11"/>
      <color rgb="FF000000"/>
      <name val="Calibri"/>
      <family val="2"/>
    </font>
    <font>
      <b/>
      <sz val="12"/>
      <color theme="1"/>
      <name val="Aptos Narrow"/>
      <family val="2"/>
      <scheme val="minor"/>
    </font>
    <font>
      <sz val="11"/>
      <color theme="0"/>
      <name val="Arial"/>
      <family val="2"/>
    </font>
    <font>
      <sz val="10"/>
      <color indexed="24"/>
      <name val="Courier New"/>
      <family val="3"/>
    </font>
    <font>
      <b/>
      <sz val="16"/>
      <name val="Times New Roman"/>
      <family val="1"/>
    </font>
    <font>
      <b/>
      <sz val="11"/>
      <color rgb="FFFF0000"/>
      <name val="Aptos Narrow"/>
      <family val="2"/>
      <scheme val="minor"/>
    </font>
    <font>
      <b/>
      <sz val="11"/>
      <color rgb="FF008000"/>
      <name val="Aptos Narrow"/>
      <family val="2"/>
      <scheme val="minor"/>
    </font>
    <font>
      <sz val="11"/>
      <color theme="1"/>
      <name val="Calibri"/>
      <family val="2"/>
    </font>
    <font>
      <sz val="12"/>
      <color theme="3" tint="0.499984740745262"/>
      <name val="Source Sans Pro"/>
      <family val="2"/>
    </font>
    <font>
      <sz val="12"/>
      <color theme="1"/>
      <name val="Source Sans Pro"/>
      <family val="2"/>
    </font>
    <font>
      <sz val="11"/>
      <color theme="5"/>
      <name val="Source Sans Pro"/>
      <family val="2"/>
    </font>
    <font>
      <b/>
      <sz val="11"/>
      <color theme="1"/>
      <name val="Tw Cen MT"/>
      <family val="2"/>
    </font>
    <font>
      <sz val="10"/>
      <color rgb="FFFF0000"/>
      <name val="Arial"/>
      <family val="2"/>
    </font>
    <font>
      <b/>
      <sz val="10"/>
      <color theme="1"/>
      <name val="Calibri"/>
      <family val="2"/>
    </font>
    <font>
      <sz val="10"/>
      <color theme="0" tint="-0.499984740745262"/>
      <name val="Arial"/>
      <family val="2"/>
    </font>
    <font>
      <sz val="10"/>
      <color theme="1"/>
      <name val="Calibri"/>
      <family val="2"/>
    </font>
    <font>
      <sz val="11"/>
      <color theme="0" tint="-0.499984740745262"/>
      <name val="Aptos Narrow"/>
      <family val="2"/>
      <scheme val="minor"/>
    </font>
    <font>
      <b/>
      <sz val="11"/>
      <color theme="0"/>
      <name val="Tw Cen MT"/>
      <family val="2"/>
    </font>
    <font>
      <sz val="10"/>
      <color theme="1"/>
      <name val="Tw Cen MT"/>
      <family val="2"/>
    </font>
    <font>
      <b/>
      <sz val="14"/>
      <color theme="0"/>
      <name val="Source Sans Pro"/>
      <family val="2"/>
    </font>
    <font>
      <b/>
      <sz val="11"/>
      <color theme="0"/>
      <name val="Aptos Narrow"/>
      <family val="2"/>
    </font>
    <font>
      <sz val="9"/>
      <color rgb="FF000000"/>
      <name val="Tw Cen MT"/>
      <family val="2"/>
    </font>
    <font>
      <b/>
      <vertAlign val="superscript"/>
      <sz val="11"/>
      <color theme="0"/>
      <name val="Source Sans Pro"/>
      <family val="2"/>
    </font>
    <font>
      <sz val="9"/>
      <color theme="1"/>
      <name val="Arial"/>
      <family val="2"/>
    </font>
    <font>
      <i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sz val="11"/>
      <color rgb="FF00B050"/>
      <name val="Source Sans Pro"/>
      <family val="2"/>
    </font>
    <font>
      <b/>
      <i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0"/>
      <color theme="0"/>
      <name val="Arial"/>
      <family val="2"/>
    </font>
    <font>
      <sz val="9"/>
      <color theme="0"/>
      <name val="Arial"/>
      <family val="2"/>
    </font>
    <font>
      <b/>
      <sz val="18"/>
      <color theme="0"/>
      <name val="Aptos Narrow"/>
      <family val="2"/>
      <scheme val="minor"/>
    </font>
    <font>
      <b/>
      <sz val="11"/>
      <color rgb="FF00B050"/>
      <name val="Source Sans Pro"/>
      <family val="2"/>
    </font>
    <font>
      <b/>
      <sz val="9"/>
      <color rgb="FFFFFFFF"/>
      <name val="Tw Cen MT"/>
      <family val="2"/>
    </font>
    <font>
      <sz val="11"/>
      <color rgb="FF000000"/>
      <name val="Tw Cen MT"/>
      <family val="2"/>
    </font>
    <font>
      <b/>
      <sz val="11"/>
      <color rgb="FF000000"/>
      <name val="Tw Cen MT"/>
      <family val="2"/>
    </font>
    <font>
      <b/>
      <sz val="9"/>
      <color indexed="81"/>
      <name val="Tahoma"/>
      <family val="2"/>
    </font>
  </fonts>
  <fills count="17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80001220740379042"/>
        <bgColor indexed="64"/>
      </patternFill>
    </fill>
    <fill>
      <patternFill patternType="solid">
        <fgColor theme="5" tint="0.80001220740379042"/>
        <bgColor indexed="64"/>
      </patternFill>
    </fill>
    <fill>
      <patternFill patternType="solid">
        <fgColor theme="6" tint="0.80001220740379042"/>
        <bgColor indexed="64"/>
      </patternFill>
    </fill>
    <fill>
      <patternFill patternType="solid">
        <fgColor theme="7" tint="0.80001220740379042"/>
        <bgColor indexed="64"/>
      </patternFill>
    </fill>
    <fill>
      <patternFill patternType="solid">
        <fgColor theme="8" tint="0.80001220740379042"/>
        <bgColor indexed="64"/>
      </patternFill>
    </fill>
    <fill>
      <patternFill patternType="solid">
        <fgColor theme="9" tint="0.800012207403790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40000610370189521"/>
        <bgColor indexed="64"/>
      </patternFill>
    </fill>
    <fill>
      <patternFill patternType="solid">
        <fgColor theme="5" tint="0.40000610370189521"/>
        <bgColor indexed="64"/>
      </patternFill>
    </fill>
    <fill>
      <patternFill patternType="solid">
        <fgColor theme="6" tint="0.40000610370189521"/>
        <bgColor indexed="64"/>
      </patternFill>
    </fill>
    <fill>
      <patternFill patternType="solid">
        <fgColor theme="7" tint="0.40000610370189521"/>
        <bgColor indexed="64"/>
      </patternFill>
    </fill>
    <fill>
      <patternFill patternType="solid">
        <fgColor theme="8" tint="0.40000610370189521"/>
        <bgColor indexed="64"/>
      </patternFill>
    </fill>
    <fill>
      <patternFill patternType="solid">
        <fgColor theme="9" tint="0.400006103701895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0D8E8"/>
        <bgColor indexed="64"/>
      </patternFill>
    </fill>
    <fill>
      <patternFill patternType="solid">
        <fgColor rgb="FFE9EDF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rgb="FF99CCFF"/>
      </patternFill>
    </fill>
    <fill>
      <patternFill patternType="solid">
        <fgColor theme="0"/>
        <bgColor rgb="FFCCFFFF"/>
      </patternFill>
    </fill>
    <fill>
      <patternFill patternType="solid">
        <fgColor theme="3"/>
        <bgColor rgb="FF1F497D"/>
      </patternFill>
    </fill>
    <fill>
      <patternFill patternType="solid">
        <fgColor rgb="FFBFBFBF"/>
        <bgColor rgb="FF000000"/>
      </patternFill>
    </fill>
    <fill>
      <patternFill patternType="solid">
        <fgColor rgb="FF969696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indexed="2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1"/>
      </patternFill>
    </fill>
    <fill>
      <patternFill patternType="solid">
        <fgColor indexed="40"/>
      </patternFill>
    </fill>
    <fill>
      <patternFill patternType="solid">
        <fgColor indexed="54"/>
      </patternFill>
    </fill>
    <fill>
      <patternFill patternType="solid">
        <fgColor rgb="FFCCCCFF"/>
        <bgColor rgb="FFFFFFFF"/>
      </patternFill>
    </fill>
    <fill>
      <patternFill patternType="solid">
        <fgColor rgb="FFFF99CC"/>
        <bgColor rgb="FFFFFFFF"/>
      </patternFill>
    </fill>
    <fill>
      <patternFill patternType="solid">
        <fgColor rgb="FFCCFFCC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FCC99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FF8080"/>
        <bgColor rgb="FFFFFFFF"/>
      </patternFill>
    </fill>
    <fill>
      <patternFill patternType="solid">
        <fgColor rgb="FF00FF00"/>
        <bgColor rgb="FFFFFFFF"/>
      </patternFill>
    </fill>
    <fill>
      <patternFill patternType="solid">
        <fgColor rgb="FFFFCC00"/>
        <bgColor rgb="FFFFFFFF"/>
      </patternFill>
    </fill>
    <fill>
      <patternFill patternType="solid">
        <fgColor rgb="FF0066CC"/>
        <bgColor rgb="FFFFFFFF"/>
      </patternFill>
    </fill>
    <fill>
      <patternFill patternType="solid">
        <fgColor rgb="FF800080"/>
        <bgColor rgb="FFFFFFFF"/>
      </patternFill>
    </fill>
    <fill>
      <patternFill patternType="solid">
        <fgColor rgb="FF33CCCC"/>
        <bgColor rgb="FFFFFFFF"/>
      </patternFill>
    </fill>
    <fill>
      <patternFill patternType="solid">
        <fgColor rgb="FFFF990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969696"/>
        <bgColor rgb="FFFFFFFF"/>
      </patternFill>
    </fill>
    <fill>
      <patternFill patternType="solid">
        <fgColor rgb="FF333399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339966"/>
        <bgColor rgb="FFFFFFFF"/>
      </patternFill>
    </fill>
    <fill>
      <patternFill patternType="solid">
        <fgColor rgb="FFFF6600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0078BF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E284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</fills>
  <borders count="20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theme="1" tint="0.34998626667073579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3"/>
      </bottom>
      <diagonal/>
    </border>
    <border>
      <left/>
      <right/>
      <top style="medium">
        <color indexed="64"/>
      </top>
      <bottom style="thin">
        <color theme="3"/>
      </bottom>
      <diagonal/>
    </border>
    <border>
      <left/>
      <right style="medium">
        <color indexed="64"/>
      </right>
      <top style="medium">
        <color indexed="64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theme="3"/>
      </bottom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 style="medium">
        <color indexed="64"/>
      </right>
      <top style="thin">
        <color theme="3"/>
      </top>
      <bottom style="thin">
        <color theme="3"/>
      </bottom>
      <diagonal/>
    </border>
    <border>
      <left style="medium">
        <color indexed="64"/>
      </left>
      <right/>
      <top/>
      <bottom style="thin">
        <color theme="3"/>
      </bottom>
      <diagonal/>
    </border>
    <border>
      <left/>
      <right style="medium">
        <color indexed="64"/>
      </right>
      <top/>
      <bottom style="thin">
        <color theme="3"/>
      </bottom>
      <diagonal/>
    </border>
    <border>
      <left style="medium">
        <color indexed="64"/>
      </left>
      <right/>
      <top style="medium">
        <color indexed="64"/>
      </top>
      <bottom style="thin">
        <color theme="3" tint="0.89999084444715716"/>
      </bottom>
      <diagonal/>
    </border>
    <border>
      <left/>
      <right style="medium">
        <color indexed="64"/>
      </right>
      <top style="medium">
        <color indexed="64"/>
      </top>
      <bottom style="thin">
        <color theme="3" tint="0.89999084444715716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5717">
    <xf numFmtId="0" fontId="0" fillId="0" borderId="0"/>
    <xf numFmtId="9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  <xf numFmtId="0" fontId="2" fillId="0" borderId="0"/>
    <xf numFmtId="0" fontId="5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11" applyNumberFormat="0" applyFill="0" applyAlignment="0" applyProtection="0"/>
    <xf numFmtId="0" fontId="10" fillId="0" borderId="12" applyNumberFormat="0" applyFill="0" applyAlignment="0" applyProtection="0"/>
    <xf numFmtId="0" fontId="11" fillId="0" borderId="13" applyNumberFormat="0" applyFill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6" borderId="0" applyNumberFormat="0" applyBorder="0" applyAlignment="0" applyProtection="0"/>
    <xf numFmtId="0" fontId="15" fillId="7" borderId="14" applyNumberFormat="0" applyAlignment="0" applyProtection="0"/>
    <xf numFmtId="0" fontId="16" fillId="8" borderId="15" applyNumberFormat="0" applyAlignment="0" applyProtection="0"/>
    <xf numFmtId="0" fontId="17" fillId="8" borderId="14" applyNumberFormat="0" applyAlignment="0" applyProtection="0"/>
    <xf numFmtId="0" fontId="18" fillId="0" borderId="16" applyNumberFormat="0" applyFill="0" applyAlignment="0" applyProtection="0"/>
    <xf numFmtId="0" fontId="6" fillId="9" borderId="17" applyNumberFormat="0" applyAlignment="0" applyProtection="0"/>
    <xf numFmtId="0" fontId="19" fillId="0" borderId="0" applyNumberFormat="0" applyFill="0" applyBorder="0" applyAlignment="0" applyProtection="0"/>
    <xf numFmtId="0" fontId="1" fillId="10" borderId="18" applyNumberFormat="0" applyFont="0" applyAlignment="0" applyProtection="0"/>
    <xf numFmtId="0" fontId="20" fillId="0" borderId="0" applyNumberFormat="0" applyFill="0" applyBorder="0" applyAlignment="0" applyProtection="0"/>
    <xf numFmtId="0" fontId="7" fillId="0" borderId="19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2" fillId="0" borderId="0"/>
    <xf numFmtId="0" fontId="2" fillId="0" borderId="0"/>
    <xf numFmtId="9" fontId="1" fillId="0" borderId="0" applyFont="0" applyFill="0" applyBorder="0" applyAlignment="0" applyProtection="0"/>
    <xf numFmtId="0" fontId="1" fillId="0" borderId="0"/>
    <xf numFmtId="0" fontId="25" fillId="0" borderId="0"/>
    <xf numFmtId="0" fontId="1" fillId="0" borderId="0"/>
    <xf numFmtId="0" fontId="26" fillId="0" borderId="0"/>
    <xf numFmtId="9" fontId="2" fillId="0" borderId="0" applyFill="0" applyBorder="0" applyAlignment="0" applyProtection="0"/>
    <xf numFmtId="0" fontId="2" fillId="0" borderId="0"/>
    <xf numFmtId="170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169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1" fillId="0" borderId="0"/>
    <xf numFmtId="0" fontId="1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8" fillId="40" borderId="0" applyNumberFormat="0" applyBorder="0" applyAlignment="0" applyProtection="0"/>
    <xf numFmtId="0" fontId="28" fillId="41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5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43" borderId="0" applyNumberFormat="0" applyBorder="0" applyAlignment="0" applyProtection="0"/>
    <xf numFmtId="0" fontId="28" fillId="46" borderId="0" applyNumberFormat="0" applyBorder="0" applyAlignment="0" applyProtection="0"/>
    <xf numFmtId="0" fontId="28" fillId="49" borderId="0" applyNumberFormat="0" applyBorder="0" applyAlignment="0" applyProtection="0"/>
    <xf numFmtId="0" fontId="29" fillId="50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0" fontId="29" fillId="51" borderId="0" applyNumberFormat="0" applyBorder="0" applyAlignment="0" applyProtection="0"/>
    <xf numFmtId="0" fontId="29" fillId="52" borderId="0" applyNumberFormat="0" applyBorder="0" applyAlignment="0" applyProtection="0"/>
    <xf numFmtId="0" fontId="29" fillId="53" borderId="0" applyNumberFormat="0" applyBorder="0" applyAlignment="0" applyProtection="0"/>
    <xf numFmtId="0" fontId="30" fillId="42" borderId="0" applyNumberFormat="0" applyBorder="0" applyAlignment="0" applyProtection="0"/>
    <xf numFmtId="0" fontId="31" fillId="54" borderId="40" applyNumberFormat="0" applyAlignment="0" applyProtection="0"/>
    <xf numFmtId="0" fontId="32" fillId="55" borderId="41" applyNumberFormat="0" applyAlignment="0" applyProtection="0"/>
    <xf numFmtId="0" fontId="33" fillId="0" borderId="42" applyNumberFormat="0" applyFill="0" applyAlignment="0" applyProtection="0"/>
    <xf numFmtId="0" fontId="34" fillId="0" borderId="0" applyNumberFormat="0" applyFill="0" applyBorder="0" applyAlignment="0" applyProtection="0"/>
    <xf numFmtId="0" fontId="29" fillId="56" borderId="0" applyNumberFormat="0" applyBorder="0" applyAlignment="0" applyProtection="0"/>
    <xf numFmtId="0" fontId="29" fillId="57" borderId="0" applyNumberFormat="0" applyBorder="0" applyAlignment="0" applyProtection="0"/>
    <xf numFmtId="0" fontId="29" fillId="58" borderId="0" applyNumberFormat="0" applyBorder="0" applyAlignment="0" applyProtection="0"/>
    <xf numFmtId="0" fontId="29" fillId="51" borderId="0" applyNumberFormat="0" applyBorder="0" applyAlignment="0" applyProtection="0"/>
    <xf numFmtId="0" fontId="29" fillId="52" borderId="0" applyNumberFormat="0" applyBorder="0" applyAlignment="0" applyProtection="0"/>
    <xf numFmtId="0" fontId="29" fillId="59" borderId="0" applyNumberFormat="0" applyBorder="0" applyAlignment="0" applyProtection="0"/>
    <xf numFmtId="0" fontId="35" fillId="45" borderId="40" applyNumberFormat="0" applyAlignment="0" applyProtection="0"/>
    <xf numFmtId="0" fontId="2" fillId="0" borderId="0"/>
    <xf numFmtId="172" fontId="2" fillId="0" borderId="0" applyFill="0" applyBorder="0" applyAlignment="0" applyProtection="0"/>
    <xf numFmtId="172" fontId="2" fillId="0" borderId="0" applyFill="0" applyBorder="0" applyAlignment="0" applyProtection="0"/>
    <xf numFmtId="173" fontId="36" fillId="0" borderId="0" applyFont="0" applyFill="0" applyBorder="0" applyAlignment="0" applyProtection="0"/>
    <xf numFmtId="0" fontId="37" fillId="41" borderId="0" applyNumberFormat="0" applyBorder="0" applyAlignment="0" applyProtection="0"/>
    <xf numFmtId="0" fontId="38" fillId="6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61" borderId="43" applyNumberFormat="0" applyAlignment="0" applyProtection="0"/>
    <xf numFmtId="9" fontId="2" fillId="0" borderId="0" applyFill="0" applyBorder="0" applyAlignment="0" applyProtection="0"/>
    <xf numFmtId="9" fontId="2" fillId="0" borderId="0" applyFont="0" applyFill="0" applyBorder="0" applyAlignment="0" applyProtection="0"/>
    <xf numFmtId="0" fontId="39" fillId="54" borderId="44" applyNumberFormat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45" applyNumberFormat="0" applyFill="0" applyAlignment="0" applyProtection="0"/>
    <xf numFmtId="0" fontId="43" fillId="0" borderId="46" applyNumberFormat="0" applyFill="0" applyAlignment="0" applyProtection="0"/>
    <xf numFmtId="0" fontId="34" fillId="0" borderId="47" applyNumberFormat="0" applyFill="0" applyAlignment="0" applyProtection="0"/>
    <xf numFmtId="0" fontId="44" fillId="0" borderId="0" applyNumberFormat="0" applyFill="0" applyBorder="0" applyAlignment="0" applyProtection="0"/>
    <xf numFmtId="0" fontId="45" fillId="0" borderId="48" applyNumberFormat="0" applyFill="0" applyAlignment="0" applyProtection="0"/>
    <xf numFmtId="9" fontId="2" fillId="0" borderId="0" applyFont="0" applyFill="0" applyBorder="0" applyAlignment="0" applyProtection="0"/>
    <xf numFmtId="0" fontId="2" fillId="0" borderId="0"/>
    <xf numFmtId="2" fontId="2" fillId="0" borderId="0" applyFill="0" applyBorder="0" applyAlignment="0" applyProtection="0"/>
    <xf numFmtId="174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49" fontId="24" fillId="0" borderId="0"/>
    <xf numFmtId="0" fontId="22" fillId="0" borderId="0"/>
    <xf numFmtId="0" fontId="22" fillId="0" borderId="0"/>
    <xf numFmtId="0" fontId="2" fillId="0" borderId="0"/>
    <xf numFmtId="165" fontId="1" fillId="0" borderId="0" applyFont="0" applyFill="0" applyBorder="0" applyAlignment="0" applyProtection="0"/>
    <xf numFmtId="0" fontId="28" fillId="62" borderId="0" applyNumberFormat="0" applyBorder="0" applyAlignment="0" applyProtection="0"/>
    <xf numFmtId="0" fontId="28" fillId="63" borderId="0" applyNumberFormat="0" applyBorder="0" applyAlignment="0" applyProtection="0"/>
    <xf numFmtId="0" fontId="28" fillId="64" borderId="0" applyNumberFormat="0" applyBorder="0" applyAlignment="0" applyProtection="0"/>
    <xf numFmtId="0" fontId="28" fillId="65" borderId="0" applyNumberFormat="0" applyBorder="0" applyAlignment="0" applyProtection="0"/>
    <xf numFmtId="0" fontId="28" fillId="66" borderId="0" applyNumberFormat="0" applyBorder="0" applyAlignment="0" applyProtection="0"/>
    <xf numFmtId="0" fontId="28" fillId="67" borderId="0" applyNumberFormat="0" applyBorder="0" applyAlignment="0" applyProtection="0"/>
    <xf numFmtId="0" fontId="28" fillId="68" borderId="0" applyNumberFormat="0" applyBorder="0" applyAlignment="0" applyProtection="0"/>
    <xf numFmtId="0" fontId="28" fillId="69" borderId="0" applyNumberFormat="0" applyBorder="0" applyAlignment="0" applyProtection="0"/>
    <xf numFmtId="0" fontId="28" fillId="70" borderId="0" applyNumberFormat="0" applyBorder="0" applyAlignment="0" applyProtection="0"/>
    <xf numFmtId="0" fontId="28" fillId="65" borderId="0" applyNumberFormat="0" applyBorder="0" applyAlignment="0" applyProtection="0"/>
    <xf numFmtId="0" fontId="28" fillId="68" borderId="0" applyNumberFormat="0" applyBorder="0" applyAlignment="0" applyProtection="0"/>
    <xf numFmtId="0" fontId="28" fillId="71" borderId="0" applyNumberFormat="0" applyBorder="0" applyAlignment="0" applyProtection="0"/>
    <xf numFmtId="0" fontId="29" fillId="72" borderId="0" applyNumberFormat="0" applyBorder="0" applyAlignment="0" applyProtection="0"/>
    <xf numFmtId="0" fontId="29" fillId="69" borderId="0" applyNumberFormat="0" applyBorder="0" applyAlignment="0" applyProtection="0"/>
    <xf numFmtId="0" fontId="29" fillId="70" borderId="0" applyNumberFormat="0" applyBorder="0" applyAlignment="0" applyProtection="0"/>
    <xf numFmtId="0" fontId="29" fillId="73" borderId="0" applyNumberFormat="0" applyBorder="0" applyAlignment="0" applyProtection="0"/>
    <xf numFmtId="0" fontId="29" fillId="74" borderId="0" applyNumberFormat="0" applyBorder="0" applyAlignment="0" applyProtection="0"/>
    <xf numFmtId="0" fontId="29" fillId="75" borderId="0" applyNumberFormat="0" applyBorder="0" applyAlignment="0" applyProtection="0"/>
    <xf numFmtId="0" fontId="30" fillId="64" borderId="0" applyNumberFormat="0" applyBorder="0" applyAlignment="0" applyProtection="0"/>
    <xf numFmtId="0" fontId="31" fillId="76" borderId="40" applyNumberFormat="0" applyAlignment="0" applyProtection="0"/>
    <xf numFmtId="0" fontId="32" fillId="77" borderId="41" applyNumberFormat="0" applyAlignment="0" applyProtection="0"/>
    <xf numFmtId="0" fontId="29" fillId="78" borderId="0" applyNumberFormat="0" applyBorder="0" applyAlignment="0" applyProtection="0"/>
    <xf numFmtId="0" fontId="29" fillId="79" borderId="0" applyNumberFormat="0" applyBorder="0" applyAlignment="0" applyProtection="0"/>
    <xf numFmtId="0" fontId="29" fillId="80" borderId="0" applyNumberFormat="0" applyBorder="0" applyAlignment="0" applyProtection="0"/>
    <xf numFmtId="0" fontId="29" fillId="73" borderId="0" applyNumberFormat="0" applyBorder="0" applyAlignment="0" applyProtection="0"/>
    <xf numFmtId="0" fontId="29" fillId="74" borderId="0" applyNumberFormat="0" applyBorder="0" applyAlignment="0" applyProtection="0"/>
    <xf numFmtId="0" fontId="29" fillId="81" borderId="0" applyNumberFormat="0" applyBorder="0" applyAlignment="0" applyProtection="0"/>
    <xf numFmtId="0" fontId="35" fillId="67" borderId="40" applyNumberFormat="0" applyAlignment="0" applyProtection="0"/>
    <xf numFmtId="0" fontId="37" fillId="63" borderId="0" applyNumberFormat="0" applyBorder="0" applyAlignment="0" applyProtection="0"/>
    <xf numFmtId="0" fontId="38" fillId="82" borderId="0" applyNumberFormat="0" applyBorder="0" applyAlignment="0" applyProtection="0"/>
    <xf numFmtId="49" fontId="24" fillId="0" borderId="0"/>
    <xf numFmtId="0" fontId="2" fillId="0" borderId="0"/>
    <xf numFmtId="0" fontId="2" fillId="83" borderId="43" applyNumberFormat="0" applyFont="0" applyAlignment="0" applyProtection="0"/>
    <xf numFmtId="0" fontId="39" fillId="76" borderId="44" applyNumberFormat="0" applyAlignment="0" applyProtection="0"/>
    <xf numFmtId="0" fontId="25" fillId="0" borderId="0"/>
    <xf numFmtId="0" fontId="28" fillId="40" borderId="0" applyNumberFormat="0" applyBorder="0" applyAlignment="0" applyProtection="0"/>
    <xf numFmtId="0" fontId="28" fillId="41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5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43" borderId="0" applyNumberFormat="0" applyBorder="0" applyAlignment="0" applyProtection="0"/>
    <xf numFmtId="0" fontId="28" fillId="46" borderId="0" applyNumberFormat="0" applyBorder="0" applyAlignment="0" applyProtection="0"/>
    <xf numFmtId="0" fontId="28" fillId="49" borderId="0" applyNumberFormat="0" applyBorder="0" applyAlignment="0" applyProtection="0"/>
    <xf numFmtId="0" fontId="29" fillId="50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0" fontId="29" fillId="51" borderId="0" applyNumberFormat="0" applyBorder="0" applyAlignment="0" applyProtection="0"/>
    <xf numFmtId="0" fontId="29" fillId="52" borderId="0" applyNumberFormat="0" applyBorder="0" applyAlignment="0" applyProtection="0"/>
    <xf numFmtId="0" fontId="29" fillId="53" borderId="0" applyNumberFormat="0" applyBorder="0" applyAlignment="0" applyProtection="0"/>
    <xf numFmtId="0" fontId="30" fillId="42" borderId="0" applyNumberFormat="0" applyBorder="0" applyAlignment="0" applyProtection="0"/>
    <xf numFmtId="0" fontId="31" fillId="54" borderId="40" applyNumberFormat="0" applyAlignment="0" applyProtection="0"/>
    <xf numFmtId="0" fontId="32" fillId="55" borderId="41" applyNumberFormat="0" applyAlignment="0" applyProtection="0"/>
    <xf numFmtId="0" fontId="29" fillId="56" borderId="0" applyNumberFormat="0" applyBorder="0" applyAlignment="0" applyProtection="0"/>
    <xf numFmtId="0" fontId="29" fillId="57" borderId="0" applyNumberFormat="0" applyBorder="0" applyAlignment="0" applyProtection="0"/>
    <xf numFmtId="0" fontId="29" fillId="58" borderId="0" applyNumberFormat="0" applyBorder="0" applyAlignment="0" applyProtection="0"/>
    <xf numFmtId="0" fontId="29" fillId="51" borderId="0" applyNumberFormat="0" applyBorder="0" applyAlignment="0" applyProtection="0"/>
    <xf numFmtId="0" fontId="29" fillId="52" borderId="0" applyNumberFormat="0" applyBorder="0" applyAlignment="0" applyProtection="0"/>
    <xf numFmtId="0" fontId="29" fillId="59" borderId="0" applyNumberFormat="0" applyBorder="0" applyAlignment="0" applyProtection="0"/>
    <xf numFmtId="0" fontId="35" fillId="45" borderId="40" applyNumberFormat="0" applyAlignment="0" applyProtection="0"/>
    <xf numFmtId="172" fontId="2" fillId="0" borderId="0" applyFill="0" applyBorder="0" applyAlignment="0" applyProtection="0"/>
    <xf numFmtId="0" fontId="37" fillId="41" borderId="0" applyNumberFormat="0" applyBorder="0" applyAlignment="0" applyProtection="0"/>
    <xf numFmtId="0" fontId="38" fillId="60" borderId="0" applyNumberFormat="0" applyBorder="0" applyAlignment="0" applyProtection="0"/>
    <xf numFmtId="0" fontId="2" fillId="0" borderId="0"/>
    <xf numFmtId="0" fontId="2" fillId="61" borderId="43" applyNumberFormat="0" applyAlignment="0" applyProtection="0"/>
    <xf numFmtId="0" fontId="39" fillId="54" borderId="44" applyNumberFormat="0" applyAlignment="0" applyProtection="0"/>
    <xf numFmtId="0" fontId="31" fillId="54" borderId="40" applyNumberFormat="0" applyAlignment="0" applyProtection="0"/>
    <xf numFmtId="173" fontId="36" fillId="0" borderId="0" applyFont="0" applyFill="0" applyBorder="0" applyAlignment="0" applyProtection="0"/>
    <xf numFmtId="172" fontId="2" fillId="0" borderId="0" applyFill="0" applyBorder="0" applyAlignment="0" applyProtection="0"/>
    <xf numFmtId="0" fontId="21" fillId="14" borderId="0" applyNumberFormat="0" applyBorder="0" applyAlignment="0" applyProtection="0"/>
    <xf numFmtId="0" fontId="21" fillId="18" borderId="0" applyNumberFormat="0" applyBorder="0" applyAlignment="0" applyProtection="0"/>
    <xf numFmtId="0" fontId="21" fillId="22" borderId="0" applyNumberFormat="0" applyBorder="0" applyAlignment="0" applyProtection="0"/>
    <xf numFmtId="0" fontId="21" fillId="26" borderId="0" applyNumberFormat="0" applyBorder="0" applyAlignment="0" applyProtection="0"/>
    <xf numFmtId="0" fontId="21" fillId="30" borderId="0" applyNumberFormat="0" applyBorder="0" applyAlignment="0" applyProtection="0"/>
    <xf numFmtId="0" fontId="21" fillId="34" borderId="0" applyNumberFormat="0" applyBorder="0" applyAlignment="0" applyProtection="0"/>
    <xf numFmtId="0" fontId="46" fillId="6" borderId="0" applyNumberFormat="0" applyBorder="0" applyAlignment="0" applyProtection="0"/>
    <xf numFmtId="0" fontId="35" fillId="45" borderId="40" applyNumberFormat="0" applyAlignment="0" applyProtection="0"/>
    <xf numFmtId="0" fontId="2" fillId="61" borderId="43" applyNumberFormat="0" applyAlignment="0" applyProtection="0"/>
    <xf numFmtId="0" fontId="39" fillId="54" borderId="44" applyNumberFormat="0" applyAlignment="0" applyProtection="0"/>
    <xf numFmtId="0" fontId="45" fillId="0" borderId="48" applyNumberFormat="0" applyFill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21" fillId="14" borderId="0" applyNumberFormat="0" applyBorder="0" applyAlignment="0" applyProtection="0"/>
    <xf numFmtId="0" fontId="21" fillId="18" borderId="0" applyNumberFormat="0" applyBorder="0" applyAlignment="0" applyProtection="0"/>
    <xf numFmtId="0" fontId="21" fillId="22" borderId="0" applyNumberFormat="0" applyBorder="0" applyAlignment="0" applyProtection="0"/>
    <xf numFmtId="0" fontId="21" fillId="26" borderId="0" applyNumberFormat="0" applyBorder="0" applyAlignment="0" applyProtection="0"/>
    <xf numFmtId="0" fontId="21" fillId="30" borderId="0" applyNumberFormat="0" applyBorder="0" applyAlignment="0" applyProtection="0"/>
    <xf numFmtId="0" fontId="21" fillId="34" borderId="0" applyNumberFormat="0" applyBorder="0" applyAlignment="0" applyProtection="0"/>
    <xf numFmtId="0" fontId="21" fillId="11" borderId="0" applyNumberFormat="0" applyBorder="0" applyAlignment="0" applyProtection="0"/>
    <xf numFmtId="0" fontId="21" fillId="15" borderId="0" applyNumberFormat="0" applyBorder="0" applyAlignment="0" applyProtection="0"/>
    <xf numFmtId="0" fontId="21" fillId="19" borderId="0" applyNumberFormat="0" applyBorder="0" applyAlignment="0" applyProtection="0"/>
    <xf numFmtId="0" fontId="21" fillId="23" borderId="0" applyNumberFormat="0" applyBorder="0" applyAlignment="0" applyProtection="0"/>
    <xf numFmtId="0" fontId="21" fillId="27" borderId="0" applyNumberFormat="0" applyBorder="0" applyAlignment="0" applyProtection="0"/>
    <xf numFmtId="0" fontId="21" fillId="31" borderId="0" applyNumberFormat="0" applyBorder="0" applyAlignment="0" applyProtection="0"/>
    <xf numFmtId="0" fontId="13" fillId="5" borderId="0" applyNumberFormat="0" applyBorder="0" applyAlignment="0" applyProtection="0"/>
    <xf numFmtId="0" fontId="17" fillId="8" borderId="14" applyNumberFormat="0" applyAlignment="0" applyProtection="0"/>
    <xf numFmtId="0" fontId="6" fillId="9" borderId="17" applyNumberFormat="0" applyAlignment="0" applyProtection="0"/>
    <xf numFmtId="0" fontId="20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9" fillId="0" borderId="11" applyNumberFormat="0" applyFill="0" applyAlignment="0" applyProtection="0"/>
    <xf numFmtId="0" fontId="10" fillId="0" borderId="12" applyNumberFormat="0" applyFill="0" applyAlignment="0" applyProtection="0"/>
    <xf numFmtId="0" fontId="11" fillId="0" borderId="13" applyNumberFormat="0" applyFill="0" applyAlignment="0" applyProtection="0"/>
    <xf numFmtId="0" fontId="11" fillId="0" borderId="0" applyNumberFormat="0" applyFill="0" applyBorder="0" applyAlignment="0" applyProtection="0"/>
    <xf numFmtId="0" fontId="15" fillId="7" borderId="14" applyNumberFormat="0" applyAlignment="0" applyProtection="0"/>
    <xf numFmtId="0" fontId="18" fillId="0" borderId="16" applyNumberFormat="0" applyFill="0" applyAlignment="0" applyProtection="0"/>
    <xf numFmtId="0" fontId="47" fillId="10" borderId="18" applyNumberFormat="0" applyFont="0" applyAlignment="0" applyProtection="0"/>
    <xf numFmtId="0" fontId="16" fillId="8" borderId="15" applyNumberFormat="0" applyAlignment="0" applyProtection="0"/>
    <xf numFmtId="0" fontId="4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9" fillId="0" borderId="49"/>
    <xf numFmtId="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5" fillId="0" borderId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49" fillId="0" borderId="49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1" fillId="54" borderId="40" applyNumberFormat="0" applyAlignment="0" applyProtection="0"/>
    <xf numFmtId="0" fontId="35" fillId="45" borderId="40" applyNumberFormat="0" applyAlignment="0" applyProtection="0"/>
    <xf numFmtId="0" fontId="2" fillId="61" borderId="43" applyNumberFormat="0" applyAlignment="0" applyProtection="0"/>
    <xf numFmtId="0" fontId="39" fillId="54" borderId="44" applyNumberFormat="0" applyAlignment="0" applyProtection="0"/>
    <xf numFmtId="0" fontId="45" fillId="0" borderId="48" applyNumberFormat="0" applyFill="0" applyAlignment="0" applyProtection="0"/>
    <xf numFmtId="0" fontId="31" fillId="76" borderId="40" applyNumberFormat="0" applyAlignment="0" applyProtection="0"/>
    <xf numFmtId="0" fontId="35" fillId="67" borderId="40" applyNumberFormat="0" applyAlignment="0" applyProtection="0"/>
    <xf numFmtId="0" fontId="2" fillId="83" borderId="43" applyNumberFormat="0" applyFont="0" applyAlignment="0" applyProtection="0"/>
    <xf numFmtId="0" fontId="39" fillId="76" borderId="44" applyNumberFormat="0" applyAlignment="0" applyProtection="0"/>
    <xf numFmtId="0" fontId="31" fillId="54" borderId="40" applyNumberFormat="0" applyAlignment="0" applyProtection="0"/>
    <xf numFmtId="0" fontId="35" fillId="45" borderId="40" applyNumberFormat="0" applyAlignment="0" applyProtection="0"/>
    <xf numFmtId="0" fontId="2" fillId="61" borderId="43" applyNumberFormat="0" applyAlignment="0" applyProtection="0"/>
    <xf numFmtId="0" fontId="39" fillId="54" borderId="44" applyNumberFormat="0" applyAlignment="0" applyProtection="0"/>
    <xf numFmtId="0" fontId="31" fillId="54" borderId="40" applyNumberFormat="0" applyAlignment="0" applyProtection="0"/>
    <xf numFmtId="0" fontId="35" fillId="45" borderId="40" applyNumberFormat="0" applyAlignment="0" applyProtection="0"/>
    <xf numFmtId="0" fontId="2" fillId="61" borderId="43" applyNumberFormat="0" applyAlignment="0" applyProtection="0"/>
    <xf numFmtId="0" fontId="39" fillId="54" borderId="44" applyNumberFormat="0" applyAlignment="0" applyProtection="0"/>
    <xf numFmtId="0" fontId="45" fillId="0" borderId="48" applyNumberFormat="0" applyFill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8" fillId="62" borderId="0" applyNumberFormat="0" applyBorder="0" applyAlignment="0" applyProtection="0"/>
    <xf numFmtId="0" fontId="28" fillId="63" borderId="0" applyNumberFormat="0" applyBorder="0" applyAlignment="0" applyProtection="0"/>
    <xf numFmtId="0" fontId="28" fillId="64" borderId="0" applyNumberFormat="0" applyBorder="0" applyAlignment="0" applyProtection="0"/>
    <xf numFmtId="0" fontId="28" fillId="65" borderId="0" applyNumberFormat="0" applyBorder="0" applyAlignment="0" applyProtection="0"/>
    <xf numFmtId="0" fontId="28" fillId="66" borderId="0" applyNumberFormat="0" applyBorder="0" applyAlignment="0" applyProtection="0"/>
    <xf numFmtId="0" fontId="28" fillId="67" borderId="0" applyNumberFormat="0" applyBorder="0" applyAlignment="0" applyProtection="0"/>
    <xf numFmtId="0" fontId="28" fillId="68" borderId="0" applyNumberFormat="0" applyBorder="0" applyAlignment="0" applyProtection="0"/>
    <xf numFmtId="0" fontId="28" fillId="69" borderId="0" applyNumberFormat="0" applyBorder="0" applyAlignment="0" applyProtection="0"/>
    <xf numFmtId="0" fontId="28" fillId="70" borderId="0" applyNumberFormat="0" applyBorder="0" applyAlignment="0" applyProtection="0"/>
    <xf numFmtId="0" fontId="28" fillId="65" borderId="0" applyNumberFormat="0" applyBorder="0" applyAlignment="0" applyProtection="0"/>
    <xf numFmtId="0" fontId="28" fillId="68" borderId="0" applyNumberFormat="0" applyBorder="0" applyAlignment="0" applyProtection="0"/>
    <xf numFmtId="0" fontId="28" fillId="71" borderId="0" applyNumberFormat="0" applyBorder="0" applyAlignment="0" applyProtection="0"/>
    <xf numFmtId="0" fontId="29" fillId="72" borderId="0" applyNumberFormat="0" applyBorder="0" applyAlignment="0" applyProtection="0"/>
    <xf numFmtId="0" fontId="29" fillId="69" borderId="0" applyNumberFormat="0" applyBorder="0" applyAlignment="0" applyProtection="0"/>
    <xf numFmtId="0" fontId="29" fillId="70" borderId="0" applyNumberFormat="0" applyBorder="0" applyAlignment="0" applyProtection="0"/>
    <xf numFmtId="0" fontId="29" fillId="73" borderId="0" applyNumberFormat="0" applyBorder="0" applyAlignment="0" applyProtection="0"/>
    <xf numFmtId="0" fontId="29" fillId="74" borderId="0" applyNumberFormat="0" applyBorder="0" applyAlignment="0" applyProtection="0"/>
    <xf numFmtId="0" fontId="29" fillId="75" borderId="0" applyNumberFormat="0" applyBorder="0" applyAlignment="0" applyProtection="0"/>
    <xf numFmtId="0" fontId="29" fillId="78" borderId="0" applyNumberFormat="0" applyBorder="0" applyAlignment="0" applyProtection="0"/>
    <xf numFmtId="0" fontId="29" fillId="79" borderId="0" applyNumberFormat="0" applyBorder="0" applyAlignment="0" applyProtection="0"/>
    <xf numFmtId="0" fontId="29" fillId="80" borderId="0" applyNumberFormat="0" applyBorder="0" applyAlignment="0" applyProtection="0"/>
    <xf numFmtId="0" fontId="29" fillId="73" borderId="0" applyNumberFormat="0" applyBorder="0" applyAlignment="0" applyProtection="0"/>
    <xf numFmtId="0" fontId="29" fillId="74" borderId="0" applyNumberFormat="0" applyBorder="0" applyAlignment="0" applyProtection="0"/>
    <xf numFmtId="0" fontId="29" fillId="81" borderId="0" applyNumberFormat="0" applyBorder="0" applyAlignment="0" applyProtection="0"/>
    <xf numFmtId="0" fontId="37" fillId="63" borderId="0" applyNumberFormat="0" applyBorder="0" applyAlignment="0" applyProtection="0"/>
    <xf numFmtId="0" fontId="31" fillId="76" borderId="60" applyNumberFormat="0" applyAlignment="0" applyProtection="0"/>
    <xf numFmtId="0" fontId="32" fillId="77" borderId="41" applyNumberFormat="0" applyAlignment="0" applyProtection="0"/>
    <xf numFmtId="0" fontId="41" fillId="0" borderId="0" applyNumberFormat="0" applyFill="0" applyBorder="0" applyAlignment="0" applyProtection="0"/>
    <xf numFmtId="0" fontId="30" fillId="64" borderId="0" applyNumberFormat="0" applyBorder="0" applyAlignment="0" applyProtection="0"/>
    <xf numFmtId="0" fontId="42" fillId="0" borderId="45" applyNumberFormat="0" applyFill="0" applyAlignment="0" applyProtection="0"/>
    <xf numFmtId="0" fontId="43" fillId="0" borderId="46" applyNumberFormat="0" applyFill="0" applyAlignment="0" applyProtection="0"/>
    <xf numFmtId="0" fontId="34" fillId="0" borderId="47" applyNumberFormat="0" applyFill="0" applyAlignment="0" applyProtection="0"/>
    <xf numFmtId="0" fontId="34" fillId="0" borderId="0" applyNumberFormat="0" applyFill="0" applyBorder="0" applyAlignment="0" applyProtection="0"/>
    <xf numFmtId="0" fontId="35" fillId="67" borderId="60" applyNumberFormat="0" applyAlignment="0" applyProtection="0"/>
    <xf numFmtId="0" fontId="33" fillId="0" borderId="42" applyNumberFormat="0" applyFill="0" applyAlignment="0" applyProtection="0"/>
    <xf numFmtId="0" fontId="2" fillId="0" borderId="0"/>
    <xf numFmtId="0" fontId="1" fillId="0" borderId="0"/>
    <xf numFmtId="0" fontId="36" fillId="83" borderId="61" applyNumberFormat="0" applyFont="0" applyAlignment="0" applyProtection="0"/>
    <xf numFmtId="0" fontId="39" fillId="76" borderId="62" applyNumberFormat="0" applyAlignment="0" applyProtection="0"/>
    <xf numFmtId="0" fontId="24" fillId="0" borderId="21"/>
    <xf numFmtId="0" fontId="44" fillId="0" borderId="0" applyNumberFormat="0" applyFill="0" applyBorder="0" applyAlignment="0" applyProtection="0"/>
    <xf numFmtId="0" fontId="45" fillId="0" borderId="63" applyNumberFormat="0" applyFill="0" applyAlignment="0" applyProtection="0"/>
    <xf numFmtId="0" fontId="40" fillId="0" borderId="0" applyNumberFormat="0" applyFill="0" applyBorder="0" applyAlignment="0" applyProtection="0"/>
    <xf numFmtId="0" fontId="1" fillId="0" borderId="0"/>
    <xf numFmtId="170" fontId="2" fillId="0" borderId="0"/>
    <xf numFmtId="170" fontId="51" fillId="0" borderId="0">
      <protection locked="0"/>
    </xf>
    <xf numFmtId="0" fontId="46" fillId="6" borderId="0" applyNumberFormat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9" fillId="54" borderId="68" applyNumberFormat="0" applyAlignment="0" applyProtection="0"/>
    <xf numFmtId="0" fontId="31" fillId="54" borderId="60" applyNumberFormat="0" applyAlignment="0" applyProtection="0"/>
    <xf numFmtId="0" fontId="45" fillId="0" borderId="70" applyNumberFormat="0" applyFill="0" applyAlignment="0" applyProtection="0"/>
    <xf numFmtId="0" fontId="35" fillId="45" borderId="60" applyNumberFormat="0" applyAlignment="0" applyProtection="0"/>
    <xf numFmtId="0" fontId="2" fillId="61" borderId="61" applyNumberFormat="0" applyAlignment="0" applyProtection="0"/>
    <xf numFmtId="0" fontId="39" fillId="54" borderId="62" applyNumberFormat="0" applyAlignment="0" applyProtection="0"/>
    <xf numFmtId="0" fontId="31" fillId="76" borderId="60" applyNumberFormat="0" applyAlignment="0" applyProtection="0"/>
    <xf numFmtId="0" fontId="34" fillId="0" borderId="69" applyNumberFormat="0" applyFill="0" applyAlignment="0" applyProtection="0"/>
    <xf numFmtId="0" fontId="2" fillId="61" borderId="67" applyNumberFormat="0" applyAlignment="0" applyProtection="0"/>
    <xf numFmtId="0" fontId="35" fillId="67" borderId="60" applyNumberFormat="0" applyAlignment="0" applyProtection="0"/>
    <xf numFmtId="0" fontId="2" fillId="83" borderId="61" applyNumberFormat="0" applyFont="0" applyAlignment="0" applyProtection="0"/>
    <xf numFmtId="0" fontId="39" fillId="76" borderId="62" applyNumberFormat="0" applyAlignment="0" applyProtection="0"/>
    <xf numFmtId="0" fontId="31" fillId="54" borderId="60" applyNumberFormat="0" applyAlignment="0" applyProtection="0"/>
    <xf numFmtId="0" fontId="35" fillId="45" borderId="60" applyNumberFormat="0" applyAlignment="0" applyProtection="0"/>
    <xf numFmtId="0" fontId="2" fillId="61" borderId="61" applyNumberFormat="0" applyAlignment="0" applyProtection="0"/>
    <xf numFmtId="0" fontId="39" fillId="54" borderId="62" applyNumberFormat="0" applyAlignment="0" applyProtection="0"/>
    <xf numFmtId="0" fontId="31" fillId="54" borderId="60" applyNumberFormat="0" applyAlignment="0" applyProtection="0"/>
    <xf numFmtId="0" fontId="35" fillId="45" borderId="66" applyNumberFormat="0" applyAlignment="0" applyProtection="0"/>
    <xf numFmtId="0" fontId="35" fillId="45" borderId="60" applyNumberFormat="0" applyAlignment="0" applyProtection="0"/>
    <xf numFmtId="0" fontId="2" fillId="61" borderId="61" applyNumberFormat="0" applyAlignment="0" applyProtection="0"/>
    <xf numFmtId="0" fontId="39" fillId="54" borderId="62" applyNumberFormat="0" applyAlignment="0" applyProtection="0"/>
    <xf numFmtId="0" fontId="45" fillId="0" borderId="63" applyNumberFormat="0" applyFill="0" applyAlignment="0" applyProtection="0"/>
    <xf numFmtId="0" fontId="31" fillId="54" borderId="66" applyNumberFormat="0" applyAlignment="0" applyProtection="0"/>
    <xf numFmtId="0" fontId="39" fillId="54" borderId="68" applyNumberFormat="0" applyAlignment="0" applyProtection="0"/>
    <xf numFmtId="0" fontId="45" fillId="0" borderId="70" applyNumberFormat="0" applyFill="0" applyAlignment="0" applyProtection="0"/>
    <xf numFmtId="0" fontId="2" fillId="61" borderId="67" applyNumberFormat="0" applyAlignment="0" applyProtection="0"/>
    <xf numFmtId="0" fontId="35" fillId="45" borderId="66" applyNumberFormat="0" applyAlignment="0" applyProtection="0"/>
    <xf numFmtId="0" fontId="31" fillId="54" borderId="66" applyNumberFormat="0" applyAlignment="0" applyProtection="0"/>
    <xf numFmtId="0" fontId="2" fillId="83" borderId="67" applyNumberFormat="0" applyFont="0" applyAlignment="0" applyProtection="0"/>
    <xf numFmtId="0" fontId="2" fillId="61" borderId="67" applyNumberFormat="0" applyAlignment="0" applyProtection="0"/>
    <xf numFmtId="0" fontId="31" fillId="76" borderId="66" applyNumberFormat="0" applyAlignment="0" applyProtection="0"/>
    <xf numFmtId="0" fontId="39" fillId="54" borderId="68" applyNumberFormat="0" applyAlignment="0" applyProtection="0"/>
    <xf numFmtId="0" fontId="35" fillId="45" borderId="66" applyNumberFormat="0" applyAlignment="0" applyProtection="0"/>
    <xf numFmtId="0" fontId="31" fillId="54" borderId="66" applyNumberFormat="0" applyAlignment="0" applyProtection="0"/>
    <xf numFmtId="0" fontId="39" fillId="76" borderId="68" applyNumberFormat="0" applyAlignment="0" applyProtection="0"/>
    <xf numFmtId="0" fontId="35" fillId="67" borderId="66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1" fillId="54" borderId="60" applyNumberFormat="0" applyAlignment="0" applyProtection="0"/>
    <xf numFmtId="0" fontId="35" fillId="45" borderId="60" applyNumberFormat="0" applyAlignment="0" applyProtection="0"/>
    <xf numFmtId="0" fontId="2" fillId="61" borderId="61" applyNumberFormat="0" applyAlignment="0" applyProtection="0"/>
    <xf numFmtId="0" fontId="39" fillId="54" borderId="62" applyNumberFormat="0" applyAlignment="0" applyProtection="0"/>
    <xf numFmtId="0" fontId="45" fillId="0" borderId="63" applyNumberFormat="0" applyFill="0" applyAlignment="0" applyProtection="0"/>
    <xf numFmtId="0" fontId="31" fillId="76" borderId="60" applyNumberFormat="0" applyAlignment="0" applyProtection="0"/>
    <xf numFmtId="0" fontId="35" fillId="67" borderId="60" applyNumberFormat="0" applyAlignment="0" applyProtection="0"/>
    <xf numFmtId="0" fontId="2" fillId="83" borderId="61" applyNumberFormat="0" applyFont="0" applyAlignment="0" applyProtection="0"/>
    <xf numFmtId="0" fontId="39" fillId="76" borderId="62" applyNumberFormat="0" applyAlignment="0" applyProtection="0"/>
    <xf numFmtId="0" fontId="31" fillId="54" borderId="60" applyNumberFormat="0" applyAlignment="0" applyProtection="0"/>
    <xf numFmtId="0" fontId="35" fillId="45" borderId="60" applyNumberFormat="0" applyAlignment="0" applyProtection="0"/>
    <xf numFmtId="0" fontId="2" fillId="61" borderId="61" applyNumberFormat="0" applyAlignment="0" applyProtection="0"/>
    <xf numFmtId="0" fontId="39" fillId="54" borderId="62" applyNumberFormat="0" applyAlignment="0" applyProtection="0"/>
    <xf numFmtId="0" fontId="31" fillId="54" borderId="60" applyNumberFormat="0" applyAlignment="0" applyProtection="0"/>
    <xf numFmtId="0" fontId="35" fillId="45" borderId="60" applyNumberFormat="0" applyAlignment="0" applyProtection="0"/>
    <xf numFmtId="0" fontId="2" fillId="61" borderId="61" applyNumberFormat="0" applyAlignment="0" applyProtection="0"/>
    <xf numFmtId="0" fontId="39" fillId="54" borderId="62" applyNumberFormat="0" applyAlignment="0" applyProtection="0"/>
    <xf numFmtId="0" fontId="45" fillId="0" borderId="63" applyNumberFormat="0" applyFill="0" applyAlignment="0" applyProtection="0"/>
    <xf numFmtId="0" fontId="1" fillId="0" borderId="0"/>
    <xf numFmtId="0" fontId="1" fillId="86" borderId="0" applyNumberFormat="0" applyBorder="0" applyAlignment="0" applyProtection="0"/>
    <xf numFmtId="0" fontId="1" fillId="87" borderId="0" applyNumberFormat="0" applyBorder="0" applyAlignment="0" applyProtection="0"/>
    <xf numFmtId="0" fontId="1" fillId="88" borderId="0" applyNumberFormat="0" applyBorder="0" applyAlignment="0" applyProtection="0"/>
    <xf numFmtId="0" fontId="1" fillId="89" borderId="0" applyNumberFormat="0" applyBorder="0" applyAlignment="0" applyProtection="0"/>
    <xf numFmtId="0" fontId="1" fillId="90" borderId="0" applyNumberFormat="0" applyBorder="0" applyAlignment="0" applyProtection="0"/>
    <xf numFmtId="0" fontId="1" fillId="91" borderId="0" applyNumberFormat="0" applyBorder="0" applyAlignment="0" applyProtection="0"/>
    <xf numFmtId="0" fontId="1" fillId="92" borderId="0" applyNumberFormat="0" applyBorder="0" applyAlignment="0" applyProtection="0"/>
    <xf numFmtId="0" fontId="1" fillId="38" borderId="0" applyNumberFormat="0" applyBorder="0" applyAlignment="0" applyProtection="0"/>
    <xf numFmtId="0" fontId="1" fillId="93" borderId="0" applyNumberFormat="0" applyBorder="0" applyAlignment="0" applyProtection="0"/>
    <xf numFmtId="0" fontId="1" fillId="94" borderId="0" applyNumberFormat="0" applyBorder="0" applyAlignment="0" applyProtection="0"/>
    <xf numFmtId="0" fontId="1" fillId="95" borderId="0" applyNumberFormat="0" applyBorder="0" applyAlignment="0" applyProtection="0"/>
    <xf numFmtId="0" fontId="1" fillId="37" borderId="0" applyNumberFormat="0" applyBorder="0" applyAlignment="0" applyProtection="0"/>
    <xf numFmtId="0" fontId="21" fillId="96" borderId="0" applyNumberFormat="0" applyBorder="0" applyAlignment="0" applyProtection="0"/>
    <xf numFmtId="0" fontId="21" fillId="97" borderId="0" applyNumberFormat="0" applyBorder="0" applyAlignment="0" applyProtection="0"/>
    <xf numFmtId="0" fontId="21" fillId="98" borderId="0" applyNumberFormat="0" applyBorder="0" applyAlignment="0" applyProtection="0"/>
    <xf numFmtId="0" fontId="21" fillId="99" borderId="0" applyNumberFormat="0" applyBorder="0" applyAlignment="0" applyProtection="0"/>
    <xf numFmtId="0" fontId="21" fillId="100" borderId="0" applyNumberFormat="0" applyBorder="0" applyAlignment="0" applyProtection="0"/>
    <xf numFmtId="0" fontId="21" fillId="101" borderId="0" applyNumberFormat="0" applyBorder="0" applyAlignment="0" applyProtection="0"/>
    <xf numFmtId="0" fontId="21" fillId="2" borderId="0" applyNumberFormat="0" applyBorder="0" applyAlignment="0" applyProtection="0"/>
    <xf numFmtId="0" fontId="21" fillId="84" borderId="0" applyNumberFormat="0" applyBorder="0" applyAlignment="0" applyProtection="0"/>
    <xf numFmtId="0" fontId="21" fillId="102" borderId="0" applyNumberFormat="0" applyBorder="0" applyAlignment="0" applyProtection="0"/>
    <xf numFmtId="0" fontId="21" fillId="85" borderId="0" applyNumberFormat="0" applyBorder="0" applyAlignment="0" applyProtection="0"/>
    <xf numFmtId="0" fontId="21" fillId="103" borderId="0" applyNumberFormat="0" applyBorder="0" applyAlignment="0" applyProtection="0"/>
    <xf numFmtId="0" fontId="21" fillId="104" borderId="0" applyNumberFormat="0" applyBorder="0" applyAlignment="0" applyProtection="0"/>
    <xf numFmtId="0" fontId="13" fillId="105" borderId="0" applyNumberFormat="0" applyBorder="0" applyAlignment="0" applyProtection="0"/>
    <xf numFmtId="0" fontId="17" fillId="106" borderId="14" applyNumberFormat="0" applyAlignment="0" applyProtection="0"/>
    <xf numFmtId="0" fontId="6" fillId="107" borderId="17" applyNumberFormat="0" applyAlignment="0" applyProtection="0"/>
    <xf numFmtId="0" fontId="12" fillId="108" borderId="0" applyNumberFormat="0" applyBorder="0" applyAlignment="0" applyProtection="0"/>
    <xf numFmtId="0" fontId="15" fillId="109" borderId="14" applyNumberFormat="0" applyAlignment="0" applyProtection="0"/>
    <xf numFmtId="0" fontId="1" fillId="110" borderId="18" applyNumberFormat="0" applyFont="0" applyAlignment="0" applyProtection="0"/>
    <xf numFmtId="0" fontId="16" fillId="106" borderId="15" applyNumberFormat="0" applyAlignment="0" applyProtection="0"/>
    <xf numFmtId="0" fontId="52" fillId="0" borderId="0" applyNumberFormat="0" applyFill="0" applyBorder="0" applyAlignment="0" applyProtection="0"/>
    <xf numFmtId="175" fontId="53" fillId="0" borderId="0"/>
    <xf numFmtId="9" fontId="1" fillId="0" borderId="0" applyFont="0" applyFill="0" applyBorder="0" applyAlignment="0" applyProtection="0"/>
    <xf numFmtId="0" fontId="31" fillId="54" borderId="66" applyNumberFormat="0" applyAlignment="0" applyProtection="0"/>
    <xf numFmtId="0" fontId="35" fillId="45" borderId="66" applyNumberFormat="0" applyAlignment="0" applyProtection="0"/>
    <xf numFmtId="0" fontId="2" fillId="61" borderId="67" applyNumberFormat="0" applyAlignment="0" applyProtection="0"/>
    <xf numFmtId="0" fontId="39" fillId="54" borderId="68" applyNumberFormat="0" applyAlignment="0" applyProtection="0"/>
    <xf numFmtId="0" fontId="45" fillId="0" borderId="70" applyNumberFormat="0" applyFill="0" applyAlignment="0" applyProtection="0"/>
    <xf numFmtId="0" fontId="31" fillId="76" borderId="66" applyNumberFormat="0" applyAlignment="0" applyProtection="0"/>
    <xf numFmtId="0" fontId="35" fillId="67" borderId="66" applyNumberFormat="0" applyAlignment="0" applyProtection="0"/>
    <xf numFmtId="0" fontId="2" fillId="83" borderId="67" applyNumberFormat="0" applyFont="0" applyAlignment="0" applyProtection="0"/>
    <xf numFmtId="0" fontId="39" fillId="76" borderId="68" applyNumberFormat="0" applyAlignment="0" applyProtection="0"/>
    <xf numFmtId="0" fontId="31" fillId="54" borderId="66" applyNumberFormat="0" applyAlignment="0" applyProtection="0"/>
    <xf numFmtId="0" fontId="35" fillId="45" borderId="66" applyNumberFormat="0" applyAlignment="0" applyProtection="0"/>
    <xf numFmtId="0" fontId="2" fillId="61" borderId="67" applyNumberFormat="0" applyAlignment="0" applyProtection="0"/>
    <xf numFmtId="0" fontId="39" fillId="54" borderId="68" applyNumberFormat="0" applyAlignment="0" applyProtection="0"/>
    <xf numFmtId="0" fontId="31" fillId="54" borderId="66" applyNumberFormat="0" applyAlignment="0" applyProtection="0"/>
    <xf numFmtId="0" fontId="35" fillId="45" borderId="66" applyNumberFormat="0" applyAlignment="0" applyProtection="0"/>
    <xf numFmtId="0" fontId="2" fillId="61" borderId="67" applyNumberFormat="0" applyAlignment="0" applyProtection="0"/>
    <xf numFmtId="0" fontId="39" fillId="54" borderId="68" applyNumberFormat="0" applyAlignment="0" applyProtection="0"/>
    <xf numFmtId="0" fontId="45" fillId="0" borderId="70" applyNumberFormat="0" applyFill="0" applyAlignment="0" applyProtection="0"/>
    <xf numFmtId="0" fontId="70" fillId="39" borderId="14" applyNumberFormat="0" applyBorder="0" applyAlignment="0">
      <protection locked="0"/>
    </xf>
    <xf numFmtId="0" fontId="49" fillId="0" borderId="0"/>
    <xf numFmtId="2" fontId="2" fillId="0" borderId="0"/>
    <xf numFmtId="176" fontId="84" fillId="0" borderId="0">
      <alignment horizontal="right"/>
    </xf>
    <xf numFmtId="0" fontId="2" fillId="0" borderId="0"/>
    <xf numFmtId="0" fontId="35" fillId="67" borderId="102" applyNumberFormat="0" applyAlignment="0" applyProtection="0"/>
    <xf numFmtId="0" fontId="35" fillId="45" borderId="102" applyNumberFormat="0" applyAlignment="0" applyProtection="0"/>
    <xf numFmtId="43" fontId="2" fillId="0" borderId="0" applyFont="0" applyFill="0" applyBorder="0" applyAlignment="0" applyProtection="0"/>
    <xf numFmtId="0" fontId="2" fillId="0" borderId="0"/>
    <xf numFmtId="0" fontId="48" fillId="0" borderId="0" applyNumberFormat="0" applyFill="0" applyBorder="0" applyAlignment="0" applyProtection="0"/>
    <xf numFmtId="0" fontId="9" fillId="0" borderId="11" applyNumberFormat="0" applyFill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6" borderId="0" applyNumberFormat="0" applyBorder="0" applyAlignment="0" applyProtection="0"/>
    <xf numFmtId="0" fontId="21" fillId="34" borderId="0" applyNumberFormat="0" applyBorder="0" applyAlignment="0" applyProtection="0"/>
    <xf numFmtId="0" fontId="31" fillId="76" borderId="102" applyNumberFormat="0" applyAlignment="0" applyProtection="0"/>
    <xf numFmtId="0" fontId="31" fillId="76" borderId="102" applyNumberFormat="0" applyAlignment="0" applyProtection="0"/>
    <xf numFmtId="0" fontId="35" fillId="67" borderId="102" applyNumberFormat="0" applyAlignment="0" applyProtection="0"/>
    <xf numFmtId="0" fontId="34" fillId="0" borderId="69" applyNumberFormat="0" applyFill="0" applyAlignment="0" applyProtection="0"/>
    <xf numFmtId="0" fontId="28" fillId="0" borderId="0"/>
    <xf numFmtId="0" fontId="2" fillId="0" borderId="0"/>
    <xf numFmtId="0" fontId="28" fillId="0" borderId="0"/>
    <xf numFmtId="0" fontId="2" fillId="0" borderId="0"/>
    <xf numFmtId="0" fontId="2" fillId="83" borderId="126" applyNumberFormat="0" applyFont="0" applyAlignment="0" applyProtection="0"/>
    <xf numFmtId="0" fontId="28" fillId="10" borderId="18" applyNumberFormat="0" applyFont="0" applyAlignment="0" applyProtection="0"/>
    <xf numFmtId="0" fontId="28" fillId="10" borderId="18" applyNumberFormat="0" applyFont="0" applyAlignment="0" applyProtection="0"/>
    <xf numFmtId="0" fontId="28" fillId="10" borderId="18" applyNumberFormat="0" applyFont="0" applyAlignment="0" applyProtection="0"/>
    <xf numFmtId="0" fontId="28" fillId="10" borderId="18" applyNumberFormat="0" applyFont="0" applyAlignment="0" applyProtection="0"/>
    <xf numFmtId="0" fontId="1" fillId="10" borderId="18" applyNumberFormat="0" applyFont="0" applyAlignment="0" applyProtection="0"/>
    <xf numFmtId="0" fontId="28" fillId="83" borderId="126" applyNumberFormat="0" applyFont="0" applyAlignment="0" applyProtection="0"/>
    <xf numFmtId="0" fontId="39" fillId="76" borderId="127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9" fillId="76" borderId="127" applyNumberFormat="0" applyAlignment="0" applyProtection="0"/>
    <xf numFmtId="0" fontId="45" fillId="0" borderId="128" applyNumberFormat="0" applyFill="0" applyAlignment="0" applyProtection="0"/>
    <xf numFmtId="0" fontId="28" fillId="83" borderId="126" applyNumberFormat="0" applyFont="0" applyAlignment="0" applyProtection="0"/>
    <xf numFmtId="0" fontId="105" fillId="83" borderId="126" applyNumberFormat="0" applyFont="0" applyAlignment="0" applyProtection="0"/>
    <xf numFmtId="174" fontId="2" fillId="0" borderId="0"/>
    <xf numFmtId="9" fontId="2" fillId="0" borderId="0" applyFill="0" applyBorder="0" applyAlignment="0" applyProtection="0"/>
    <xf numFmtId="9" fontId="2" fillId="0" borderId="0" applyFont="0" applyFill="0" applyBorder="0" applyAlignment="0" applyProtection="0"/>
    <xf numFmtId="174" fontId="111" fillId="0" borderId="0">
      <alignment vertical="center"/>
    </xf>
    <xf numFmtId="174" fontId="2" fillId="123" borderId="0"/>
    <xf numFmtId="4" fontId="2" fillId="128" borderId="0"/>
    <xf numFmtId="174" fontId="2" fillId="0" borderId="0" applyFont="0" applyFill="0" applyBorder="0" applyAlignment="0" applyProtection="0"/>
    <xf numFmtId="174" fontId="102" fillId="0" borderId="0">
      <alignment vertical="top"/>
    </xf>
    <xf numFmtId="174" fontId="2" fillId="123" borderId="0"/>
    <xf numFmtId="174" fontId="110" fillId="129" borderId="0"/>
    <xf numFmtId="174" fontId="28" fillId="40" borderId="0" applyNumberFormat="0" applyBorder="0" applyAlignment="0" applyProtection="0"/>
    <xf numFmtId="174" fontId="28" fillId="62" borderId="0" applyNumberFormat="0" applyBorder="0" applyAlignment="0" applyProtection="0"/>
    <xf numFmtId="174" fontId="28" fillId="41" borderId="0" applyNumberFormat="0" applyBorder="0" applyAlignment="0" applyProtection="0"/>
    <xf numFmtId="174" fontId="28" fillId="63" borderId="0" applyNumberFormat="0" applyBorder="0" applyAlignment="0" applyProtection="0"/>
    <xf numFmtId="174" fontId="28" fillId="42" borderId="0" applyNumberFormat="0" applyBorder="0" applyAlignment="0" applyProtection="0"/>
    <xf numFmtId="174" fontId="28" fillId="64" borderId="0" applyNumberFormat="0" applyBorder="0" applyAlignment="0" applyProtection="0"/>
    <xf numFmtId="174" fontId="28" fillId="43" borderId="0" applyNumberFormat="0" applyBorder="0" applyAlignment="0" applyProtection="0"/>
    <xf numFmtId="174" fontId="28" fillId="65" borderId="0" applyNumberFormat="0" applyBorder="0" applyAlignment="0" applyProtection="0"/>
    <xf numFmtId="174" fontId="28" fillId="44" borderId="0" applyNumberFormat="0" applyBorder="0" applyAlignment="0" applyProtection="0"/>
    <xf numFmtId="174" fontId="28" fillId="45" borderId="0" applyNumberFormat="0" applyBorder="0" applyAlignment="0" applyProtection="0"/>
    <xf numFmtId="174" fontId="112" fillId="67" borderId="0" applyNumberFormat="0" applyBorder="0" applyAlignment="0" applyProtection="0">
      <alignment vertical="center"/>
    </xf>
    <xf numFmtId="174" fontId="112" fillId="69" borderId="0" applyNumberFormat="0" applyBorder="0" applyAlignment="0" applyProtection="0">
      <alignment vertical="center"/>
    </xf>
    <xf numFmtId="174" fontId="112" fillId="83" borderId="0" applyNumberFormat="0" applyBorder="0" applyAlignment="0" applyProtection="0">
      <alignment vertical="center"/>
    </xf>
    <xf numFmtId="174" fontId="112" fillId="67" borderId="0" applyNumberFormat="0" applyBorder="0" applyAlignment="0" applyProtection="0">
      <alignment vertical="center"/>
    </xf>
    <xf numFmtId="174" fontId="112" fillId="66" borderId="0" applyNumberFormat="0" applyBorder="0" applyAlignment="0" applyProtection="0">
      <alignment vertical="center"/>
    </xf>
    <xf numFmtId="174" fontId="112" fillId="83" borderId="0" applyNumberFormat="0" applyBorder="0" applyAlignment="0" applyProtection="0">
      <alignment vertical="center"/>
    </xf>
    <xf numFmtId="174" fontId="28" fillId="46" borderId="0" applyNumberFormat="0" applyBorder="0" applyAlignment="0" applyProtection="0"/>
    <xf numFmtId="174" fontId="28" fillId="47" borderId="0" applyNumberFormat="0" applyBorder="0" applyAlignment="0" applyProtection="0"/>
    <xf numFmtId="174" fontId="28" fillId="48" borderId="0" applyNumberFormat="0" applyBorder="0" applyAlignment="0" applyProtection="0"/>
    <xf numFmtId="174" fontId="28" fillId="70" borderId="0" applyNumberFormat="0" applyBorder="0" applyAlignment="0" applyProtection="0"/>
    <xf numFmtId="174" fontId="28" fillId="43" borderId="0" applyNumberFormat="0" applyBorder="0" applyAlignment="0" applyProtection="0"/>
    <xf numFmtId="174" fontId="28" fillId="46" borderId="0" applyNumberFormat="0" applyBorder="0" applyAlignment="0" applyProtection="0"/>
    <xf numFmtId="174" fontId="28" fillId="49" borderId="0" applyNumberFormat="0" applyBorder="0" applyAlignment="0" applyProtection="0"/>
    <xf numFmtId="174" fontId="112" fillId="76" borderId="0" applyNumberFormat="0" applyBorder="0" applyAlignment="0" applyProtection="0">
      <alignment vertical="center"/>
    </xf>
    <xf numFmtId="174" fontId="112" fillId="69" borderId="0" applyNumberFormat="0" applyBorder="0" applyAlignment="0" applyProtection="0">
      <alignment vertical="center"/>
    </xf>
    <xf numFmtId="174" fontId="112" fillId="82" borderId="0" applyNumberFormat="0" applyBorder="0" applyAlignment="0" applyProtection="0">
      <alignment vertical="center"/>
    </xf>
    <xf numFmtId="174" fontId="112" fillId="76" borderId="0" applyNumberFormat="0" applyBorder="0" applyAlignment="0" applyProtection="0">
      <alignment vertical="center"/>
    </xf>
    <xf numFmtId="174" fontId="112" fillId="68" borderId="0" applyNumberFormat="0" applyBorder="0" applyAlignment="0" applyProtection="0">
      <alignment vertical="center"/>
    </xf>
    <xf numFmtId="174" fontId="112" fillId="82" borderId="0" applyNumberFormat="0" applyBorder="0" applyAlignment="0" applyProtection="0">
      <alignment vertical="center"/>
    </xf>
    <xf numFmtId="174" fontId="29" fillId="50" borderId="0" applyNumberFormat="0" applyBorder="0" applyAlignment="0" applyProtection="0"/>
    <xf numFmtId="174" fontId="29" fillId="47" borderId="0" applyNumberFormat="0" applyBorder="0" applyAlignment="0" applyProtection="0"/>
    <xf numFmtId="174" fontId="29" fillId="48" borderId="0" applyNumberFormat="0" applyBorder="0" applyAlignment="0" applyProtection="0"/>
    <xf numFmtId="174" fontId="29" fillId="70" borderId="0" applyNumberFormat="0" applyBorder="0" applyAlignment="0" applyProtection="0"/>
    <xf numFmtId="174" fontId="29" fillId="51" borderId="0" applyNumberFormat="0" applyBorder="0" applyAlignment="0" applyProtection="0"/>
    <xf numFmtId="174" fontId="29" fillId="73" borderId="0" applyNumberFormat="0" applyBorder="0" applyAlignment="0" applyProtection="0"/>
    <xf numFmtId="174" fontId="29" fillId="52" borderId="0" applyNumberFormat="0" applyBorder="0" applyAlignment="0" applyProtection="0"/>
    <xf numFmtId="174" fontId="29" fillId="53" borderId="0" applyNumberFormat="0" applyBorder="0" applyAlignment="0" applyProtection="0"/>
    <xf numFmtId="174" fontId="29" fillId="75" borderId="0" applyNumberFormat="0" applyBorder="0" applyAlignment="0" applyProtection="0"/>
    <xf numFmtId="174" fontId="113" fillId="74" borderId="0" applyNumberFormat="0" applyBorder="0" applyAlignment="0" applyProtection="0">
      <alignment vertical="center"/>
    </xf>
    <xf numFmtId="174" fontId="113" fillId="69" borderId="0" applyNumberFormat="0" applyBorder="0" applyAlignment="0" applyProtection="0">
      <alignment vertical="center"/>
    </xf>
    <xf numFmtId="174" fontId="113" fillId="82" borderId="0" applyNumberFormat="0" applyBorder="0" applyAlignment="0" applyProtection="0">
      <alignment vertical="center"/>
    </xf>
    <xf numFmtId="174" fontId="113" fillId="76" borderId="0" applyNumberFormat="0" applyBorder="0" applyAlignment="0" applyProtection="0">
      <alignment vertical="center"/>
    </xf>
    <xf numFmtId="174" fontId="113" fillId="74" borderId="0" applyNumberFormat="0" applyBorder="0" applyAlignment="0" applyProtection="0">
      <alignment vertical="center"/>
    </xf>
    <xf numFmtId="174" fontId="113" fillId="69" borderId="0" applyNumberFormat="0" applyBorder="0" applyAlignment="0" applyProtection="0">
      <alignment vertical="center"/>
    </xf>
    <xf numFmtId="37" fontId="105" fillId="0" borderId="20" applyFont="0" applyBorder="0" applyAlignment="0">
      <alignment horizontal="centerContinuous"/>
    </xf>
    <xf numFmtId="174" fontId="111" fillId="0" borderId="0">
      <alignment vertical="center"/>
    </xf>
    <xf numFmtId="174" fontId="109" fillId="0" borderId="0" applyNumberFormat="0" applyFill="0" applyBorder="0" applyAlignment="0" applyProtection="0"/>
    <xf numFmtId="174" fontId="106" fillId="0" borderId="0" applyNumberFormat="0" applyFill="0" applyBorder="0" applyAlignment="0" applyProtection="0"/>
    <xf numFmtId="174" fontId="31" fillId="54" borderId="102" applyNumberFormat="0" applyAlignment="0" applyProtection="0"/>
    <xf numFmtId="1" fontId="114" fillId="0" borderId="0" applyFill="0" applyBorder="0">
      <alignment horizontal="center"/>
    </xf>
    <xf numFmtId="3" fontId="115" fillId="0" borderId="0" applyFont="0" applyFill="0" applyBorder="0" applyAlignment="0" applyProtection="0"/>
    <xf numFmtId="174" fontId="116" fillId="0" borderId="0"/>
    <xf numFmtId="3" fontId="2" fillId="0" borderId="0" applyFill="0" applyBorder="0" applyAlignment="0" applyProtection="0"/>
    <xf numFmtId="174" fontId="116" fillId="0" borderId="0"/>
    <xf numFmtId="179" fontId="115" fillId="0" borderId="0" applyFont="0" applyFill="0" applyBorder="0" applyAlignment="0" applyProtection="0"/>
    <xf numFmtId="174" fontId="115" fillId="0" borderId="0" applyFont="0" applyFill="0" applyBorder="0" applyAlignment="0" applyProtection="0"/>
    <xf numFmtId="174" fontId="117" fillId="0" borderId="0" applyNumberFormat="0" applyFill="0" applyBorder="0" applyAlignment="0" applyProtection="0"/>
    <xf numFmtId="174" fontId="106" fillId="0" borderId="0" applyNumberFormat="0" applyFill="0" applyBorder="0" applyAlignment="0" applyProtection="0"/>
    <xf numFmtId="174" fontId="29" fillId="56" borderId="0" applyNumberFormat="0" applyBorder="0" applyAlignment="0" applyProtection="0"/>
    <xf numFmtId="174" fontId="29" fillId="57" borderId="0" applyNumberFormat="0" applyBorder="0" applyAlignment="0" applyProtection="0"/>
    <xf numFmtId="174" fontId="29" fillId="58" borderId="0" applyNumberFormat="0" applyBorder="0" applyAlignment="0" applyProtection="0"/>
    <xf numFmtId="174" fontId="29" fillId="51" borderId="0" applyNumberFormat="0" applyBorder="0" applyAlignment="0" applyProtection="0"/>
    <xf numFmtId="174" fontId="29" fillId="52" borderId="0" applyNumberFormat="0" applyBorder="0" applyAlignment="0" applyProtection="0"/>
    <xf numFmtId="174" fontId="29" fillId="59" borderId="0" applyNumberFormat="0" applyBorder="0" applyAlignment="0" applyProtection="0"/>
    <xf numFmtId="174" fontId="2" fillId="0" borderId="0"/>
    <xf numFmtId="174" fontId="2" fillId="0" borderId="0"/>
    <xf numFmtId="174" fontId="2" fillId="0" borderId="0"/>
    <xf numFmtId="174" fontId="2" fillId="0" borderId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3" fontId="2" fillId="0" borderId="0" applyFill="0" applyBorder="0" applyAlignment="0" applyProtection="0"/>
    <xf numFmtId="3" fontId="118" fillId="0" borderId="0" applyFill="0" applyBorder="0" applyAlignment="0" applyProtection="0"/>
    <xf numFmtId="3" fontId="119" fillId="0" borderId="0" applyFill="0" applyBorder="0" applyAlignment="0" applyProtection="0"/>
    <xf numFmtId="3" fontId="120" fillId="0" borderId="0" applyFill="0" applyBorder="0" applyAlignment="0" applyProtection="0"/>
    <xf numFmtId="3" fontId="120" fillId="0" borderId="0" applyFill="0" applyBorder="0" applyAlignment="0" applyProtection="0"/>
    <xf numFmtId="3" fontId="26" fillId="0" borderId="0" applyFill="0" applyBorder="0" applyAlignment="0" applyProtection="0"/>
    <xf numFmtId="3" fontId="121" fillId="0" borderId="0" applyFill="0" applyBorder="0" applyAlignment="0" applyProtection="0"/>
    <xf numFmtId="174" fontId="2" fillId="0" borderId="0" applyFont="0" applyFill="0" applyBorder="0" applyAlignment="0" applyProtection="0"/>
    <xf numFmtId="2" fontId="115" fillId="0" borderId="0" applyFont="0" applyFill="0" applyBorder="0" applyAlignment="0" applyProtection="0"/>
    <xf numFmtId="174" fontId="37" fillId="41" borderId="0" applyNumberFormat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80" fontId="2" fillId="0" borderId="0" applyFont="0" applyProtection="0">
      <protection hidden="1"/>
    </xf>
    <xf numFmtId="181" fontId="2" fillId="0" borderId="0" applyFont="0" applyFill="0" applyBorder="0" applyAlignment="0" applyProtection="0"/>
    <xf numFmtId="5" fontId="2" fillId="0" borderId="0" applyFill="0" applyBorder="0" applyAlignment="0" applyProtection="0"/>
    <xf numFmtId="182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74" fontId="111" fillId="0" borderId="0"/>
    <xf numFmtId="174" fontId="122" fillId="0" borderId="0"/>
    <xf numFmtId="174" fontId="122" fillId="0" borderId="0"/>
    <xf numFmtId="174" fontId="122" fillId="0" borderId="0"/>
    <xf numFmtId="174" fontId="122" fillId="0" borderId="0"/>
    <xf numFmtId="174" fontId="122" fillId="0" borderId="0"/>
    <xf numFmtId="174" fontId="122" fillId="0" borderId="0"/>
    <xf numFmtId="174" fontId="122" fillId="0" borderId="0"/>
    <xf numFmtId="174" fontId="122" fillId="0" borderId="0"/>
    <xf numFmtId="174" fontId="116" fillId="0" borderId="0"/>
    <xf numFmtId="174" fontId="116" fillId="0" borderId="0"/>
    <xf numFmtId="174" fontId="116" fillId="0" borderId="0"/>
    <xf numFmtId="174" fontId="116" fillId="0" borderId="0"/>
    <xf numFmtId="174" fontId="116" fillId="0" borderId="0"/>
    <xf numFmtId="174" fontId="116" fillId="0" borderId="0"/>
    <xf numFmtId="174" fontId="116" fillId="0" borderId="0"/>
    <xf numFmtId="174" fontId="116" fillId="0" borderId="0"/>
    <xf numFmtId="174" fontId="28" fillId="0" borderId="0"/>
    <xf numFmtId="174" fontId="28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8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4" fontId="2" fillId="0" borderId="0"/>
    <xf numFmtId="174" fontId="2" fillId="0" borderId="0"/>
    <xf numFmtId="174" fontId="28" fillId="0" borderId="0"/>
    <xf numFmtId="174" fontId="28" fillId="83" borderId="126" applyNumberFormat="0" applyFont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184" fontId="2" fillId="0" borderId="0" applyFill="0" applyBorder="0" applyAlignment="0" applyProtection="0"/>
    <xf numFmtId="3" fontId="2" fillId="0" borderId="0" applyFont="0" applyFill="0" applyBorder="0" applyAlignment="0" applyProtection="0"/>
    <xf numFmtId="174" fontId="116" fillId="0" borderId="0"/>
    <xf numFmtId="3" fontId="2" fillId="0" borderId="0" applyFill="0" applyBorder="0" applyAlignment="0" applyProtection="0"/>
    <xf numFmtId="174" fontId="116" fillId="0" borderId="0"/>
    <xf numFmtId="185" fontId="2" fillId="0" borderId="0" applyFont="0" applyFill="0" applyBorder="0" applyAlignment="0" applyProtection="0"/>
    <xf numFmtId="174" fontId="2" fillId="0" borderId="141" applyNumberFormat="0" applyFont="0" applyFill="0" applyAlignment="0" applyProtection="0"/>
    <xf numFmtId="174" fontId="2" fillId="0" borderId="142" applyNumberFormat="0" applyFont="0" applyFill="0" applyAlignment="0" applyProtection="0"/>
    <xf numFmtId="174" fontId="2" fillId="0" borderId="143" applyNumberFormat="0" applyFont="0" applyFill="0" applyAlignment="0" applyProtection="0"/>
    <xf numFmtId="174" fontId="2" fillId="0" borderId="144" applyNumberFormat="0" applyFont="0" applyFill="0" applyAlignment="0" applyProtection="0"/>
    <xf numFmtId="174" fontId="2" fillId="0" borderId="145" applyNumberFormat="0" applyFont="0" applyFill="0" applyAlignment="0" applyProtection="0"/>
    <xf numFmtId="174" fontId="2" fillId="130" borderId="0" applyNumberFormat="0" applyFont="0" applyBorder="0" applyAlignment="0" applyProtection="0"/>
    <xf numFmtId="174" fontId="2" fillId="0" borderId="146" applyNumberFormat="0" applyFont="0" applyFill="0" applyAlignment="0" applyProtection="0"/>
    <xf numFmtId="174" fontId="2" fillId="0" borderId="147" applyNumberFormat="0" applyFont="0" applyFill="0" applyAlignment="0" applyProtection="0"/>
    <xf numFmtId="46" fontId="2" fillId="0" borderId="0" applyFont="0" applyFill="0" applyBorder="0" applyAlignment="0" applyProtection="0"/>
    <xf numFmtId="174" fontId="102" fillId="0" borderId="0" applyNumberFormat="0" applyFill="0" applyBorder="0" applyAlignment="0" applyProtection="0"/>
    <xf numFmtId="174" fontId="2" fillId="0" borderId="148" applyNumberFormat="0" applyFont="0" applyFill="0" applyAlignment="0" applyProtection="0"/>
    <xf numFmtId="174" fontId="2" fillId="0" borderId="149" applyNumberFormat="0" applyFont="0" applyFill="0" applyAlignment="0" applyProtection="0"/>
    <xf numFmtId="174" fontId="2" fillId="0" borderId="126" applyNumberFormat="0" applyFont="0" applyFill="0" applyAlignment="0" applyProtection="0"/>
    <xf numFmtId="174" fontId="2" fillId="0" borderId="150" applyNumberFormat="0" applyFont="0" applyFill="0" applyAlignment="0" applyProtection="0"/>
    <xf numFmtId="174" fontId="2" fillId="0" borderId="126" applyNumberFormat="0" applyFont="0" applyFill="0" applyAlignment="0" applyProtection="0"/>
    <xf numFmtId="174" fontId="2" fillId="0" borderId="0" applyNumberFormat="0" applyFont="0" applyFill="0" applyBorder="0" applyProtection="0">
      <alignment horizontal="center"/>
    </xf>
    <xf numFmtId="174" fontId="118" fillId="0" borderId="0" applyNumberFormat="0" applyFill="0" applyBorder="0" applyAlignment="0" applyProtection="0"/>
    <xf numFmtId="174" fontId="123" fillId="0" borderId="0" applyNumberFormat="0" applyFill="0" applyBorder="0" applyAlignment="0" applyProtection="0"/>
    <xf numFmtId="174" fontId="124" fillId="0" borderId="0" applyNumberFormat="0" applyFill="0" applyBorder="0" applyProtection="0">
      <alignment horizontal="left"/>
    </xf>
    <xf numFmtId="174" fontId="2" fillId="130" borderId="0" applyNumberFormat="0" applyFont="0" applyBorder="0" applyAlignment="0" applyProtection="0"/>
    <xf numFmtId="174" fontId="125" fillId="0" borderId="0" applyNumberFormat="0" applyFill="0" applyBorder="0" applyAlignment="0" applyProtection="0"/>
    <xf numFmtId="174" fontId="102" fillId="0" borderId="0" applyNumberFormat="0" applyFill="0" applyBorder="0" applyAlignment="0" applyProtection="0"/>
    <xf numFmtId="174" fontId="2" fillId="0" borderId="151" applyNumberFormat="0" applyFont="0" applyFill="0" applyAlignment="0" applyProtection="0"/>
    <xf numFmtId="174" fontId="2" fillId="0" borderId="152" applyNumberFormat="0" applyFont="0" applyFill="0" applyAlignment="0" applyProtection="0"/>
    <xf numFmtId="186" fontId="2" fillId="0" borderId="0" applyFont="0" applyFill="0" applyBorder="0" applyAlignment="0" applyProtection="0"/>
    <xf numFmtId="174" fontId="2" fillId="0" borderId="153" applyNumberFormat="0" applyFont="0" applyFill="0" applyAlignment="0" applyProtection="0"/>
    <xf numFmtId="174" fontId="2" fillId="0" borderId="154" applyNumberFormat="0" applyFont="0" applyFill="0" applyAlignment="0" applyProtection="0"/>
    <xf numFmtId="174" fontId="2" fillId="0" borderId="155" applyNumberFormat="0" applyFont="0" applyFill="0" applyAlignment="0" applyProtection="0"/>
    <xf numFmtId="174" fontId="2" fillId="0" borderId="156" applyNumberFormat="0" applyFont="0" applyFill="0" applyAlignment="0" applyProtection="0"/>
    <xf numFmtId="174" fontId="2" fillId="0" borderId="157" applyNumberFormat="0" applyFont="0" applyFill="0" applyAlignment="0" applyProtection="0"/>
    <xf numFmtId="174" fontId="39" fillId="54" borderId="127" applyNumberFormat="0" applyAlignment="0" applyProtection="0"/>
    <xf numFmtId="4" fontId="101" fillId="82" borderId="158" applyNumberFormat="0" applyProtection="0">
      <alignment vertical="center"/>
    </xf>
    <xf numFmtId="4" fontId="101" fillId="131" borderId="158" applyNumberFormat="0" applyProtection="0">
      <alignment horizontal="left" vertical="center" indent="1"/>
    </xf>
    <xf numFmtId="4" fontId="101" fillId="132" borderId="0" applyNumberFormat="0" applyProtection="0">
      <alignment horizontal="left" vertical="center" indent="1"/>
    </xf>
    <xf numFmtId="4" fontId="102" fillId="133" borderId="158" applyNumberFormat="0" applyProtection="0">
      <alignment horizontal="right" vertical="center"/>
    </xf>
    <xf numFmtId="4" fontId="102" fillId="134" borderId="158" applyNumberFormat="0" applyProtection="0">
      <alignment horizontal="left" vertical="center" indent="1"/>
    </xf>
    <xf numFmtId="174" fontId="102" fillId="132" borderId="158" applyNumberFormat="0" applyProtection="0">
      <alignment horizontal="left" vertical="top" indent="1"/>
    </xf>
    <xf numFmtId="40" fontId="108" fillId="0" borderId="0" applyFont="0" applyFill="0" applyBorder="0" applyAlignment="0" applyProtection="0"/>
    <xf numFmtId="174" fontId="41" fillId="0" borderId="0" applyNumberFormat="0" applyFill="0" applyBorder="0" applyAlignment="0" applyProtection="0"/>
    <xf numFmtId="174" fontId="44" fillId="0" borderId="0" applyNumberFormat="0" applyFill="0" applyBorder="0" applyAlignment="0" applyProtection="0"/>
    <xf numFmtId="174" fontId="42" fillId="0" borderId="45" applyNumberFormat="0" applyFill="0" applyAlignment="0" applyProtection="0"/>
    <xf numFmtId="174" fontId="43" fillId="0" borderId="46" applyNumberFormat="0" applyFill="0" applyAlignment="0" applyProtection="0"/>
    <xf numFmtId="174" fontId="34" fillId="0" borderId="69" applyNumberFormat="0" applyFill="0" applyAlignment="0" applyProtection="0"/>
    <xf numFmtId="1" fontId="107" fillId="0" borderId="0" applyFill="0" applyBorder="0" applyAlignment="0"/>
    <xf numFmtId="174" fontId="113" fillId="74" borderId="0" applyNumberFormat="0" applyBorder="0" applyAlignment="0" applyProtection="0">
      <alignment vertical="center"/>
    </xf>
    <xf numFmtId="174" fontId="113" fillId="79" borderId="0" applyNumberFormat="0" applyBorder="0" applyAlignment="0" applyProtection="0">
      <alignment vertical="center"/>
    </xf>
    <xf numFmtId="174" fontId="113" fillId="80" borderId="0" applyNumberFormat="0" applyBorder="0" applyAlignment="0" applyProtection="0">
      <alignment vertical="center"/>
    </xf>
    <xf numFmtId="174" fontId="113" fillId="135" borderId="0" applyNumberFormat="0" applyBorder="0" applyAlignment="0" applyProtection="0">
      <alignment vertical="center"/>
    </xf>
    <xf numFmtId="174" fontId="113" fillId="74" borderId="0" applyNumberFormat="0" applyBorder="0" applyAlignment="0" applyProtection="0">
      <alignment vertical="center"/>
    </xf>
    <xf numFmtId="174" fontId="113" fillId="81" borderId="0" applyNumberFormat="0" applyBorder="0" applyAlignment="0" applyProtection="0">
      <alignment vertical="center"/>
    </xf>
    <xf numFmtId="174" fontId="126" fillId="0" borderId="0" applyNumberFormat="0" applyFill="0" applyBorder="0" applyAlignment="0" applyProtection="0">
      <alignment vertical="center"/>
    </xf>
    <xf numFmtId="174" fontId="127" fillId="77" borderId="41" applyNumberFormat="0" applyAlignment="0" applyProtection="0">
      <alignment vertical="center"/>
    </xf>
    <xf numFmtId="174" fontId="128" fillId="82" borderId="0" applyNumberFormat="0" applyBorder="0" applyAlignment="0" applyProtection="0">
      <alignment vertical="center"/>
    </xf>
    <xf numFmtId="174" fontId="2" fillId="83" borderId="126" applyNumberFormat="0" applyFont="0" applyAlignment="0" applyProtection="0">
      <alignment vertical="center"/>
    </xf>
    <xf numFmtId="174" fontId="129" fillId="0" borderId="42" applyNumberFormat="0" applyFill="0" applyAlignment="0" applyProtection="0">
      <alignment vertical="center"/>
    </xf>
    <xf numFmtId="174" fontId="130" fillId="82" borderId="102" applyNumberFormat="0" applyAlignment="0" applyProtection="0">
      <alignment vertical="center"/>
    </xf>
    <xf numFmtId="174" fontId="131" fillId="130" borderId="127" applyNumberFormat="0" applyAlignment="0" applyProtection="0">
      <alignment vertical="center"/>
    </xf>
    <xf numFmtId="174" fontId="132" fillId="63" borderId="0" applyNumberFormat="0" applyBorder="0" applyAlignment="0" applyProtection="0">
      <alignment vertical="center"/>
    </xf>
    <xf numFmtId="174" fontId="2" fillId="0" borderId="0"/>
    <xf numFmtId="174" fontId="133" fillId="64" borderId="0" applyNumberFormat="0" applyBorder="0" applyAlignment="0" applyProtection="0">
      <alignment vertical="center"/>
    </xf>
    <xf numFmtId="174" fontId="134" fillId="0" borderId="159" applyNumberFormat="0" applyFill="0" applyAlignment="0" applyProtection="0">
      <alignment vertical="center"/>
    </xf>
    <xf numFmtId="174" fontId="135" fillId="0" borderId="46" applyNumberFormat="0" applyFill="0" applyAlignment="0" applyProtection="0">
      <alignment vertical="center"/>
    </xf>
    <xf numFmtId="174" fontId="136" fillId="0" borderId="160" applyNumberFormat="0" applyFill="0" applyAlignment="0" applyProtection="0">
      <alignment vertical="center"/>
    </xf>
    <xf numFmtId="174" fontId="136" fillId="0" borderId="0" applyNumberFormat="0" applyFill="0" applyBorder="0" applyAlignment="0" applyProtection="0">
      <alignment vertical="center"/>
    </xf>
    <xf numFmtId="174" fontId="137" fillId="130" borderId="102" applyNumberFormat="0" applyAlignment="0" applyProtection="0">
      <alignment vertical="center"/>
    </xf>
    <xf numFmtId="174" fontId="138" fillId="0" borderId="0" applyNumberFormat="0" applyFill="0" applyBorder="0" applyAlignment="0" applyProtection="0">
      <alignment vertical="center"/>
    </xf>
    <xf numFmtId="174" fontId="139" fillId="0" borderId="0" applyNumberFormat="0" applyFill="0" applyBorder="0" applyAlignment="0" applyProtection="0">
      <alignment vertical="center"/>
    </xf>
    <xf numFmtId="174" fontId="140" fillId="0" borderId="161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8" fillId="62" borderId="0" applyNumberFormat="0" applyBorder="0" applyAlignment="0" applyProtection="0"/>
    <xf numFmtId="0" fontId="28" fillId="63" borderId="0" applyNumberFormat="0" applyBorder="0" applyAlignment="0" applyProtection="0"/>
    <xf numFmtId="0" fontId="28" fillId="64" borderId="0" applyNumberFormat="0" applyBorder="0" applyAlignment="0" applyProtection="0"/>
    <xf numFmtId="0" fontId="28" fillId="65" borderId="0" applyNumberFormat="0" applyBorder="0" applyAlignment="0" applyProtection="0"/>
    <xf numFmtId="0" fontId="28" fillId="70" borderId="0" applyNumberFormat="0" applyBorder="0" applyAlignment="0" applyProtection="0"/>
    <xf numFmtId="0" fontId="29" fillId="70" borderId="0" applyNumberFormat="0" applyBorder="0" applyAlignment="0" applyProtection="0"/>
    <xf numFmtId="0" fontId="29" fillId="73" borderId="0" applyNumberFormat="0" applyBorder="0" applyAlignment="0" applyProtection="0"/>
    <xf numFmtId="0" fontId="29" fillId="75" borderId="0" applyNumberFormat="0" applyBorder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6" fillId="0" borderId="0"/>
    <xf numFmtId="0" fontId="28" fillId="83" borderId="126" applyNumberFormat="0" applyFont="0" applyAlignment="0" applyProtection="0"/>
    <xf numFmtId="0" fontId="28" fillId="83" borderId="126" applyNumberFormat="0" applyFont="0" applyAlignment="0" applyProtection="0"/>
    <xf numFmtId="0" fontId="2" fillId="0" borderId="145" applyNumberFormat="0" applyFont="0" applyFill="0" applyAlignment="0" applyProtection="0"/>
    <xf numFmtId="0" fontId="2" fillId="0" borderId="126" applyNumberFormat="0" applyFont="0" applyFill="0" applyAlignment="0" applyProtection="0"/>
    <xf numFmtId="0" fontId="2" fillId="0" borderId="150" applyNumberFormat="0" applyFont="0" applyFill="0" applyAlignment="0" applyProtection="0"/>
    <xf numFmtId="0" fontId="2" fillId="0" borderId="126" applyNumberFormat="0" applyFont="0" applyFill="0" applyAlignment="0" applyProtection="0"/>
    <xf numFmtId="0" fontId="2" fillId="0" borderId="152" applyNumberFormat="0" applyFont="0" applyFill="0" applyAlignment="0" applyProtection="0"/>
    <xf numFmtId="0" fontId="2" fillId="0" borderId="153" applyNumberFormat="0" applyFont="0" applyFill="0" applyAlignment="0" applyProtection="0"/>
    <xf numFmtId="0" fontId="2" fillId="0" borderId="154" applyNumberFormat="0" applyFont="0" applyFill="0" applyAlignment="0" applyProtection="0"/>
    <xf numFmtId="0" fontId="2" fillId="0" borderId="155" applyNumberFormat="0" applyFont="0" applyFill="0" applyAlignment="0" applyProtection="0"/>
    <xf numFmtId="0" fontId="2" fillId="0" borderId="156" applyNumberFormat="0" applyFont="0" applyFill="0" applyAlignment="0" applyProtection="0"/>
    <xf numFmtId="0" fontId="2" fillId="0" borderId="157" applyNumberFormat="0" applyFon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4" fontId="101" fillId="82" borderId="158" applyNumberFormat="0" applyProtection="0">
      <alignment vertical="center"/>
    </xf>
    <xf numFmtId="4" fontId="101" fillId="131" borderId="158" applyNumberFormat="0" applyProtection="0">
      <alignment horizontal="left" vertical="center" indent="1"/>
    </xf>
    <xf numFmtId="4" fontId="102" fillId="133" borderId="158" applyNumberFormat="0" applyProtection="0">
      <alignment horizontal="right" vertical="center"/>
    </xf>
    <xf numFmtId="4" fontId="102" fillId="134" borderId="158" applyNumberFormat="0" applyProtection="0">
      <alignment horizontal="left" vertical="center" indent="1"/>
    </xf>
    <xf numFmtId="0" fontId="102" fillId="132" borderId="158" applyNumberFormat="0" applyProtection="0">
      <alignment horizontal="left" vertical="top" indent="1"/>
    </xf>
    <xf numFmtId="0" fontId="127" fillId="77" borderId="41" applyNumberFormat="0" applyAlignment="0" applyProtection="0">
      <alignment vertical="center"/>
    </xf>
    <xf numFmtId="0" fontId="2" fillId="83" borderId="126" applyNumberFormat="0" applyFont="0" applyAlignment="0" applyProtection="0">
      <alignment vertical="center"/>
    </xf>
    <xf numFmtId="0" fontId="129" fillId="0" borderId="42" applyNumberFormat="0" applyFill="0" applyAlignment="0" applyProtection="0">
      <alignment vertical="center"/>
    </xf>
    <xf numFmtId="0" fontId="130" fillId="82" borderId="102" applyNumberFormat="0" applyAlignment="0" applyProtection="0">
      <alignment vertical="center"/>
    </xf>
    <xf numFmtId="0" fontId="131" fillId="130" borderId="127" applyNumberFormat="0" applyAlignment="0" applyProtection="0">
      <alignment vertical="center"/>
    </xf>
    <xf numFmtId="0" fontId="137" fillId="130" borderId="102" applyNumberFormat="0" applyAlignment="0" applyProtection="0">
      <alignment vertical="center"/>
    </xf>
    <xf numFmtId="0" fontId="140" fillId="0" borderId="161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2" fillId="0" borderId="0">
      <alignment vertical="top"/>
    </xf>
    <xf numFmtId="0" fontId="1" fillId="0" borderId="0"/>
    <xf numFmtId="41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11" applyNumberFormat="0" applyFill="0" applyAlignment="0" applyProtection="0"/>
    <xf numFmtId="41" fontId="1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41" fontId="1" fillId="0" borderId="0" applyFont="0" applyFill="0" applyBorder="0" applyAlignment="0" applyProtection="0"/>
    <xf numFmtId="0" fontId="49" fillId="0" borderId="0"/>
    <xf numFmtId="0" fontId="1" fillId="0" borderId="0"/>
    <xf numFmtId="49" fontId="24" fillId="0" borderId="0"/>
    <xf numFmtId="0" fontId="49" fillId="0" borderId="0"/>
    <xf numFmtId="0" fontId="12" fillId="4" borderId="0" applyNumberFormat="0" applyBorder="0" applyAlignment="0" applyProtection="0"/>
    <xf numFmtId="0" fontId="35" fillId="45" borderId="172" applyNumberFormat="0" applyAlignment="0" applyProtection="0"/>
    <xf numFmtId="0" fontId="21" fillId="14" borderId="0" applyNumberFormat="0" applyBorder="0" applyAlignment="0" applyProtection="0"/>
    <xf numFmtId="0" fontId="21" fillId="18" borderId="0" applyNumberFormat="0" applyBorder="0" applyAlignment="0" applyProtection="0"/>
    <xf numFmtId="0" fontId="21" fillId="22" borderId="0" applyNumberFormat="0" applyBorder="0" applyAlignment="0" applyProtection="0"/>
    <xf numFmtId="0" fontId="21" fillId="26" borderId="0" applyNumberFormat="0" applyBorder="0" applyAlignment="0" applyProtection="0"/>
    <xf numFmtId="0" fontId="21" fillId="30" borderId="0" applyNumberFormat="0" applyBorder="0" applyAlignment="0" applyProtection="0"/>
    <xf numFmtId="0" fontId="21" fillId="34" borderId="0" applyNumberFormat="0" applyBorder="0" applyAlignment="0" applyProtection="0"/>
    <xf numFmtId="0" fontId="46" fillId="6" borderId="0" applyNumberFormat="0" applyBorder="0" applyAlignment="0" applyProtection="0"/>
    <xf numFmtId="0" fontId="28" fillId="42" borderId="0" applyNumberFormat="0" applyBorder="0" applyAlignment="0" applyProtection="0"/>
    <xf numFmtId="0" fontId="1" fillId="0" borderId="0"/>
    <xf numFmtId="0" fontId="28" fillId="43" borderId="0" applyNumberFormat="0" applyBorder="0" applyAlignment="0" applyProtection="0"/>
    <xf numFmtId="0" fontId="28" fillId="41" borderId="0" applyNumberFormat="0" applyBorder="0" applyAlignment="0" applyProtection="0"/>
    <xf numFmtId="0" fontId="28" fillId="40" borderId="0" applyNumberFormat="0" applyBorder="0" applyAlignment="0" applyProtection="0"/>
    <xf numFmtId="0" fontId="29" fillId="53" borderId="0" applyNumberFormat="0" applyBorder="0" applyAlignment="0" applyProtection="0"/>
    <xf numFmtId="0" fontId="29" fillId="51" borderId="0" applyNumberFormat="0" applyBorder="0" applyAlignment="0" applyProtection="0"/>
    <xf numFmtId="0" fontId="2" fillId="0" borderId="0"/>
    <xf numFmtId="173" fontId="36" fillId="0" borderId="0" applyFont="0" applyFill="0" applyBorder="0" applyAlignment="0" applyProtection="0"/>
    <xf numFmtId="0" fontId="29" fillId="48" borderId="0" applyNumberFormat="0" applyBorder="0" applyAlignment="0" applyProtection="0"/>
    <xf numFmtId="172" fontId="2" fillId="0" borderId="0" applyFill="0" applyBorder="0" applyAlignment="0" applyProtection="0"/>
    <xf numFmtId="0" fontId="2" fillId="0" borderId="0"/>
    <xf numFmtId="0" fontId="28" fillId="4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61" borderId="126" applyNumberFormat="0" applyAlignment="0" applyProtection="0"/>
    <xf numFmtId="9" fontId="2" fillId="0" borderId="0" applyFill="0" applyBorder="0" applyAlignment="0" applyProtection="0"/>
    <xf numFmtId="0" fontId="34" fillId="0" borderId="69" applyNumberFormat="0" applyFill="0" applyAlignment="0" applyProtection="0"/>
    <xf numFmtId="0" fontId="2" fillId="0" borderId="0"/>
    <xf numFmtId="174" fontId="2" fillId="0" borderId="0" applyFont="0" applyFill="0" applyBorder="0" applyAlignment="0" applyProtection="0"/>
    <xf numFmtId="0" fontId="21" fillId="14" borderId="0" applyNumberFormat="0" applyBorder="0" applyAlignment="0" applyProtection="0"/>
    <xf numFmtId="0" fontId="21" fillId="18" borderId="0" applyNumberFormat="0" applyBorder="0" applyAlignment="0" applyProtection="0"/>
    <xf numFmtId="0" fontId="31" fillId="54" borderId="172" applyNumberFormat="0" applyAlignment="0" applyProtection="0"/>
    <xf numFmtId="0" fontId="21" fillId="30" borderId="0" applyNumberFormat="0" applyBorder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1" fillId="0" borderId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17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49" fillId="0" borderId="0" applyFont="0" applyFill="0" applyBorder="0" applyAlignment="0" applyProtection="0"/>
    <xf numFmtId="0" fontId="142" fillId="0" borderId="0"/>
    <xf numFmtId="9" fontId="142" fillId="0" borderId="0" applyFill="0" applyBorder="0" applyAlignment="0" applyProtection="0"/>
    <xf numFmtId="0" fontId="142" fillId="0" borderId="0"/>
    <xf numFmtId="0" fontId="49" fillId="0" borderId="0"/>
    <xf numFmtId="0" fontId="142" fillId="0" borderId="0"/>
    <xf numFmtId="9" fontId="142" fillId="0" borderId="0" applyFill="0" applyBorder="0" applyAlignment="0" applyProtection="0"/>
    <xf numFmtId="0" fontId="49" fillId="136" borderId="0" applyNumberFormat="0" applyBorder="0" applyAlignment="0" applyProtection="0"/>
    <xf numFmtId="0" fontId="49" fillId="137" borderId="0" applyNumberFormat="0" applyBorder="0" applyAlignment="0" applyProtection="0"/>
    <xf numFmtId="0" fontId="49" fillId="138" borderId="0" applyNumberFormat="0" applyBorder="0" applyAlignment="0" applyProtection="0"/>
    <xf numFmtId="0" fontId="49" fillId="139" borderId="0" applyNumberFormat="0" applyBorder="0" applyAlignment="0" applyProtection="0"/>
    <xf numFmtId="0" fontId="49" fillId="140" borderId="0" applyNumberFormat="0" applyBorder="0" applyAlignment="0" applyProtection="0"/>
    <xf numFmtId="0" fontId="49" fillId="141" borderId="0" applyNumberFormat="0" applyBorder="0" applyAlignment="0" applyProtection="0"/>
    <xf numFmtId="0" fontId="49" fillId="142" borderId="0" applyNumberFormat="0" applyBorder="0" applyAlignment="0" applyProtection="0"/>
    <xf numFmtId="0" fontId="49" fillId="143" borderId="0" applyNumberFormat="0" applyBorder="0" applyAlignment="0" applyProtection="0"/>
    <xf numFmtId="0" fontId="49" fillId="144" borderId="0" applyNumberFormat="0" applyBorder="0" applyAlignment="0" applyProtection="0"/>
    <xf numFmtId="0" fontId="49" fillId="139" borderId="0" applyNumberFormat="0" applyBorder="0" applyAlignment="0" applyProtection="0"/>
    <xf numFmtId="0" fontId="49" fillId="142" borderId="0" applyNumberFormat="0" applyBorder="0" applyAlignment="0" applyProtection="0"/>
    <xf numFmtId="0" fontId="49" fillId="145" borderId="0" applyNumberFormat="0" applyBorder="0" applyAlignment="0" applyProtection="0"/>
    <xf numFmtId="0" fontId="143" fillId="146" borderId="0" applyNumberFormat="0" applyBorder="0" applyAlignment="0" applyProtection="0"/>
    <xf numFmtId="0" fontId="143" fillId="143" borderId="0" applyNumberFormat="0" applyBorder="0" applyAlignment="0" applyProtection="0"/>
    <xf numFmtId="0" fontId="143" fillId="144" borderId="0" applyNumberFormat="0" applyBorder="0" applyAlignment="0" applyProtection="0"/>
    <xf numFmtId="0" fontId="143" fillId="147" borderId="0" applyNumberFormat="0" applyBorder="0" applyAlignment="0" applyProtection="0"/>
    <xf numFmtId="0" fontId="143" fillId="148" borderId="0" applyNumberFormat="0" applyBorder="0" applyAlignment="0" applyProtection="0"/>
    <xf numFmtId="0" fontId="143" fillId="149" borderId="0" applyNumberFormat="0" applyBorder="0" applyAlignment="0" applyProtection="0"/>
    <xf numFmtId="0" fontId="144" fillId="138" borderId="0" applyNumberFormat="0" applyBorder="0" applyAlignment="0" applyProtection="0"/>
    <xf numFmtId="0" fontId="145" fillId="150" borderId="163" applyNumberFormat="0" applyAlignment="0" applyProtection="0"/>
    <xf numFmtId="0" fontId="146" fillId="151" borderId="164" applyNumberFormat="0" applyAlignment="0" applyProtection="0"/>
    <xf numFmtId="0" fontId="147" fillId="0" borderId="165" applyNumberFormat="0" applyFill="0" applyAlignment="0" applyProtection="0"/>
    <xf numFmtId="0" fontId="148" fillId="0" borderId="0" applyNumberFormat="0" applyFill="0" applyBorder="0" applyAlignment="0" applyProtection="0"/>
    <xf numFmtId="0" fontId="143" fillId="152" borderId="0" applyNumberFormat="0" applyBorder="0" applyAlignment="0" applyProtection="0"/>
    <xf numFmtId="0" fontId="143" fillId="153" borderId="0" applyNumberFormat="0" applyBorder="0" applyAlignment="0" applyProtection="0"/>
    <xf numFmtId="0" fontId="143" fillId="154" borderId="0" applyNumberFormat="0" applyBorder="0" applyAlignment="0" applyProtection="0"/>
    <xf numFmtId="0" fontId="143" fillId="147" borderId="0" applyNumberFormat="0" applyBorder="0" applyAlignment="0" applyProtection="0"/>
    <xf numFmtId="0" fontId="143" fillId="148" borderId="0" applyNumberFormat="0" applyBorder="0" applyAlignment="0" applyProtection="0"/>
    <xf numFmtId="0" fontId="143" fillId="155" borderId="0" applyNumberFormat="0" applyBorder="0" applyAlignment="0" applyProtection="0"/>
    <xf numFmtId="0" fontId="149" fillId="141" borderId="163" applyNumberFormat="0" applyAlignment="0" applyProtection="0"/>
    <xf numFmtId="0" fontId="142" fillId="0" borderId="0"/>
    <xf numFmtId="172" fontId="142" fillId="0" borderId="0" applyFill="0" applyBorder="0" applyAlignment="0" applyProtection="0"/>
    <xf numFmtId="172" fontId="142" fillId="0" borderId="0" applyFill="0" applyBorder="0" applyAlignment="0" applyProtection="0"/>
    <xf numFmtId="173" fontId="150" fillId="0" borderId="0" applyFont="0" applyFill="0" applyBorder="0" applyAlignment="0" applyProtection="0"/>
    <xf numFmtId="0" fontId="151" fillId="137" borderId="0" applyNumberFormat="0" applyBorder="0" applyAlignment="0" applyProtection="0"/>
    <xf numFmtId="0" fontId="152" fillId="156" borderId="0" applyNumberFormat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49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157" borderId="166" applyNumberFormat="0" applyAlignment="0" applyProtection="0"/>
    <xf numFmtId="9" fontId="142" fillId="0" borderId="0" applyFill="0" applyBorder="0" applyAlignment="0" applyProtection="0"/>
    <xf numFmtId="9" fontId="142" fillId="0" borderId="0" applyFont="0" applyFill="0" applyBorder="0" applyAlignment="0" applyProtection="0"/>
    <xf numFmtId="9" fontId="142" fillId="0" borderId="0" applyFont="0" applyFill="0" applyBorder="0" applyAlignment="0" applyProtection="0"/>
    <xf numFmtId="0" fontId="153" fillId="150" borderId="167" applyNumberFormat="0" applyAlignment="0" applyProtection="0"/>
    <xf numFmtId="0" fontId="154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6" fillId="0" borderId="168" applyNumberFormat="0" applyFill="0" applyAlignment="0" applyProtection="0"/>
    <xf numFmtId="0" fontId="157" fillId="0" borderId="169" applyNumberFormat="0" applyFill="0" applyAlignment="0" applyProtection="0"/>
    <xf numFmtId="0" fontId="148" fillId="0" borderId="170" applyNumberFormat="0" applyFill="0" applyAlignment="0" applyProtection="0"/>
    <xf numFmtId="0" fontId="158" fillId="0" borderId="0" applyNumberFormat="0" applyFill="0" applyBorder="0" applyAlignment="0" applyProtection="0"/>
    <xf numFmtId="0" fontId="159" fillId="0" borderId="171" applyNumberFormat="0" applyFill="0" applyAlignment="0" applyProtection="0"/>
    <xf numFmtId="9" fontId="49" fillId="0" borderId="0" applyFont="0" applyFill="0" applyBorder="0" applyAlignment="0" applyProtection="0"/>
    <xf numFmtId="9" fontId="142" fillId="0" borderId="0" applyFont="0" applyFill="0" applyBorder="0" applyAlignment="0" applyProtection="0"/>
    <xf numFmtId="0" fontId="142" fillId="0" borderId="0"/>
    <xf numFmtId="0" fontId="142" fillId="0" borderId="0"/>
    <xf numFmtId="2" fontId="142" fillId="0" borderId="0" applyFill="0" applyBorder="0" applyAlignment="0" applyProtection="0"/>
    <xf numFmtId="174" fontId="142" fillId="0" borderId="0" applyFont="0" applyFill="0" applyBorder="0" applyAlignment="0" applyProtection="0"/>
    <xf numFmtId="0" fontId="142" fillId="0" borderId="0"/>
    <xf numFmtId="0" fontId="49" fillId="0" borderId="0"/>
    <xf numFmtId="0" fontId="142" fillId="0" borderId="0"/>
    <xf numFmtId="169" fontId="142" fillId="0" borderId="0" applyFont="0" applyFill="0" applyBorder="0" applyAlignment="0" applyProtection="0"/>
    <xf numFmtId="0" fontId="1" fillId="0" borderId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8" fillId="0" borderId="16" applyNumberFormat="0" applyFill="0" applyAlignment="0" applyProtection="0"/>
    <xf numFmtId="0" fontId="11" fillId="0" borderId="0" applyNumberFormat="0" applyFill="0" applyBorder="0" applyAlignment="0" applyProtection="0"/>
    <xf numFmtId="0" fontId="21" fillId="11" borderId="0" applyNumberFormat="0" applyBorder="0" applyAlignment="0" applyProtection="0"/>
    <xf numFmtId="0" fontId="21" fillId="15" borderId="0" applyNumberFormat="0" applyBorder="0" applyAlignment="0" applyProtection="0"/>
    <xf numFmtId="0" fontId="21" fillId="19" borderId="0" applyNumberFormat="0" applyBorder="0" applyAlignment="0" applyProtection="0"/>
    <xf numFmtId="0" fontId="21" fillId="23" borderId="0" applyNumberFormat="0" applyBorder="0" applyAlignment="0" applyProtection="0"/>
    <xf numFmtId="0" fontId="21" fillId="27" borderId="0" applyNumberFormat="0" applyBorder="0" applyAlignment="0" applyProtection="0"/>
    <xf numFmtId="0" fontId="21" fillId="31" borderId="0" applyNumberFormat="0" applyBorder="0" applyAlignment="0" applyProtection="0"/>
    <xf numFmtId="0" fontId="13" fillId="5" borderId="0" applyNumberFormat="0" applyBorder="0" applyAlignment="0" applyProtection="0"/>
    <xf numFmtId="0" fontId="1" fillId="10" borderId="18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0" fillId="0" borderId="12" applyNumberFormat="0" applyFill="0" applyAlignment="0" applyProtection="0"/>
    <xf numFmtId="0" fontId="11" fillId="0" borderId="13" applyNumberFormat="0" applyFill="0" applyAlignment="0" applyProtection="0"/>
    <xf numFmtId="0" fontId="7" fillId="0" borderId="19" applyNumberFormat="0" applyFill="0" applyAlignment="0" applyProtection="0"/>
    <xf numFmtId="49" fontId="24" fillId="0" borderId="0"/>
    <xf numFmtId="0" fontId="49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49" fillId="0" borderId="49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9" fillId="0" borderId="49"/>
    <xf numFmtId="0" fontId="49" fillId="0" borderId="49"/>
    <xf numFmtId="0" fontId="49" fillId="0" borderId="49"/>
    <xf numFmtId="0" fontId="49" fillId="0" borderId="49"/>
    <xf numFmtId="0" fontId="49" fillId="0" borderId="49"/>
    <xf numFmtId="0" fontId="49" fillId="0" borderId="49"/>
    <xf numFmtId="0" fontId="49" fillId="0" borderId="49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17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17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169" fontId="2" fillId="0" borderId="0" applyFont="0" applyFill="0" applyBorder="0" applyAlignment="0" applyProtection="0"/>
    <xf numFmtId="0" fontId="39" fillId="54" borderId="127" applyNumberFormat="0" applyAlignment="0" applyProtection="0"/>
    <xf numFmtId="165" fontId="2" fillId="0" borderId="0" applyFont="0" applyFill="0" applyBorder="0" applyAlignment="0" applyProtection="0"/>
    <xf numFmtId="0" fontId="39" fillId="54" borderId="127" applyNumberFormat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02" applyNumberFormat="0" applyAlignment="0" applyProtection="0"/>
    <xf numFmtId="0" fontId="39" fillId="54" borderId="127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02" applyNumberFormat="0" applyAlignment="0" applyProtection="0"/>
    <xf numFmtId="0" fontId="45" fillId="0" borderId="128" applyNumberFormat="0" applyFill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02" applyNumberFormat="0" applyAlignment="0" applyProtection="0"/>
    <xf numFmtId="0" fontId="35" fillId="45" borderId="102" applyNumberFormat="0" applyAlignment="0" applyProtection="0"/>
    <xf numFmtId="0" fontId="31" fillId="54" borderId="102" applyNumberFormat="0" applyAlignment="0" applyProtection="0"/>
    <xf numFmtId="0" fontId="2" fillId="61" borderId="126" applyNumberFormat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2" fillId="61" borderId="126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45" fillId="0" borderId="128" applyNumberFormat="0" applyFill="0" applyAlignment="0" applyProtection="0"/>
    <xf numFmtId="0" fontId="35" fillId="45" borderId="172" applyNumberFormat="0" applyAlignment="0" applyProtection="0"/>
    <xf numFmtId="0" fontId="39" fillId="54" borderId="127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2" fillId="61" borderId="126" applyNumberFormat="0" applyAlignment="0" applyProtection="0"/>
    <xf numFmtId="0" fontId="39" fillId="54" borderId="127" applyNumberFormat="0" applyAlignment="0" applyProtection="0"/>
    <xf numFmtId="0" fontId="31" fillId="54" borderId="172" applyNumberFormat="0" applyAlignment="0" applyProtection="0"/>
    <xf numFmtId="0" fontId="45" fillId="0" borderId="128" applyNumberFormat="0" applyFill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45" fillId="0" borderId="128" applyNumberFormat="0" applyFill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39" fillId="54" borderId="127" applyNumberFormat="0" applyAlignment="0" applyProtection="0"/>
    <xf numFmtId="0" fontId="2" fillId="61" borderId="126" applyNumberFormat="0" applyAlignment="0" applyProtection="0"/>
    <xf numFmtId="0" fontId="35" fillId="45" borderId="172" applyNumberFormat="0" applyAlignment="0" applyProtection="0"/>
    <xf numFmtId="0" fontId="35" fillId="45" borderId="172" applyNumberFormat="0" applyAlignment="0" applyProtection="0"/>
    <xf numFmtId="0" fontId="31" fillId="54" borderId="172" applyNumberFormat="0" applyAlignment="0" applyProtection="0"/>
    <xf numFmtId="0" fontId="2" fillId="61" borderId="126" applyNumberFormat="0" applyAlignment="0" applyProtection="0"/>
    <xf numFmtId="0" fontId="34" fillId="0" borderId="69" applyNumberFormat="0" applyFill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14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3" fontId="162" fillId="0" borderId="0" applyFont="0" applyFill="0" applyBorder="0" applyAlignment="0" applyProtection="0"/>
    <xf numFmtId="188" fontId="162" fillId="0" borderId="0" applyFont="0" applyFill="0" applyBorder="0" applyAlignment="0" applyProtection="0"/>
    <xf numFmtId="0" fontId="162" fillId="0" borderId="0" applyFont="0" applyFill="0" applyBorder="0" applyAlignment="0" applyProtection="0"/>
    <xf numFmtId="2" fontId="162" fillId="0" borderId="0" applyFont="0" applyFill="0" applyBorder="0" applyAlignment="0" applyProtection="0"/>
    <xf numFmtId="38" fontId="105" fillId="123" borderId="0" applyNumberFormat="0" applyBorder="0" applyAlignment="0" applyProtection="0"/>
    <xf numFmtId="0" fontId="163" fillId="0" borderId="0"/>
    <xf numFmtId="0" fontId="106" fillId="0" borderId="36" applyNumberFormat="0" applyAlignment="0" applyProtection="0">
      <alignment horizontal="left" vertical="center"/>
    </xf>
    <xf numFmtId="0" fontId="106" fillId="0" borderId="173">
      <alignment horizontal="left" vertical="center"/>
    </xf>
    <xf numFmtId="10" fontId="105" fillId="128" borderId="119" applyNumberFormat="0" applyBorder="0" applyAlignment="0" applyProtection="0"/>
    <xf numFmtId="10" fontId="2" fillId="0" borderId="0" applyFont="0" applyFill="0" applyBorder="0" applyAlignment="0" applyProtection="0"/>
    <xf numFmtId="0" fontId="1" fillId="0" borderId="0"/>
    <xf numFmtId="0" fontId="165" fillId="158" borderId="14" applyNumberFormat="0" applyProtection="0">
      <alignment horizontal="left" vertical="center"/>
    </xf>
    <xf numFmtId="167" fontId="164" fillId="159" borderId="119">
      <alignment horizontal="center" vertical="center"/>
    </xf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25" fillId="0" borderId="0"/>
    <xf numFmtId="41" fontId="25" fillId="0" borderId="0" applyFont="0" applyFill="0" applyBorder="0" applyAlignment="0" applyProtection="0"/>
    <xf numFmtId="0" fontId="25" fillId="0" borderId="0"/>
    <xf numFmtId="0" fontId="25" fillId="0" borderId="0"/>
    <xf numFmtId="165" fontId="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</cellStyleXfs>
  <cellXfs count="1502">
    <xf numFmtId="0" fontId="0" fillId="0" borderId="0" xfId="0"/>
    <xf numFmtId="0" fontId="3" fillId="0" borderId="0" xfId="0" applyFont="1"/>
    <xf numFmtId="0" fontId="7" fillId="0" borderId="0" xfId="0" applyFont="1"/>
    <xf numFmtId="0" fontId="54" fillId="0" borderId="90" xfId="132" applyFont="1" applyBorder="1" applyProtection="1">
      <protection locked="0"/>
    </xf>
    <xf numFmtId="0" fontId="55" fillId="0" borderId="0" xfId="0" applyFont="1"/>
    <xf numFmtId="0" fontId="59" fillId="0" borderId="0" xfId="132" applyFont="1" applyAlignment="1">
      <alignment vertical="center"/>
    </xf>
    <xf numFmtId="0" fontId="59" fillId="0" borderId="0" xfId="132" applyFont="1" applyAlignment="1">
      <alignment horizontal="center" vertical="center"/>
    </xf>
    <xf numFmtId="0" fontId="61" fillId="3" borderId="0" xfId="132" applyFont="1" applyFill="1" applyAlignment="1">
      <alignment horizontal="right" vertical="center"/>
    </xf>
    <xf numFmtId="1" fontId="59" fillId="39" borderId="0" xfId="132" applyNumberFormat="1" applyFont="1" applyFill="1" applyAlignment="1">
      <alignment horizontal="center" vertical="center"/>
    </xf>
    <xf numFmtId="2" fontId="59" fillId="0" borderId="0" xfId="132" applyNumberFormat="1" applyFont="1" applyAlignment="1">
      <alignment vertical="center"/>
    </xf>
    <xf numFmtId="1" fontId="59" fillId="39" borderId="0" xfId="132" applyNumberFormat="1" applyFont="1" applyFill="1" applyAlignment="1" applyProtection="1">
      <alignment horizontal="center" vertical="center"/>
      <protection locked="0"/>
    </xf>
    <xf numFmtId="0" fontId="60" fillId="0" borderId="0" xfId="132" applyFont="1" applyAlignment="1">
      <alignment horizontal="center" vertical="center"/>
    </xf>
    <xf numFmtId="0" fontId="60" fillId="0" borderId="0" xfId="132" quotePrefix="1" applyFont="1" applyAlignment="1">
      <alignment horizontal="center" vertical="center"/>
    </xf>
    <xf numFmtId="0" fontId="60" fillId="0" borderId="89" xfId="132" applyFont="1" applyBorder="1" applyAlignment="1">
      <alignment horizontal="center" vertical="center"/>
    </xf>
    <xf numFmtId="2" fontId="59" fillId="39" borderId="0" xfId="132" applyNumberFormat="1" applyFont="1" applyFill="1" applyAlignment="1">
      <alignment horizontal="center" vertical="center"/>
    </xf>
    <xf numFmtId="0" fontId="59" fillId="0" borderId="0" xfId="132" applyFont="1"/>
    <xf numFmtId="0" fontId="59" fillId="39" borderId="0" xfId="132" applyFont="1" applyFill="1"/>
    <xf numFmtId="0" fontId="60" fillId="39" borderId="0" xfId="132" applyFont="1" applyFill="1" applyAlignment="1">
      <alignment horizontal="right" vertical="center"/>
    </xf>
    <xf numFmtId="2" fontId="60" fillId="39" borderId="0" xfId="132" applyNumberFormat="1" applyFont="1" applyFill="1" applyAlignment="1">
      <alignment horizontal="center" vertical="center"/>
    </xf>
    <xf numFmtId="0" fontId="60" fillId="39" borderId="0" xfId="132" applyFont="1" applyFill="1" applyAlignment="1">
      <alignment horizontal="right"/>
    </xf>
    <xf numFmtId="0" fontId="60" fillId="39" borderId="0" xfId="132" applyFont="1" applyFill="1" applyAlignment="1">
      <alignment horizontal="left"/>
    </xf>
    <xf numFmtId="0" fontId="60" fillId="39" borderId="0" xfId="132" quotePrefix="1" applyFont="1" applyFill="1" applyAlignment="1">
      <alignment horizontal="right" vertical="center"/>
    </xf>
    <xf numFmtId="1" fontId="60" fillId="39" borderId="0" xfId="132" applyNumberFormat="1" applyFont="1" applyFill="1" applyAlignment="1" applyProtection="1">
      <alignment horizontal="center" vertical="center"/>
      <protection locked="0"/>
    </xf>
    <xf numFmtId="1" fontId="60" fillId="39" borderId="0" xfId="132" applyNumberFormat="1" applyFont="1" applyFill="1" applyAlignment="1">
      <alignment horizontal="right"/>
    </xf>
    <xf numFmtId="1" fontId="60" fillId="39" borderId="0" xfId="132" applyNumberFormat="1" applyFont="1" applyFill="1" applyAlignment="1">
      <alignment horizontal="left"/>
    </xf>
    <xf numFmtId="0" fontId="59" fillId="39" borderId="0" xfId="132" applyFont="1" applyFill="1" applyAlignment="1">
      <alignment horizontal="left" indent="1"/>
    </xf>
    <xf numFmtId="0" fontId="59" fillId="39" borderId="0" xfId="132" applyFont="1" applyFill="1" applyAlignment="1">
      <alignment horizontal="center"/>
    </xf>
    <xf numFmtId="166" fontId="59" fillId="39" borderId="0" xfId="132" applyNumberFormat="1" applyFont="1" applyFill="1" applyAlignment="1" applyProtection="1">
      <alignment horizontal="center"/>
      <protection locked="0"/>
    </xf>
    <xf numFmtId="166" fontId="59" fillId="39" borderId="0" xfId="132" applyNumberFormat="1" applyFont="1" applyFill="1" applyAlignment="1">
      <alignment horizontal="center"/>
    </xf>
    <xf numFmtId="1" fontId="59" fillId="39" borderId="0" xfId="132" applyNumberFormat="1" applyFont="1" applyFill="1" applyAlignment="1">
      <alignment horizontal="center"/>
    </xf>
    <xf numFmtId="2" fontId="59" fillId="39" borderId="0" xfId="132" applyNumberFormat="1" applyFont="1" applyFill="1" applyAlignment="1" applyProtection="1">
      <alignment horizontal="center"/>
      <protection locked="0"/>
    </xf>
    <xf numFmtId="1" fontId="59" fillId="39" borderId="0" xfId="132" applyNumberFormat="1" applyFont="1" applyFill="1" applyAlignment="1" applyProtection="1">
      <alignment horizontal="center"/>
      <protection locked="0"/>
    </xf>
    <xf numFmtId="0" fontId="64" fillId="39" borderId="91" xfId="0" applyFont="1" applyFill="1" applyBorder="1" applyAlignment="1">
      <alignment horizontal="center" vertical="center" wrapText="1"/>
    </xf>
    <xf numFmtId="0" fontId="65" fillId="0" borderId="27" xfId="0" applyFont="1" applyBorder="1" applyAlignment="1">
      <alignment horizontal="center" vertical="center"/>
    </xf>
    <xf numFmtId="0" fontId="65" fillId="0" borderId="74" xfId="0" applyFont="1" applyBorder="1" applyAlignment="1">
      <alignment horizontal="center" vertical="center"/>
    </xf>
    <xf numFmtId="166" fontId="65" fillId="0" borderId="27" xfId="0" applyNumberFormat="1" applyFont="1" applyBorder="1" applyAlignment="1">
      <alignment horizontal="center" vertical="center"/>
    </xf>
    <xf numFmtId="2" fontId="65" fillId="0" borderId="27" xfId="0" applyNumberFormat="1" applyFont="1" applyBorder="1" applyAlignment="1">
      <alignment horizontal="center" vertical="center"/>
    </xf>
    <xf numFmtId="166" fontId="65" fillId="0" borderId="74" xfId="0" applyNumberFormat="1" applyFont="1" applyBorder="1" applyAlignment="1">
      <alignment horizontal="center" vertical="center"/>
    </xf>
    <xf numFmtId="2" fontId="65" fillId="0" borderId="74" xfId="0" applyNumberFormat="1" applyFont="1" applyBorder="1" applyAlignment="1">
      <alignment horizontal="center" vertical="center"/>
    </xf>
    <xf numFmtId="0" fontId="65" fillId="0" borderId="77" xfId="0" applyFont="1" applyBorder="1" applyAlignment="1">
      <alignment horizontal="center" vertical="center"/>
    </xf>
    <xf numFmtId="166" fontId="65" fillId="0" borderId="77" xfId="0" applyNumberFormat="1" applyFont="1" applyBorder="1" applyAlignment="1">
      <alignment horizontal="center" vertical="center"/>
    </xf>
    <xf numFmtId="0" fontId="65" fillId="0" borderId="82" xfId="0" quotePrefix="1" applyFont="1" applyBorder="1" applyAlignment="1">
      <alignment horizontal="center" vertical="center"/>
    </xf>
    <xf numFmtId="0" fontId="65" fillId="0" borderId="82" xfId="0" applyFont="1" applyBorder="1" applyAlignment="1">
      <alignment horizontal="center" vertical="center"/>
    </xf>
    <xf numFmtId="166" fontId="65" fillId="0" borderId="82" xfId="0" applyNumberFormat="1" applyFont="1" applyBorder="1" applyAlignment="1">
      <alignment horizontal="center" vertical="center"/>
    </xf>
    <xf numFmtId="2" fontId="65" fillId="0" borderId="82" xfId="0" applyNumberFormat="1" applyFont="1" applyBorder="1" applyAlignment="1">
      <alignment horizontal="center" vertical="center"/>
    </xf>
    <xf numFmtId="0" fontId="65" fillId="0" borderId="0" xfId="0" applyFont="1" applyAlignment="1">
      <alignment horizontal="center" vertical="center"/>
    </xf>
    <xf numFmtId="166" fontId="65" fillId="0" borderId="0" xfId="0" applyNumberFormat="1" applyFont="1" applyAlignment="1">
      <alignment horizontal="center" vertical="center"/>
    </xf>
    <xf numFmtId="2" fontId="65" fillId="0" borderId="0" xfId="0" applyNumberFormat="1" applyFont="1" applyAlignment="1">
      <alignment horizontal="center" vertical="center"/>
    </xf>
    <xf numFmtId="0" fontId="64" fillId="0" borderId="0" xfId="0" applyFont="1" applyAlignment="1">
      <alignment horizontal="center" vertical="center"/>
    </xf>
    <xf numFmtId="1" fontId="65" fillId="0" borderId="74" xfId="0" applyNumberFormat="1" applyFont="1" applyBorder="1" applyAlignment="1">
      <alignment horizontal="center" vertical="center"/>
    </xf>
    <xf numFmtId="0" fontId="60" fillId="3" borderId="74" xfId="132" applyFont="1" applyFill="1" applyBorder="1" applyAlignment="1">
      <alignment horizontal="center" vertical="center"/>
    </xf>
    <xf numFmtId="166" fontId="60" fillId="3" borderId="74" xfId="132" applyNumberFormat="1" applyFont="1" applyFill="1" applyBorder="1" applyAlignment="1">
      <alignment horizontal="center" vertical="center"/>
    </xf>
    <xf numFmtId="0" fontId="60" fillId="3" borderId="77" xfId="132" applyFont="1" applyFill="1" applyBorder="1" applyAlignment="1">
      <alignment horizontal="center" vertical="center"/>
    </xf>
    <xf numFmtId="0" fontId="60" fillId="3" borderId="27" xfId="132" applyFont="1" applyFill="1" applyBorder="1" applyAlignment="1">
      <alignment horizontal="center" vertical="center"/>
    </xf>
    <xf numFmtId="1" fontId="59" fillId="3" borderId="77" xfId="132" applyNumberFormat="1" applyFont="1" applyFill="1" applyBorder="1" applyAlignment="1">
      <alignment horizontal="center" vertical="center"/>
    </xf>
    <xf numFmtId="1" fontId="59" fillId="3" borderId="2" xfId="132" applyNumberFormat="1" applyFont="1" applyFill="1" applyBorder="1" applyAlignment="1">
      <alignment horizontal="center" vertical="center"/>
    </xf>
    <xf numFmtId="1" fontId="59" fillId="3" borderId="27" xfId="132" applyNumberFormat="1" applyFont="1" applyFill="1" applyBorder="1" applyAlignment="1">
      <alignment horizontal="center" vertical="center"/>
    </xf>
    <xf numFmtId="1" fontId="59" fillId="3" borderId="79" xfId="132" applyNumberFormat="1" applyFont="1" applyFill="1" applyBorder="1" applyAlignment="1">
      <alignment horizontal="center" vertical="center"/>
    </xf>
    <xf numFmtId="1" fontId="59" fillId="3" borderId="56" xfId="132" applyNumberFormat="1" applyFont="1" applyFill="1" applyBorder="1" applyAlignment="1">
      <alignment horizontal="center" vertical="center"/>
    </xf>
    <xf numFmtId="166" fontId="59" fillId="3" borderId="77" xfId="132" applyNumberFormat="1" applyFont="1" applyFill="1" applyBorder="1" applyAlignment="1" applyProtection="1">
      <alignment horizontal="center" vertical="center"/>
      <protection locked="0"/>
    </xf>
    <xf numFmtId="166" fontId="59" fillId="3" borderId="2" xfId="132" applyNumberFormat="1" applyFont="1" applyFill="1" applyBorder="1" applyAlignment="1" applyProtection="1">
      <alignment horizontal="center" vertical="center"/>
      <protection locked="0"/>
    </xf>
    <xf numFmtId="166" fontId="59" fillId="3" borderId="27" xfId="132" applyNumberFormat="1" applyFont="1" applyFill="1" applyBorder="1" applyAlignment="1" applyProtection="1">
      <alignment horizontal="center" vertical="center"/>
      <protection locked="0"/>
    </xf>
    <xf numFmtId="166" fontId="59" fillId="3" borderId="79" xfId="132" applyNumberFormat="1" applyFont="1" applyFill="1" applyBorder="1" applyAlignment="1" applyProtection="1">
      <alignment horizontal="center" vertical="center"/>
      <protection locked="0"/>
    </xf>
    <xf numFmtId="166" fontId="59" fillId="3" borderId="56" xfId="132" applyNumberFormat="1" applyFont="1" applyFill="1" applyBorder="1" applyAlignment="1" applyProtection="1">
      <alignment horizontal="center" vertical="center"/>
      <protection locked="0"/>
    </xf>
    <xf numFmtId="0" fontId="60" fillId="3" borderId="2" xfId="132" applyFont="1" applyFill="1" applyBorder="1" applyAlignment="1">
      <alignment horizontal="center" vertical="center"/>
    </xf>
    <xf numFmtId="166" fontId="59" fillId="3" borderId="77" xfId="132" applyNumberFormat="1" applyFont="1" applyFill="1" applyBorder="1" applyAlignment="1">
      <alignment horizontal="center" vertical="center"/>
    </xf>
    <xf numFmtId="166" fontId="59" fillId="3" borderId="2" xfId="132" applyNumberFormat="1" applyFont="1" applyFill="1" applyBorder="1" applyAlignment="1">
      <alignment horizontal="center" vertical="center"/>
    </xf>
    <xf numFmtId="166" fontId="59" fillId="3" borderId="27" xfId="132" applyNumberFormat="1" applyFont="1" applyFill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5" fillId="0" borderId="77" xfId="0" applyFont="1" applyBorder="1" applyAlignment="1">
      <alignment horizontal="center" vertical="center"/>
    </xf>
    <xf numFmtId="1" fontId="55" fillId="0" borderId="77" xfId="0" applyNumberFormat="1" applyFont="1" applyBorder="1" applyAlignment="1">
      <alignment horizontal="center" vertical="center"/>
    </xf>
    <xf numFmtId="166" fontId="55" fillId="0" borderId="77" xfId="0" applyNumberFormat="1" applyFont="1" applyBorder="1" applyAlignment="1">
      <alignment horizontal="center" vertical="center"/>
    </xf>
    <xf numFmtId="0" fontId="55" fillId="0" borderId="2" xfId="0" applyFont="1" applyBorder="1" applyAlignment="1">
      <alignment horizontal="center" vertical="center"/>
    </xf>
    <xf numFmtId="1" fontId="55" fillId="0" borderId="2" xfId="0" applyNumberFormat="1" applyFont="1" applyBorder="1" applyAlignment="1">
      <alignment horizontal="center" vertical="center"/>
    </xf>
    <xf numFmtId="166" fontId="55" fillId="0" borderId="2" xfId="0" applyNumberFormat="1" applyFont="1" applyBorder="1" applyAlignment="1">
      <alignment horizontal="center" vertical="center"/>
    </xf>
    <xf numFmtId="0" fontId="55" fillId="0" borderId="27" xfId="0" applyFont="1" applyBorder="1" applyAlignment="1">
      <alignment horizontal="center" vertical="center"/>
    </xf>
    <xf numFmtId="1" fontId="55" fillId="0" borderId="27" xfId="0" applyNumberFormat="1" applyFont="1" applyBorder="1" applyAlignment="1">
      <alignment horizontal="center" vertical="center"/>
    </xf>
    <xf numFmtId="166" fontId="55" fillId="0" borderId="27" xfId="0" applyNumberFormat="1" applyFont="1" applyBorder="1" applyAlignment="1">
      <alignment horizontal="center" vertical="center"/>
    </xf>
    <xf numFmtId="0" fontId="55" fillId="0" borderId="79" xfId="0" applyFont="1" applyBorder="1" applyAlignment="1">
      <alignment horizontal="center" vertical="center"/>
    </xf>
    <xf numFmtId="1" fontId="55" fillId="0" borderId="75" xfId="0" applyNumberFormat="1" applyFont="1" applyBorder="1" applyAlignment="1">
      <alignment horizontal="center" vertical="center"/>
    </xf>
    <xf numFmtId="0" fontId="55" fillId="0" borderId="56" xfId="0" applyFont="1" applyBorder="1" applyAlignment="1">
      <alignment horizontal="center" vertical="center"/>
    </xf>
    <xf numFmtId="1" fontId="55" fillId="0" borderId="22" xfId="0" applyNumberFormat="1" applyFont="1" applyBorder="1" applyAlignment="1">
      <alignment horizontal="center" vertical="center"/>
    </xf>
    <xf numFmtId="0" fontId="55" fillId="0" borderId="23" xfId="0" applyFont="1" applyBorder="1" applyAlignment="1">
      <alignment horizontal="center" vertical="center"/>
    </xf>
    <xf numFmtId="1" fontId="55" fillId="0" borderId="24" xfId="0" applyNumberFormat="1" applyFont="1" applyBorder="1" applyAlignment="1">
      <alignment horizontal="center" vertical="center"/>
    </xf>
    <xf numFmtId="1" fontId="67" fillId="0" borderId="74" xfId="0" applyNumberFormat="1" applyFont="1" applyBorder="1" applyAlignment="1">
      <alignment horizontal="center" vertical="center"/>
    </xf>
    <xf numFmtId="0" fontId="65" fillId="0" borderId="74" xfId="0" quotePrefix="1" applyFont="1" applyBorder="1" applyAlignment="1">
      <alignment horizontal="center" vertical="center"/>
    </xf>
    <xf numFmtId="2" fontId="68" fillId="3" borderId="74" xfId="105" applyNumberFormat="1" applyFont="1" applyFill="1" applyBorder="1" applyAlignment="1">
      <alignment horizontal="center"/>
    </xf>
    <xf numFmtId="1" fontId="68" fillId="3" borderId="74" xfId="105" applyNumberFormat="1" applyFont="1" applyFill="1" applyBorder="1" applyAlignment="1">
      <alignment horizontal="center"/>
    </xf>
    <xf numFmtId="0" fontId="68" fillId="36" borderId="74" xfId="0" applyFont="1" applyFill="1" applyBorder="1" applyAlignment="1">
      <alignment horizontal="center" vertical="center"/>
    </xf>
    <xf numFmtId="2" fontId="68" fillId="36" borderId="74" xfId="0" applyNumberFormat="1" applyFont="1" applyFill="1" applyBorder="1" applyAlignment="1">
      <alignment horizontal="center" vertical="center"/>
    </xf>
    <xf numFmtId="0" fontId="65" fillId="35" borderId="0" xfId="0" applyFont="1" applyFill="1" applyAlignment="1">
      <alignment horizontal="center" vertical="center"/>
    </xf>
    <xf numFmtId="0" fontId="69" fillId="0" borderId="50" xfId="0" applyFont="1" applyBorder="1" applyAlignment="1">
      <alignment horizontal="left" vertical="center"/>
    </xf>
    <xf numFmtId="166" fontId="55" fillId="0" borderId="50" xfId="0" applyNumberFormat="1" applyFont="1" applyBorder="1" applyAlignment="1">
      <alignment horizontal="center" vertical="center"/>
    </xf>
    <xf numFmtId="167" fontId="55" fillId="0" borderId="0" xfId="0" applyNumberFormat="1" applyFont="1"/>
    <xf numFmtId="0" fontId="54" fillId="0" borderId="0" xfId="0" applyFont="1"/>
    <xf numFmtId="0" fontId="55" fillId="0" borderId="0" xfId="0" applyFont="1" applyAlignment="1">
      <alignment horizontal="center"/>
    </xf>
    <xf numFmtId="166" fontId="55" fillId="0" borderId="50" xfId="1" applyNumberFormat="1" applyFont="1" applyFill="1" applyBorder="1" applyAlignment="1">
      <alignment horizontal="center" vertical="center"/>
    </xf>
    <xf numFmtId="167" fontId="55" fillId="0" borderId="0" xfId="0" applyNumberFormat="1" applyFont="1" applyAlignment="1">
      <alignment horizontal="center"/>
    </xf>
    <xf numFmtId="0" fontId="55" fillId="0" borderId="74" xfId="0" applyFont="1" applyBorder="1" applyAlignment="1">
      <alignment horizontal="center"/>
    </xf>
    <xf numFmtId="0" fontId="66" fillId="0" borderId="74" xfId="0" applyFont="1" applyBorder="1" applyAlignment="1">
      <alignment horizontal="center"/>
    </xf>
    <xf numFmtId="0" fontId="55" fillId="0" borderId="74" xfId="0" applyFont="1" applyBorder="1" applyAlignment="1">
      <alignment horizontal="center" vertical="center"/>
    </xf>
    <xf numFmtId="2" fontId="69" fillId="3" borderId="27" xfId="105" applyNumberFormat="1" applyFont="1" applyFill="1" applyBorder="1" applyAlignment="1">
      <alignment horizontal="center"/>
    </xf>
    <xf numFmtId="2" fontId="69" fillId="3" borderId="74" xfId="105" applyNumberFormat="1" applyFont="1" applyFill="1" applyBorder="1" applyAlignment="1">
      <alignment horizontal="center"/>
    </xf>
    <xf numFmtId="2" fontId="69" fillId="0" borderId="74" xfId="105" applyNumberFormat="1" applyFont="1" applyBorder="1" applyAlignment="1">
      <alignment horizontal="center"/>
    </xf>
    <xf numFmtId="0" fontId="55" fillId="35" borderId="0" xfId="0" applyFont="1" applyFill="1"/>
    <xf numFmtId="167" fontId="66" fillId="0" borderId="0" xfId="0" applyNumberFormat="1" applyFont="1"/>
    <xf numFmtId="168" fontId="55" fillId="0" borderId="0" xfId="1" applyNumberFormat="1" applyFont="1"/>
    <xf numFmtId="0" fontId="71" fillId="0" borderId="74" xfId="0" applyFont="1" applyBorder="1" applyAlignment="1">
      <alignment horizontal="center" vertical="center" wrapText="1"/>
    </xf>
    <xf numFmtId="9" fontId="71" fillId="0" borderId="74" xfId="0" applyNumberFormat="1" applyFont="1" applyBorder="1" applyAlignment="1">
      <alignment horizontal="center" vertical="center" wrapText="1"/>
    </xf>
    <xf numFmtId="168" fontId="71" fillId="0" borderId="74" xfId="1" applyNumberFormat="1" applyFont="1" applyFill="1" applyBorder="1" applyAlignment="1">
      <alignment horizontal="center" vertical="center" wrapText="1"/>
    </xf>
    <xf numFmtId="2" fontId="55" fillId="0" borderId="0" xfId="0" applyNumberFormat="1" applyFont="1"/>
    <xf numFmtId="0" fontId="55" fillId="0" borderId="74" xfId="0" applyFont="1" applyBorder="1"/>
    <xf numFmtId="0" fontId="72" fillId="0" borderId="0" xfId="0" applyFont="1"/>
    <xf numFmtId="0" fontId="62" fillId="0" borderId="0" xfId="0" applyFont="1"/>
    <xf numFmtId="2" fontId="55" fillId="0" borderId="74" xfId="0" applyNumberFormat="1" applyFont="1" applyBorder="1" applyAlignment="1">
      <alignment horizontal="center"/>
    </xf>
    <xf numFmtId="2" fontId="55" fillId="0" borderId="74" xfId="0" applyNumberFormat="1" applyFont="1" applyBorder="1"/>
    <xf numFmtId="166" fontId="55" fillId="0" borderId="74" xfId="0" applyNumberFormat="1" applyFont="1" applyBorder="1"/>
    <xf numFmtId="2" fontId="55" fillId="0" borderId="0" xfId="0" applyNumberFormat="1" applyFont="1" applyAlignment="1">
      <alignment horizontal="center"/>
    </xf>
    <xf numFmtId="9" fontId="55" fillId="0" borderId="0" xfId="1" applyFont="1" applyBorder="1" applyAlignment="1">
      <alignment horizontal="center"/>
    </xf>
    <xf numFmtId="2" fontId="55" fillId="35" borderId="74" xfId="0" applyNumberFormat="1" applyFont="1" applyFill="1" applyBorder="1" applyAlignment="1">
      <alignment horizontal="center"/>
    </xf>
    <xf numFmtId="9" fontId="55" fillId="0" borderId="74" xfId="1" applyFont="1" applyBorder="1" applyAlignment="1">
      <alignment horizontal="center"/>
    </xf>
    <xf numFmtId="0" fontId="57" fillId="113" borderId="74" xfId="4" applyFont="1" applyFill="1" applyBorder="1" applyAlignment="1">
      <alignment horizontal="center" vertical="center"/>
    </xf>
    <xf numFmtId="166" fontId="62" fillId="113" borderId="74" xfId="4" applyNumberFormat="1" applyFont="1" applyFill="1" applyBorder="1" applyAlignment="1">
      <alignment horizontal="center" vertical="center"/>
    </xf>
    <xf numFmtId="166" fontId="62" fillId="113" borderId="23" xfId="4" applyNumberFormat="1" applyFont="1" applyFill="1" applyBorder="1" applyAlignment="1">
      <alignment horizontal="center" vertical="center"/>
    </xf>
    <xf numFmtId="166" fontId="62" fillId="113" borderId="0" xfId="4" applyNumberFormat="1" applyFont="1" applyFill="1" applyAlignment="1">
      <alignment horizontal="center" vertical="center"/>
    </xf>
    <xf numFmtId="166" fontId="55" fillId="0" borderId="74" xfId="0" applyNumberFormat="1" applyFont="1" applyBorder="1" applyAlignment="1">
      <alignment horizontal="center"/>
    </xf>
    <xf numFmtId="9" fontId="55" fillId="0" borderId="0" xfId="0" applyNumberFormat="1" applyFont="1"/>
    <xf numFmtId="0" fontId="67" fillId="0" borderId="0" xfId="0" applyFont="1"/>
    <xf numFmtId="0" fontId="19" fillId="0" borderId="0" xfId="0" applyFont="1"/>
    <xf numFmtId="0" fontId="50" fillId="0" borderId="0" xfId="0" applyFont="1"/>
    <xf numFmtId="2" fontId="55" fillId="35" borderId="74" xfId="0" applyNumberFormat="1" applyFont="1" applyFill="1" applyBorder="1"/>
    <xf numFmtId="166" fontId="55" fillId="35" borderId="74" xfId="0" applyNumberFormat="1" applyFont="1" applyFill="1" applyBorder="1"/>
    <xf numFmtId="166" fontId="55" fillId="0" borderId="0" xfId="0" applyNumberFormat="1" applyFont="1"/>
    <xf numFmtId="166" fontId="55" fillId="0" borderId="0" xfId="0" applyNumberFormat="1" applyFont="1" applyAlignment="1">
      <alignment horizontal="center" vertical="center"/>
    </xf>
    <xf numFmtId="0" fontId="73" fillId="0" borderId="28" xfId="48" applyFont="1" applyBorder="1" applyAlignment="1">
      <alignment horizontal="center" vertical="center"/>
    </xf>
    <xf numFmtId="0" fontId="73" fillId="0" borderId="29" xfId="48" applyFont="1" applyBorder="1" applyAlignment="1">
      <alignment horizontal="center" vertical="center"/>
    </xf>
    <xf numFmtId="0" fontId="55" fillId="0" borderId="29" xfId="0" applyFont="1" applyBorder="1"/>
    <xf numFmtId="0" fontId="55" fillId="0" borderId="30" xfId="0" applyFont="1" applyBorder="1"/>
    <xf numFmtId="0" fontId="66" fillId="0" borderId="4" xfId="0" applyFont="1" applyBorder="1" applyAlignment="1">
      <alignment horizontal="center"/>
    </xf>
    <xf numFmtId="0" fontId="66" fillId="0" borderId="5" xfId="0" applyFont="1" applyBorder="1" applyAlignment="1">
      <alignment horizontal="center"/>
    </xf>
    <xf numFmtId="0" fontId="66" fillId="0" borderId="6" xfId="0" applyFont="1" applyBorder="1" applyAlignment="1">
      <alignment horizontal="center"/>
    </xf>
    <xf numFmtId="166" fontId="55" fillId="0" borderId="65" xfId="0" applyNumberFormat="1" applyFont="1" applyBorder="1" applyAlignment="1">
      <alignment horizontal="center" vertical="center"/>
    </xf>
    <xf numFmtId="2" fontId="55" fillId="0" borderId="74" xfId="0" applyNumberFormat="1" applyFont="1" applyBorder="1" applyAlignment="1">
      <alignment horizontal="center" vertical="center"/>
    </xf>
    <xf numFmtId="2" fontId="55" fillId="0" borderId="73" xfId="0" applyNumberFormat="1" applyFont="1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2" fontId="0" fillId="0" borderId="82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55" fillId="0" borderId="26" xfId="0" applyFont="1" applyBorder="1"/>
    <xf numFmtId="0" fontId="55" fillId="0" borderId="3" xfId="0" applyFont="1" applyBorder="1"/>
    <xf numFmtId="2" fontId="55" fillId="0" borderId="84" xfId="0" applyNumberFormat="1" applyFont="1" applyBorder="1" applyAlignment="1">
      <alignment horizontal="center" vertical="center"/>
    </xf>
    <xf numFmtId="2" fontId="0" fillId="0" borderId="94" xfId="0" applyNumberFormat="1" applyBorder="1" applyAlignment="1">
      <alignment horizontal="center" vertical="center"/>
    </xf>
    <xf numFmtId="0" fontId="55" fillId="0" borderId="4" xfId="0" applyFont="1" applyBorder="1"/>
    <xf numFmtId="0" fontId="55" fillId="0" borderId="5" xfId="0" applyFont="1" applyBorder="1"/>
    <xf numFmtId="0" fontId="55" fillId="0" borderId="6" xfId="0" applyFont="1" applyBorder="1"/>
    <xf numFmtId="0" fontId="55" fillId="0" borderId="26" xfId="0" applyFont="1" applyBorder="1" applyAlignment="1">
      <alignment horizontal="center"/>
    </xf>
    <xf numFmtId="0" fontId="77" fillId="113" borderId="71" xfId="0" applyFont="1" applyFill="1" applyBorder="1" applyAlignment="1">
      <alignment horizontal="center" vertical="center" wrapText="1"/>
    </xf>
    <xf numFmtId="0" fontId="77" fillId="113" borderId="50" xfId="0" applyFont="1" applyFill="1" applyBorder="1" applyAlignment="1">
      <alignment horizontal="center" vertical="center" wrapText="1"/>
    </xf>
    <xf numFmtId="0" fontId="77" fillId="113" borderId="77" xfId="0" applyFont="1" applyFill="1" applyBorder="1" applyAlignment="1">
      <alignment horizontal="center" vertical="center" wrapText="1"/>
    </xf>
    <xf numFmtId="0" fontId="55" fillId="0" borderId="0" xfId="0" applyFont="1" applyAlignment="1">
      <alignment vertical="center"/>
    </xf>
    <xf numFmtId="0" fontId="55" fillId="0" borderId="56" xfId="0" applyFont="1" applyBorder="1" applyAlignment="1">
      <alignment vertical="center"/>
    </xf>
    <xf numFmtId="0" fontId="55" fillId="0" borderId="22" xfId="0" applyFont="1" applyBorder="1" applyAlignment="1">
      <alignment vertical="center"/>
    </xf>
    <xf numFmtId="0" fontId="55" fillId="0" borderId="23" xfId="0" applyFont="1" applyBorder="1" applyAlignment="1">
      <alignment vertical="center"/>
    </xf>
    <xf numFmtId="0" fontId="55" fillId="0" borderId="59" xfId="0" applyFont="1" applyBorder="1" applyAlignment="1">
      <alignment vertical="center"/>
    </xf>
    <xf numFmtId="0" fontId="55" fillId="0" borderId="24" xfId="0" applyFont="1" applyBorder="1" applyAlignment="1">
      <alignment vertical="center"/>
    </xf>
    <xf numFmtId="0" fontId="55" fillId="35" borderId="56" xfId="0" applyFont="1" applyFill="1" applyBorder="1" applyAlignment="1">
      <alignment vertical="center"/>
    </xf>
    <xf numFmtId="0" fontId="55" fillId="35" borderId="0" xfId="0" applyFont="1" applyFill="1" applyAlignment="1">
      <alignment vertical="center"/>
    </xf>
    <xf numFmtId="0" fontId="55" fillId="35" borderId="22" xfId="0" applyFont="1" applyFill="1" applyBorder="1" applyAlignment="1">
      <alignment vertical="center"/>
    </xf>
    <xf numFmtId="0" fontId="78" fillId="0" borderId="56" xfId="0" applyFont="1" applyBorder="1" applyAlignment="1">
      <alignment horizontal="center" vertical="center"/>
    </xf>
    <xf numFmtId="166" fontId="66" fillId="0" borderId="22" xfId="0" applyNumberFormat="1" applyFont="1" applyBorder="1" applyAlignment="1">
      <alignment horizontal="center" vertical="center"/>
    </xf>
    <xf numFmtId="0" fontId="55" fillId="0" borderId="59" xfId="0" applyFont="1" applyBorder="1" applyAlignment="1">
      <alignment horizontal="center" vertical="center"/>
    </xf>
    <xf numFmtId="0" fontId="80" fillId="35" borderId="0" xfId="0" applyFont="1" applyFill="1"/>
    <xf numFmtId="0" fontId="56" fillId="113" borderId="0" xfId="132" applyFont="1" applyFill="1" applyAlignment="1">
      <alignment horizontal="left" vertical="center"/>
    </xf>
    <xf numFmtId="0" fontId="57" fillId="113" borderId="0" xfId="132" applyFont="1" applyFill="1" applyAlignment="1">
      <alignment horizontal="left" vertical="center"/>
    </xf>
    <xf numFmtId="0" fontId="58" fillId="113" borderId="0" xfId="132" applyFont="1" applyFill="1" applyAlignment="1">
      <alignment horizontal="right" vertical="center"/>
    </xf>
    <xf numFmtId="0" fontId="57" fillId="113" borderId="0" xfId="132" applyFont="1" applyFill="1" applyAlignment="1" applyProtection="1">
      <alignment horizontal="center" vertical="center"/>
      <protection locked="0"/>
    </xf>
    <xf numFmtId="0" fontId="57" fillId="113" borderId="0" xfId="132" applyFont="1" applyFill="1" applyAlignment="1">
      <alignment horizontal="center" vertical="center"/>
    </xf>
    <xf numFmtId="0" fontId="62" fillId="113" borderId="0" xfId="132" applyFont="1" applyFill="1"/>
    <xf numFmtId="0" fontId="57" fillId="113" borderId="0" xfId="132" applyFont="1" applyFill="1" applyAlignment="1">
      <alignment horizontal="right" vertical="center"/>
    </xf>
    <xf numFmtId="0" fontId="57" fillId="113" borderId="74" xfId="0" applyFont="1" applyFill="1" applyBorder="1" applyAlignment="1">
      <alignment horizontal="center" vertical="center"/>
    </xf>
    <xf numFmtId="0" fontId="56" fillId="113" borderId="27" xfId="0" applyFont="1" applyFill="1" applyBorder="1" applyAlignment="1">
      <alignment horizontal="center" vertical="center" wrapText="1"/>
    </xf>
    <xf numFmtId="0" fontId="56" fillId="113" borderId="50" xfId="0" applyFont="1" applyFill="1" applyBorder="1" applyAlignment="1">
      <alignment horizontal="center" vertical="center" wrapText="1"/>
    </xf>
    <xf numFmtId="0" fontId="56" fillId="113" borderId="58" xfId="0" applyFont="1" applyFill="1" applyBorder="1" applyAlignment="1">
      <alignment horizontal="center" vertical="center" wrapText="1"/>
    </xf>
    <xf numFmtId="0" fontId="55" fillId="0" borderId="21" xfId="0" applyFont="1" applyBorder="1"/>
    <xf numFmtId="166" fontId="55" fillId="0" borderId="9" xfId="0" applyNumberFormat="1" applyFont="1" applyBorder="1" applyAlignment="1">
      <alignment horizontal="center"/>
    </xf>
    <xf numFmtId="166" fontId="55" fillId="0" borderId="6" xfId="0" applyNumberFormat="1" applyFont="1" applyBorder="1" applyAlignment="1">
      <alignment horizontal="center"/>
    </xf>
    <xf numFmtId="0" fontId="55" fillId="0" borderId="64" xfId="0" applyFont="1" applyBorder="1"/>
    <xf numFmtId="166" fontId="55" fillId="0" borderId="32" xfId="0" applyNumberFormat="1" applyFont="1" applyBorder="1" applyAlignment="1">
      <alignment horizontal="center"/>
    </xf>
    <xf numFmtId="166" fontId="55" fillId="0" borderId="31" xfId="0" applyNumberFormat="1" applyFont="1" applyBorder="1" applyAlignment="1">
      <alignment horizontal="center"/>
    </xf>
    <xf numFmtId="0" fontId="55" fillId="0" borderId="52" xfId="0" applyFont="1" applyBorder="1"/>
    <xf numFmtId="166" fontId="55" fillId="0" borderId="57" xfId="0" applyNumberFormat="1" applyFont="1" applyBorder="1" applyAlignment="1">
      <alignment horizontal="center"/>
    </xf>
    <xf numFmtId="166" fontId="55" fillId="0" borderId="51" xfId="0" applyNumberFormat="1" applyFont="1" applyBorder="1" applyAlignment="1">
      <alignment horizontal="center"/>
    </xf>
    <xf numFmtId="166" fontId="55" fillId="0" borderId="80" xfId="0" applyNumberFormat="1" applyFont="1" applyBorder="1" applyAlignment="1">
      <alignment horizontal="center"/>
    </xf>
    <xf numFmtId="166" fontId="55" fillId="0" borderId="53" xfId="0" applyNumberFormat="1" applyFont="1" applyBorder="1" applyAlignment="1">
      <alignment horizontal="center"/>
    </xf>
    <xf numFmtId="0" fontId="55" fillId="0" borderId="39" xfId="0" applyFont="1" applyBorder="1"/>
    <xf numFmtId="166" fontId="55" fillId="0" borderId="10" xfId="0" applyNumberFormat="1" applyFont="1" applyBorder="1" applyAlignment="1">
      <alignment horizontal="center"/>
    </xf>
    <xf numFmtId="166" fontId="55" fillId="0" borderId="8" xfId="0" applyNumberFormat="1" applyFont="1" applyBorder="1" applyAlignment="1">
      <alignment horizontal="center"/>
    </xf>
    <xf numFmtId="0" fontId="81" fillId="0" borderId="74" xfId="0" applyFont="1" applyBorder="1" applyAlignment="1">
      <alignment horizontal="left" indent="1"/>
    </xf>
    <xf numFmtId="166" fontId="82" fillId="3" borderId="50" xfId="0" applyNumberFormat="1" applyFont="1" applyFill="1" applyBorder="1" applyAlignment="1">
      <alignment horizontal="center" vertical="center"/>
    </xf>
    <xf numFmtId="0" fontId="57" fillId="113" borderId="74" xfId="0" applyFont="1" applyFill="1" applyBorder="1" applyAlignment="1">
      <alignment horizontal="left"/>
    </xf>
    <xf numFmtId="0" fontId="57" fillId="113" borderId="74" xfId="0" applyFont="1" applyFill="1" applyBorder="1" applyAlignment="1">
      <alignment horizontal="center"/>
    </xf>
    <xf numFmtId="0" fontId="62" fillId="113" borderId="74" xfId="0" applyFont="1" applyFill="1" applyBorder="1" applyAlignment="1">
      <alignment horizontal="left"/>
    </xf>
    <xf numFmtId="0" fontId="62" fillId="113" borderId="74" xfId="0" applyFont="1" applyFill="1" applyBorder="1" applyAlignment="1">
      <alignment horizontal="center"/>
    </xf>
    <xf numFmtId="0" fontId="71" fillId="111" borderId="86" xfId="0" applyFont="1" applyFill="1" applyBorder="1" applyAlignment="1">
      <alignment horizontal="left" vertical="center" wrapText="1"/>
    </xf>
    <xf numFmtId="0" fontId="71" fillId="112" borderId="87" xfId="0" applyFont="1" applyFill="1" applyBorder="1" applyAlignment="1">
      <alignment horizontal="left" vertical="center" wrapText="1"/>
    </xf>
    <xf numFmtId="0" fontId="71" fillId="111" borderId="87" xfId="0" applyFont="1" applyFill="1" applyBorder="1" applyAlignment="1">
      <alignment horizontal="left" vertical="center" wrapText="1"/>
    </xf>
    <xf numFmtId="0" fontId="56" fillId="113" borderId="77" xfId="0" applyFont="1" applyFill="1" applyBorder="1" applyAlignment="1">
      <alignment horizontal="center" vertical="center" wrapText="1"/>
    </xf>
    <xf numFmtId="10" fontId="55" fillId="0" borderId="0" xfId="0" applyNumberFormat="1" applyFont="1"/>
    <xf numFmtId="0" fontId="57" fillId="113" borderId="1" xfId="0" applyFont="1" applyFill="1" applyBorder="1" applyAlignment="1">
      <alignment horizontal="center" vertical="center"/>
    </xf>
    <xf numFmtId="0" fontId="55" fillId="3" borderId="74" xfId="0" applyFont="1" applyFill="1" applyBorder="1" applyAlignment="1">
      <alignment horizontal="center"/>
    </xf>
    <xf numFmtId="167" fontId="55" fillId="0" borderId="74" xfId="0" applyNumberFormat="1" applyFont="1" applyBorder="1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72" fillId="0" borderId="0" xfId="0" applyFont="1" applyAlignment="1">
      <alignment horizontal="center"/>
    </xf>
    <xf numFmtId="0" fontId="83" fillId="0" borderId="0" xfId="5" applyFont="1"/>
    <xf numFmtId="0" fontId="83" fillId="0" borderId="0" xfId="5" applyFont="1" applyFill="1"/>
    <xf numFmtId="0" fontId="68" fillId="0" borderId="0" xfId="0" applyFont="1" applyAlignment="1">
      <alignment horizontal="center"/>
    </xf>
    <xf numFmtId="0" fontId="68" fillId="0" borderId="0" xfId="0" applyFont="1" applyAlignment="1">
      <alignment vertical="top"/>
    </xf>
    <xf numFmtId="0" fontId="68" fillId="0" borderId="1" xfId="0" applyFont="1" applyBorder="1" applyAlignment="1">
      <alignment horizontal="center" vertical="top"/>
    </xf>
    <xf numFmtId="0" fontId="68" fillId="0" borderId="1" xfId="0" applyFont="1" applyBorder="1" applyAlignment="1">
      <alignment vertical="top"/>
    </xf>
    <xf numFmtId="15" fontId="68" fillId="0" borderId="1" xfId="0" applyNumberFormat="1" applyFont="1" applyBorder="1" applyAlignment="1">
      <alignment horizontal="center"/>
    </xf>
    <xf numFmtId="0" fontId="68" fillId="0" borderId="1" xfId="0" applyFont="1" applyBorder="1" applyAlignment="1">
      <alignment horizontal="center"/>
    </xf>
    <xf numFmtId="2" fontId="55" fillId="35" borderId="0" xfId="0" applyNumberFormat="1" applyFont="1" applyFill="1"/>
    <xf numFmtId="0" fontId="55" fillId="0" borderId="88" xfId="0" applyFont="1" applyBorder="1" applyAlignment="1">
      <alignment horizontal="center" vertical="center"/>
    </xf>
    <xf numFmtId="1" fontId="55" fillId="0" borderId="0" xfId="0" applyNumberFormat="1" applyFont="1" applyAlignment="1">
      <alignment horizontal="center" vertical="center"/>
    </xf>
    <xf numFmtId="14" fontId="55" fillId="0" borderId="4" xfId="0" applyNumberFormat="1" applyFont="1" applyBorder="1"/>
    <xf numFmtId="0" fontId="55" fillId="3" borderId="5" xfId="0" applyFont="1" applyFill="1" applyBorder="1" applyAlignment="1">
      <alignment horizontal="center"/>
    </xf>
    <xf numFmtId="2" fontId="69" fillId="0" borderId="5" xfId="105" applyNumberFormat="1" applyFont="1" applyBorder="1" applyAlignment="1">
      <alignment horizontal="center"/>
    </xf>
    <xf numFmtId="1" fontId="55" fillId="0" borderId="5" xfId="0" applyNumberFormat="1" applyFont="1" applyBorder="1" applyAlignment="1">
      <alignment horizontal="center" vertical="center"/>
    </xf>
    <xf numFmtId="167" fontId="55" fillId="0" borderId="5" xfId="0" applyNumberFormat="1" applyFont="1" applyBorder="1" applyAlignment="1">
      <alignment horizontal="center" vertical="center"/>
    </xf>
    <xf numFmtId="1" fontId="55" fillId="0" borderId="6" xfId="0" applyNumberFormat="1" applyFont="1" applyBorder="1" applyAlignment="1">
      <alignment horizontal="center" vertical="center"/>
    </xf>
    <xf numFmtId="14" fontId="55" fillId="0" borderId="65" xfId="0" applyNumberFormat="1" applyFont="1" applyBorder="1"/>
    <xf numFmtId="1" fontId="55" fillId="0" borderId="74" xfId="0" applyNumberFormat="1" applyFont="1" applyBorder="1" applyAlignment="1">
      <alignment horizontal="center" vertical="center"/>
    </xf>
    <xf numFmtId="1" fontId="55" fillId="0" borderId="73" xfId="0" applyNumberFormat="1" applyFont="1" applyBorder="1" applyAlignment="1">
      <alignment horizontal="center" vertical="center"/>
    </xf>
    <xf numFmtId="14" fontId="55" fillId="0" borderId="7" xfId="0" applyNumberFormat="1" applyFont="1" applyBorder="1"/>
    <xf numFmtId="0" fontId="55" fillId="3" borderId="95" xfId="0" applyFont="1" applyFill="1" applyBorder="1" applyAlignment="1">
      <alignment horizontal="center"/>
    </xf>
    <xf numFmtId="2" fontId="69" fillId="3" borderId="95" xfId="105" applyNumberFormat="1" applyFont="1" applyFill="1" applyBorder="1" applyAlignment="1">
      <alignment horizontal="center"/>
    </xf>
    <xf numFmtId="1" fontId="55" fillId="0" borderId="95" xfId="0" applyNumberFormat="1" applyFont="1" applyBorder="1" applyAlignment="1">
      <alignment horizontal="center" vertical="center"/>
    </xf>
    <xf numFmtId="167" fontId="55" fillId="0" borderId="95" xfId="0" applyNumberFormat="1" applyFont="1" applyBorder="1" applyAlignment="1">
      <alignment horizontal="center" vertical="center"/>
    </xf>
    <xf numFmtId="1" fontId="55" fillId="0" borderId="8" xfId="0" applyNumberFormat="1" applyFont="1" applyBorder="1" applyAlignment="1">
      <alignment horizontal="center" vertical="center"/>
    </xf>
    <xf numFmtId="0" fontId="55" fillId="3" borderId="4" xfId="0" applyFont="1" applyFill="1" applyBorder="1" applyAlignment="1">
      <alignment horizontal="center"/>
    </xf>
    <xf numFmtId="0" fontId="57" fillId="113" borderId="28" xfId="0" applyFont="1" applyFill="1" applyBorder="1" applyAlignment="1">
      <alignment horizontal="center" vertical="center"/>
    </xf>
    <xf numFmtId="0" fontId="57" fillId="113" borderId="29" xfId="0" applyFont="1" applyFill="1" applyBorder="1" applyAlignment="1">
      <alignment horizontal="center" vertical="center"/>
    </xf>
    <xf numFmtId="0" fontId="57" fillId="113" borderId="30" xfId="0" applyFont="1" applyFill="1" applyBorder="1" applyAlignment="1">
      <alignment horizontal="center" vertical="center"/>
    </xf>
    <xf numFmtId="2" fontId="69" fillId="3" borderId="5" xfId="105" applyNumberFormat="1" applyFont="1" applyFill="1" applyBorder="1" applyAlignment="1">
      <alignment horizontal="center"/>
    </xf>
    <xf numFmtId="2" fontId="61" fillId="0" borderId="74" xfId="105" applyNumberFormat="1" applyFont="1" applyBorder="1" applyAlignment="1">
      <alignment horizontal="center"/>
    </xf>
    <xf numFmtId="0" fontId="57" fillId="113" borderId="74" xfId="0" applyFont="1" applyFill="1" applyBorder="1" applyAlignment="1">
      <alignment horizontal="center" vertical="center" wrapText="1"/>
    </xf>
    <xf numFmtId="0" fontId="77" fillId="113" borderId="74" xfId="0" applyFont="1" applyFill="1" applyBorder="1" applyAlignment="1">
      <alignment horizontal="center" vertical="center" wrapText="1"/>
    </xf>
    <xf numFmtId="0" fontId="55" fillId="3" borderId="74" xfId="0" applyFont="1" applyFill="1" applyBorder="1" applyAlignment="1">
      <alignment horizontal="center" vertical="center"/>
    </xf>
    <xf numFmtId="2" fontId="55" fillId="3" borderId="74" xfId="0" applyNumberFormat="1" applyFont="1" applyFill="1" applyBorder="1" applyAlignment="1">
      <alignment horizontal="center" vertical="center"/>
    </xf>
    <xf numFmtId="166" fontId="55" fillId="3" borderId="74" xfId="0" applyNumberFormat="1" applyFont="1" applyFill="1" applyBorder="1" applyAlignment="1">
      <alignment horizontal="center" vertical="center"/>
    </xf>
    <xf numFmtId="49" fontId="55" fillId="3" borderId="74" xfId="0" applyNumberFormat="1" applyFont="1" applyFill="1" applyBorder="1" applyAlignment="1">
      <alignment horizontal="center" vertical="center"/>
    </xf>
    <xf numFmtId="1" fontId="55" fillId="3" borderId="74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57" fillId="116" borderId="74" xfId="1625" applyNumberFormat="1" applyFont="1" applyFill="1" applyBorder="1" applyAlignment="1">
      <alignment horizontal="center" vertical="center"/>
    </xf>
    <xf numFmtId="0" fontId="57" fillId="113" borderId="74" xfId="1626" applyFont="1" applyFill="1" applyBorder="1" applyAlignment="1">
      <alignment horizontal="center" vertical="center"/>
    </xf>
    <xf numFmtId="0" fontId="61" fillId="114" borderId="74" xfId="1625" applyNumberFormat="1" applyFont="1" applyFill="1" applyBorder="1" applyAlignment="1">
      <alignment vertical="center"/>
    </xf>
    <xf numFmtId="166" fontId="69" fillId="115" borderId="74" xfId="1625" applyNumberFormat="1" applyFont="1" applyFill="1" applyBorder="1" applyAlignment="1">
      <alignment horizontal="center" vertical="center"/>
    </xf>
    <xf numFmtId="0" fontId="69" fillId="115" borderId="74" xfId="1625" applyNumberFormat="1" applyFont="1" applyFill="1" applyBorder="1" applyAlignment="1">
      <alignment horizontal="center" vertical="center"/>
    </xf>
    <xf numFmtId="0" fontId="61" fillId="3" borderId="74" xfId="0" applyFont="1" applyFill="1" applyBorder="1" applyAlignment="1">
      <alignment vertical="center"/>
    </xf>
    <xf numFmtId="166" fontId="61" fillId="3" borderId="74" xfId="0" applyNumberFormat="1" applyFont="1" applyFill="1" applyBorder="1" applyAlignment="1">
      <alignment horizontal="center" vertical="center"/>
    </xf>
    <xf numFmtId="166" fontId="61" fillId="115" borderId="74" xfId="1625" applyNumberFormat="1" applyFont="1" applyFill="1" applyBorder="1" applyAlignment="1">
      <alignment horizontal="center" vertical="center"/>
    </xf>
    <xf numFmtId="2" fontId="61" fillId="3" borderId="74" xfId="0" applyNumberFormat="1" applyFont="1" applyFill="1" applyBorder="1" applyAlignment="1">
      <alignment horizontal="center" vertical="center"/>
    </xf>
    <xf numFmtId="1" fontId="61" fillId="3" borderId="74" xfId="0" applyNumberFormat="1" applyFont="1" applyFill="1" applyBorder="1" applyAlignment="1">
      <alignment horizontal="center" vertical="center"/>
    </xf>
    <xf numFmtId="0" fontId="61" fillId="3" borderId="74" xfId="0" applyFont="1" applyFill="1" applyBorder="1" applyAlignment="1">
      <alignment horizontal="center" vertical="center"/>
    </xf>
    <xf numFmtId="0" fontId="56" fillId="113" borderId="0" xfId="0" applyFont="1" applyFill="1" applyAlignment="1">
      <alignment horizontal="center"/>
    </xf>
    <xf numFmtId="0" fontId="66" fillId="0" borderId="0" xfId="0" applyFont="1" applyAlignment="1">
      <alignment horizontal="center" vertical="center"/>
    </xf>
    <xf numFmtId="0" fontId="55" fillId="0" borderId="5" xfId="0" applyFont="1" applyBorder="1" applyAlignment="1">
      <alignment horizontal="center" vertical="center"/>
    </xf>
    <xf numFmtId="166" fontId="55" fillId="0" borderId="5" xfId="0" applyNumberFormat="1" applyFont="1" applyBorder="1" applyAlignment="1">
      <alignment horizontal="center" vertical="center"/>
    </xf>
    <xf numFmtId="177" fontId="55" fillId="0" borderId="5" xfId="0" applyNumberFormat="1" applyFont="1" applyBorder="1" applyAlignment="1">
      <alignment horizontal="center" vertical="center"/>
    </xf>
    <xf numFmtId="177" fontId="55" fillId="0" borderId="6" xfId="0" applyNumberFormat="1" applyFont="1" applyBorder="1" applyAlignment="1">
      <alignment horizontal="center" vertical="center"/>
    </xf>
    <xf numFmtId="0" fontId="55" fillId="0" borderId="4" xfId="0" applyFont="1" applyBorder="1" applyAlignment="1">
      <alignment horizontal="center" vertical="center"/>
    </xf>
    <xf numFmtId="0" fontId="55" fillId="0" borderId="6" xfId="0" applyFont="1" applyBorder="1" applyAlignment="1">
      <alignment horizontal="center" vertical="center"/>
    </xf>
    <xf numFmtId="166" fontId="55" fillId="0" borderId="74" xfId="0" applyNumberFormat="1" applyFont="1" applyBorder="1" applyAlignment="1">
      <alignment horizontal="center" vertical="center"/>
    </xf>
    <xf numFmtId="177" fontId="55" fillId="0" borderId="74" xfId="0" applyNumberFormat="1" applyFont="1" applyBorder="1" applyAlignment="1">
      <alignment horizontal="center" vertical="center"/>
    </xf>
    <xf numFmtId="0" fontId="55" fillId="0" borderId="65" xfId="0" applyFont="1" applyBorder="1" applyAlignment="1">
      <alignment horizontal="center" vertical="center"/>
    </xf>
    <xf numFmtId="0" fontId="55" fillId="0" borderId="73" xfId="0" applyFont="1" applyBorder="1" applyAlignment="1">
      <alignment horizontal="center" vertical="center"/>
    </xf>
    <xf numFmtId="0" fontId="55" fillId="0" borderId="95" xfId="0" applyFont="1" applyBorder="1" applyAlignment="1">
      <alignment horizontal="center" vertical="center"/>
    </xf>
    <xf numFmtId="166" fontId="55" fillId="0" borderId="95" xfId="0" applyNumberFormat="1" applyFont="1" applyBorder="1" applyAlignment="1">
      <alignment horizontal="center" vertical="center"/>
    </xf>
    <xf numFmtId="177" fontId="55" fillId="0" borderId="95" xfId="0" applyNumberFormat="1" applyFont="1" applyBorder="1" applyAlignment="1">
      <alignment horizontal="center" vertical="center"/>
    </xf>
    <xf numFmtId="0" fontId="55" fillId="0" borderId="7" xfId="0" applyFont="1" applyBorder="1" applyAlignment="1">
      <alignment horizontal="center" vertical="center"/>
    </xf>
    <xf numFmtId="0" fontId="55" fillId="0" borderId="8" xfId="0" applyFont="1" applyBorder="1" applyAlignment="1">
      <alignment horizontal="center" vertical="center"/>
    </xf>
    <xf numFmtId="0" fontId="62" fillId="113" borderId="35" xfId="0" applyFont="1" applyFill="1" applyBorder="1" applyAlignment="1">
      <alignment horizontal="center" vertical="center"/>
    </xf>
    <xf numFmtId="0" fontId="62" fillId="113" borderId="36" xfId="0" applyFont="1" applyFill="1" applyBorder="1" applyAlignment="1">
      <alignment horizontal="center" vertical="center"/>
    </xf>
    <xf numFmtId="0" fontId="62" fillId="113" borderId="37" xfId="0" applyFont="1" applyFill="1" applyBorder="1" applyAlignment="1">
      <alignment horizontal="center" vertical="center"/>
    </xf>
    <xf numFmtId="0" fontId="57" fillId="113" borderId="96" xfId="0" applyFont="1" applyFill="1" applyBorder="1" applyAlignment="1">
      <alignment horizontal="center" vertical="center"/>
    </xf>
    <xf numFmtId="0" fontId="57" fillId="113" borderId="97" xfId="0" applyFont="1" applyFill="1" applyBorder="1" applyAlignment="1">
      <alignment horizontal="center" vertical="center"/>
    </xf>
    <xf numFmtId="0" fontId="57" fillId="113" borderId="98" xfId="0" applyFont="1" applyFill="1" applyBorder="1" applyAlignment="1">
      <alignment horizontal="center" vertical="center"/>
    </xf>
    <xf numFmtId="0" fontId="57" fillId="113" borderId="20" xfId="0" applyFont="1" applyFill="1" applyBorder="1" applyAlignment="1">
      <alignment horizontal="center" vertical="center"/>
    </xf>
    <xf numFmtId="0" fontId="57" fillId="113" borderId="99" xfId="0" applyFont="1" applyFill="1" applyBorder="1" applyAlignment="1">
      <alignment horizontal="center" vertical="center"/>
    </xf>
    <xf numFmtId="0" fontId="57" fillId="113" borderId="100" xfId="0" applyFont="1" applyFill="1" applyBorder="1" applyAlignment="1">
      <alignment horizontal="center" vertical="center"/>
    </xf>
    <xf numFmtId="177" fontId="55" fillId="0" borderId="73" xfId="0" applyNumberFormat="1" applyFont="1" applyBorder="1" applyAlignment="1">
      <alignment horizontal="center" vertical="center"/>
    </xf>
    <xf numFmtId="177" fontId="55" fillId="0" borderId="8" xfId="0" applyNumberFormat="1" applyFont="1" applyBorder="1" applyAlignment="1">
      <alignment horizontal="center" vertical="center"/>
    </xf>
    <xf numFmtId="0" fontId="5" fillId="0" borderId="0" xfId="5"/>
    <xf numFmtId="2" fontId="55" fillId="0" borderId="0" xfId="0" applyNumberFormat="1" applyFont="1" applyAlignment="1">
      <alignment horizontal="center" vertical="center"/>
    </xf>
    <xf numFmtId="0" fontId="79" fillId="0" borderId="0" xfId="0" applyFont="1" applyAlignment="1">
      <alignment horizontal="right" vertical="center"/>
    </xf>
    <xf numFmtId="0" fontId="55" fillId="0" borderId="0" xfId="0" applyFont="1" applyAlignment="1">
      <alignment horizontal="right" vertical="center"/>
    </xf>
    <xf numFmtId="0" fontId="64" fillId="0" borderId="0" xfId="0" applyFont="1" applyAlignment="1">
      <alignment horizontal="right" vertical="center"/>
    </xf>
    <xf numFmtId="0" fontId="66" fillId="0" borderId="0" xfId="0" applyFont="1" applyAlignment="1">
      <alignment horizontal="right" vertical="center"/>
    </xf>
    <xf numFmtId="2" fontId="55" fillId="0" borderId="92" xfId="0" applyNumberFormat="1" applyFont="1" applyBorder="1" applyAlignment="1">
      <alignment horizontal="center" vertical="center"/>
    </xf>
    <xf numFmtId="2" fontId="55" fillId="0" borderId="59" xfId="0" applyNumberFormat="1" applyFont="1" applyBorder="1" applyAlignment="1">
      <alignment horizontal="center" vertical="center"/>
    </xf>
    <xf numFmtId="2" fontId="55" fillId="0" borderId="22" xfId="0" applyNumberFormat="1" applyFont="1" applyBorder="1" applyAlignment="1">
      <alignment horizontal="center" vertical="center"/>
    </xf>
    <xf numFmtId="1" fontId="55" fillId="35" borderId="59" xfId="0" applyNumberFormat="1" applyFont="1" applyFill="1" applyBorder="1" applyAlignment="1">
      <alignment horizontal="center" vertical="center"/>
    </xf>
    <xf numFmtId="167" fontId="55" fillId="0" borderId="59" xfId="0" applyNumberFormat="1" applyFont="1" applyBorder="1" applyAlignment="1">
      <alignment horizontal="center" vertical="center"/>
    </xf>
    <xf numFmtId="0" fontId="66" fillId="0" borderId="59" xfId="0" applyFont="1" applyBorder="1" applyAlignment="1">
      <alignment horizontal="right" vertical="center"/>
    </xf>
    <xf numFmtId="2" fontId="55" fillId="0" borderId="75" xfId="0" applyNumberFormat="1" applyFont="1" applyBorder="1" applyAlignment="1">
      <alignment horizontal="center" vertical="center"/>
    </xf>
    <xf numFmtId="2" fontId="55" fillId="0" borderId="88" xfId="0" applyNumberFormat="1" applyFont="1" applyBorder="1" applyAlignment="1">
      <alignment horizontal="center" vertical="center"/>
    </xf>
    <xf numFmtId="1" fontId="55" fillId="35" borderId="88" xfId="0" applyNumberFormat="1" applyFont="1" applyFill="1" applyBorder="1" applyAlignment="1">
      <alignment horizontal="center" vertical="center"/>
    </xf>
    <xf numFmtId="167" fontId="55" fillId="0" borderId="88" xfId="0" applyNumberFormat="1" applyFont="1" applyBorder="1" applyAlignment="1">
      <alignment horizontal="center" vertical="center"/>
    </xf>
    <xf numFmtId="0" fontId="66" fillId="0" borderId="88" xfId="0" applyFont="1" applyBorder="1" applyAlignment="1">
      <alignment horizontal="right" vertical="center"/>
    </xf>
    <xf numFmtId="0" fontId="66" fillId="0" borderId="81" xfId="0" applyFont="1" applyBorder="1" applyAlignment="1">
      <alignment horizontal="center" vertical="center"/>
    </xf>
    <xf numFmtId="0" fontId="66" fillId="0" borderId="76" xfId="0" applyFont="1" applyBorder="1" applyAlignment="1">
      <alignment horizontal="center" vertical="center"/>
    </xf>
    <xf numFmtId="0" fontId="66" fillId="0" borderId="71" xfId="0" applyFont="1" applyBorder="1" applyAlignment="1">
      <alignment horizontal="center" vertical="center"/>
    </xf>
    <xf numFmtId="0" fontId="66" fillId="0" borderId="2" xfId="0" applyFont="1" applyBorder="1" applyAlignment="1">
      <alignment horizontal="center" vertical="center"/>
    </xf>
    <xf numFmtId="0" fontId="66" fillId="0" borderId="22" xfId="0" applyFont="1" applyBorder="1" applyAlignment="1">
      <alignment horizontal="center" vertical="center"/>
    </xf>
    <xf numFmtId="0" fontId="66" fillId="0" borderId="56" xfId="0" applyFont="1" applyBorder="1" applyAlignment="1">
      <alignment horizontal="center" vertical="center"/>
    </xf>
    <xf numFmtId="2" fontId="66" fillId="0" borderId="2" xfId="0" applyNumberFormat="1" applyFont="1" applyBorder="1" applyAlignment="1">
      <alignment horizontal="center" vertical="center"/>
    </xf>
    <xf numFmtId="2" fontId="66" fillId="0" borderId="0" xfId="0" applyNumberFormat="1" applyFont="1" applyAlignment="1">
      <alignment horizontal="center" vertical="center"/>
    </xf>
    <xf numFmtId="2" fontId="66" fillId="0" borderId="56" xfId="0" applyNumberFormat="1" applyFont="1" applyBorder="1" applyAlignment="1">
      <alignment horizontal="center" vertical="center"/>
    </xf>
    <xf numFmtId="0" fontId="66" fillId="0" borderId="0" xfId="0" applyFont="1" applyAlignment="1">
      <alignment horizontal="center" vertical="center" wrapText="1"/>
    </xf>
    <xf numFmtId="0" fontId="66" fillId="0" borderId="77" xfId="0" applyFont="1" applyBorder="1" applyAlignment="1">
      <alignment horizontal="center" vertical="center"/>
    </xf>
    <xf numFmtId="0" fontId="66" fillId="0" borderId="75" xfId="0" applyFont="1" applyBorder="1" applyAlignment="1">
      <alignment horizontal="center" vertical="center"/>
    </xf>
    <xf numFmtId="2" fontId="66" fillId="0" borderId="79" xfId="0" applyNumberFormat="1" applyFont="1" applyBorder="1" applyAlignment="1">
      <alignment horizontal="center" vertical="center"/>
    </xf>
    <xf numFmtId="2" fontId="66" fillId="0" borderId="77" xfId="0" applyNumberFormat="1" applyFont="1" applyBorder="1" applyAlignment="1">
      <alignment horizontal="center" vertical="center"/>
    </xf>
    <xf numFmtId="177" fontId="55" fillId="0" borderId="0" xfId="0" applyNumberFormat="1" applyFont="1" applyAlignment="1">
      <alignment horizontal="center" vertical="center"/>
    </xf>
    <xf numFmtId="178" fontId="55" fillId="0" borderId="0" xfId="0" applyNumberFormat="1" applyFont="1" applyAlignment="1">
      <alignment horizontal="center" vertical="center"/>
    </xf>
    <xf numFmtId="2" fontId="69" fillId="0" borderId="0" xfId="1624" applyFont="1" applyAlignment="1">
      <alignment vertical="center"/>
    </xf>
    <xf numFmtId="2" fontId="61" fillId="0" borderId="0" xfId="1624" applyFont="1" applyAlignment="1">
      <alignment vertical="center"/>
    </xf>
    <xf numFmtId="2" fontId="61" fillId="125" borderId="74" xfId="1624" applyFont="1" applyFill="1" applyBorder="1" applyAlignment="1">
      <alignment horizontal="center" vertical="center"/>
    </xf>
    <xf numFmtId="1" fontId="69" fillId="127" borderId="74" xfId="1624" applyNumberFormat="1" applyFont="1" applyFill="1" applyBorder="1" applyAlignment="1">
      <alignment horizontal="center" vertical="center"/>
    </xf>
    <xf numFmtId="2" fontId="69" fillId="0" borderId="74" xfId="1624" applyFont="1" applyBorder="1" applyAlignment="1">
      <alignment horizontal="center" vertical="center"/>
    </xf>
    <xf numFmtId="2" fontId="69" fillId="127" borderId="74" xfId="1624" applyFont="1" applyFill="1" applyBorder="1" applyAlignment="1">
      <alignment horizontal="center" vertical="center"/>
    </xf>
    <xf numFmtId="1" fontId="86" fillId="0" borderId="0" xfId="0" applyNumberFormat="1" applyFont="1" applyAlignment="1">
      <alignment horizontal="center"/>
    </xf>
    <xf numFmtId="2" fontId="74" fillId="0" borderId="0" xfId="1624" applyFont="1" applyAlignment="1">
      <alignment vertical="center"/>
    </xf>
    <xf numFmtId="2" fontId="87" fillId="124" borderId="0" xfId="1627" applyNumberFormat="1" applyFont="1" applyFill="1" applyBorder="1" applyAlignment="1" applyProtection="1">
      <alignment vertical="center"/>
      <protection locked="0"/>
    </xf>
    <xf numFmtId="2" fontId="69" fillId="124" borderId="0" xfId="1624" applyFont="1" applyFill="1" applyAlignment="1">
      <alignment vertical="center"/>
    </xf>
    <xf numFmtId="2" fontId="61" fillId="0" borderId="0" xfId="1624" applyFont="1" applyAlignment="1">
      <alignment horizontal="center" vertical="center"/>
    </xf>
    <xf numFmtId="2" fontId="74" fillId="119" borderId="71" xfId="1624" applyFont="1" applyFill="1" applyBorder="1" applyAlignment="1">
      <alignment horizontal="left" vertical="center"/>
    </xf>
    <xf numFmtId="2" fontId="74" fillId="119" borderId="76" xfId="1624" applyFont="1" applyFill="1" applyBorder="1" applyAlignment="1">
      <alignment horizontal="left" vertical="center"/>
    </xf>
    <xf numFmtId="2" fontId="74" fillId="119" borderId="81" xfId="1624" applyFont="1" applyFill="1" applyBorder="1" applyAlignment="1">
      <alignment horizontal="left" vertical="center"/>
    </xf>
    <xf numFmtId="2" fontId="68" fillId="0" borderId="0" xfId="1624" applyFont="1"/>
    <xf numFmtId="2" fontId="69" fillId="119" borderId="74" xfId="1624" applyFont="1" applyFill="1" applyBorder="1" applyAlignment="1">
      <alignment horizontal="center" vertical="center"/>
    </xf>
    <xf numFmtId="1" fontId="69" fillId="119" borderId="74" xfId="1624" applyNumberFormat="1" applyFont="1" applyFill="1" applyBorder="1" applyAlignment="1">
      <alignment horizontal="center" vertical="center"/>
    </xf>
    <xf numFmtId="2" fontId="61" fillId="119" borderId="74" xfId="1624" applyFont="1" applyFill="1" applyBorder="1" applyAlignment="1">
      <alignment horizontal="center" vertical="center"/>
    </xf>
    <xf numFmtId="49" fontId="88" fillId="0" borderId="74" xfId="14" quotePrefix="1" applyNumberFormat="1" applyFont="1" applyFill="1" applyBorder="1" applyAlignment="1">
      <alignment horizontal="center" vertical="center"/>
    </xf>
    <xf numFmtId="2" fontId="88" fillId="0" borderId="74" xfId="14" applyNumberFormat="1" applyFont="1" applyFill="1" applyBorder="1" applyAlignment="1">
      <alignment horizontal="center" vertical="center"/>
    </xf>
    <xf numFmtId="1" fontId="88" fillId="0" borderId="74" xfId="14" applyNumberFormat="1" applyFont="1" applyFill="1" applyBorder="1" applyAlignment="1">
      <alignment horizontal="center" vertical="center"/>
    </xf>
    <xf numFmtId="166" fontId="89" fillId="0" borderId="74" xfId="1627" quotePrefix="1" applyNumberFormat="1" applyFont="1" applyFill="1" applyBorder="1" applyAlignment="1" applyProtection="1">
      <alignment horizontal="center" vertical="center"/>
    </xf>
    <xf numFmtId="1" fontId="89" fillId="0" borderId="74" xfId="1627" quotePrefix="1" applyNumberFormat="1" applyFont="1" applyFill="1" applyBorder="1" applyAlignment="1" applyProtection="1">
      <alignment horizontal="center" vertical="center"/>
    </xf>
    <xf numFmtId="9" fontId="89" fillId="0" borderId="74" xfId="1" quotePrefix="1" applyFont="1" applyFill="1" applyBorder="1" applyAlignment="1" applyProtection="1">
      <alignment horizontal="center" vertical="center"/>
    </xf>
    <xf numFmtId="1" fontId="69" fillId="0" borderId="0" xfId="1624" applyNumberFormat="1" applyFont="1" applyAlignment="1">
      <alignment vertical="center"/>
    </xf>
    <xf numFmtId="2" fontId="74" fillId="119" borderId="76" xfId="1624" applyFont="1" applyFill="1" applyBorder="1" applyAlignment="1">
      <alignment horizontal="left" vertical="center" indent="2"/>
    </xf>
    <xf numFmtId="2" fontId="74" fillId="119" borderId="81" xfId="1624" applyFont="1" applyFill="1" applyBorder="1" applyAlignment="1">
      <alignment horizontal="left" vertical="center" indent="2"/>
    </xf>
    <xf numFmtId="2" fontId="74" fillId="117" borderId="71" xfId="1624" applyFont="1" applyFill="1" applyBorder="1" applyAlignment="1">
      <alignment horizontal="left" vertical="center"/>
    </xf>
    <xf numFmtId="2" fontId="74" fillId="117" borderId="76" xfId="1624" applyFont="1" applyFill="1" applyBorder="1" applyAlignment="1">
      <alignment horizontal="left" vertical="center" indent="4"/>
    </xf>
    <xf numFmtId="2" fontId="61" fillId="117" borderId="76" xfId="1624" applyFont="1" applyFill="1" applyBorder="1" applyAlignment="1">
      <alignment horizontal="center" vertical="center"/>
    </xf>
    <xf numFmtId="2" fontId="69" fillId="117" borderId="81" xfId="1624" applyFont="1" applyFill="1" applyBorder="1" applyAlignment="1">
      <alignment horizontal="center" vertical="center"/>
    </xf>
    <xf numFmtId="1" fontId="69" fillId="127" borderId="74" xfId="1624" quotePrefix="1" applyNumberFormat="1" applyFont="1" applyFill="1" applyBorder="1" applyAlignment="1">
      <alignment horizontal="center" vertical="center"/>
    </xf>
    <xf numFmtId="2" fontId="69" fillId="119" borderId="71" xfId="1624" applyFont="1" applyFill="1" applyBorder="1" applyAlignment="1">
      <alignment vertical="center"/>
    </xf>
    <xf numFmtId="2" fontId="69" fillId="119" borderId="81" xfId="1624" applyFont="1" applyFill="1" applyBorder="1" applyAlignment="1">
      <alignment horizontal="right" vertical="center"/>
    </xf>
    <xf numFmtId="166" fontId="87" fillId="120" borderId="74" xfId="1627" applyNumberFormat="1" applyFont="1" applyFill="1" applyBorder="1" applyAlignment="1" applyProtection="1">
      <alignment horizontal="center" vertical="center"/>
      <protection locked="0"/>
    </xf>
    <xf numFmtId="2" fontId="69" fillId="119" borderId="23" xfId="1624" applyFont="1" applyFill="1" applyBorder="1" applyAlignment="1">
      <alignment vertical="center"/>
    </xf>
    <xf numFmtId="1" fontId="69" fillId="119" borderId="59" xfId="1624" applyNumberFormat="1" applyFont="1" applyFill="1" applyBorder="1" applyAlignment="1">
      <alignment horizontal="center" vertical="center"/>
    </xf>
    <xf numFmtId="1" fontId="89" fillId="0" borderId="71" xfId="1627" applyNumberFormat="1" applyFont="1" applyFill="1" applyBorder="1" applyAlignment="1" applyProtection="1">
      <alignment horizontal="center" vertical="center"/>
      <protection locked="0"/>
    </xf>
    <xf numFmtId="166" fontId="89" fillId="124" borderId="81" xfId="1627" applyNumberFormat="1" applyFont="1" applyFill="1" applyBorder="1" applyAlignment="1" applyProtection="1">
      <alignment horizontal="center" vertical="center"/>
      <protection locked="0"/>
    </xf>
    <xf numFmtId="2" fontId="69" fillId="0" borderId="0" xfId="1624" applyFont="1" applyAlignment="1">
      <alignment horizontal="center" vertical="center"/>
    </xf>
    <xf numFmtId="2" fontId="61" fillId="127" borderId="74" xfId="1624" applyFont="1" applyFill="1" applyBorder="1" applyAlignment="1">
      <alignment horizontal="center" vertical="center"/>
    </xf>
    <xf numFmtId="1" fontId="61" fillId="0" borderId="0" xfId="1624" applyNumberFormat="1" applyFont="1" applyAlignment="1">
      <alignment horizontal="center" vertical="center"/>
    </xf>
    <xf numFmtId="2" fontId="69" fillId="119" borderId="92" xfId="1624" applyFont="1" applyFill="1" applyBorder="1" applyAlignment="1">
      <alignment horizontal="right" vertical="center"/>
    </xf>
    <xf numFmtId="1" fontId="89" fillId="124" borderId="71" xfId="1627" applyNumberFormat="1" applyFont="1" applyFill="1" applyBorder="1" applyAlignment="1" applyProtection="1">
      <alignment horizontal="center" vertical="center"/>
      <protection locked="0"/>
    </xf>
    <xf numFmtId="2" fontId="73" fillId="117" borderId="77" xfId="1624" applyFont="1" applyFill="1" applyBorder="1" applyAlignment="1">
      <alignment vertical="center"/>
    </xf>
    <xf numFmtId="2" fontId="61" fillId="119" borderId="76" xfId="1624" applyFont="1" applyFill="1" applyBorder="1" applyAlignment="1">
      <alignment horizontal="center" vertical="center"/>
    </xf>
    <xf numFmtId="2" fontId="74" fillId="119" borderId="71" xfId="1624" applyFont="1" applyFill="1" applyBorder="1" applyAlignment="1">
      <alignment horizontal="center" vertical="center"/>
    </xf>
    <xf numFmtId="2" fontId="61" fillId="119" borderId="81" xfId="1624" applyFont="1" applyFill="1" applyBorder="1" applyAlignment="1">
      <alignment horizontal="center" vertical="center"/>
    </xf>
    <xf numFmtId="1" fontId="87" fillId="120" borderId="74" xfId="1627" applyNumberFormat="1" applyFont="1" applyFill="1" applyBorder="1" applyAlignment="1" applyProtection="1">
      <alignment horizontal="center" vertical="center"/>
      <protection locked="0"/>
    </xf>
    <xf numFmtId="2" fontId="69" fillId="119" borderId="59" xfId="1624" applyFont="1" applyFill="1" applyBorder="1" applyAlignment="1">
      <alignment horizontal="center" vertical="center"/>
    </xf>
    <xf numFmtId="2" fontId="74" fillId="117" borderId="2" xfId="1624" applyFont="1" applyFill="1" applyBorder="1" applyAlignment="1">
      <alignment horizontal="center" vertical="center" wrapText="1"/>
    </xf>
    <xf numFmtId="1" fontId="89" fillId="124" borderId="81" xfId="1627" applyNumberFormat="1" applyFont="1" applyFill="1" applyBorder="1" applyAlignment="1" applyProtection="1">
      <alignment horizontal="center" vertical="center"/>
      <protection locked="0"/>
    </xf>
    <xf numFmtId="1" fontId="69" fillId="123" borderId="74" xfId="0" applyNumberFormat="1" applyFont="1" applyFill="1" applyBorder="1" applyAlignment="1">
      <alignment horizontal="center" vertical="center"/>
    </xf>
    <xf numFmtId="166" fontId="89" fillId="124" borderId="74" xfId="1627" applyNumberFormat="1" applyFont="1" applyFill="1" applyBorder="1" applyAlignment="1" applyProtection="1">
      <alignment horizontal="center" vertical="center"/>
    </xf>
    <xf numFmtId="166" fontId="69" fillId="119" borderId="74" xfId="0" applyNumberFormat="1" applyFont="1" applyFill="1" applyBorder="1" applyAlignment="1">
      <alignment horizontal="center" vertical="center"/>
    </xf>
    <xf numFmtId="1" fontId="89" fillId="0" borderId="0" xfId="1624" applyNumberFormat="1" applyFont="1" applyAlignment="1">
      <alignment horizontal="center" vertical="center"/>
    </xf>
    <xf numFmtId="1" fontId="61" fillId="0" borderId="74" xfId="1624" applyNumberFormat="1" applyFont="1" applyBorder="1" applyAlignment="1">
      <alignment horizontal="center" vertical="center"/>
    </xf>
    <xf numFmtId="2" fontId="61" fillId="117" borderId="2" xfId="1624" applyFont="1" applyFill="1" applyBorder="1" applyAlignment="1">
      <alignment horizontal="center" vertical="center" wrapText="1"/>
    </xf>
    <xf numFmtId="1" fontId="69" fillId="0" borderId="0" xfId="1624" applyNumberFormat="1" applyFont="1" applyAlignment="1">
      <alignment horizontal="center" vertical="center"/>
    </xf>
    <xf numFmtId="1" fontId="90" fillId="0" borderId="0" xfId="1624" applyNumberFormat="1" applyFont="1" applyAlignment="1">
      <alignment horizontal="center" vertical="center"/>
    </xf>
    <xf numFmtId="1" fontId="90" fillId="0" borderId="0" xfId="1624" applyNumberFormat="1" applyFont="1" applyAlignment="1">
      <alignment vertical="center"/>
    </xf>
    <xf numFmtId="2" fontId="55" fillId="0" borderId="0" xfId="1624" applyFont="1"/>
    <xf numFmtId="9" fontId="87" fillId="120" borderId="74" xfId="1" applyFont="1" applyFill="1" applyBorder="1" applyAlignment="1" applyProtection="1">
      <alignment horizontal="center" vertical="center"/>
      <protection locked="0"/>
    </xf>
    <xf numFmtId="166" fontId="89" fillId="124" borderId="71" xfId="1627" applyNumberFormat="1" applyFont="1" applyFill="1" applyBorder="1" applyAlignment="1" applyProtection="1">
      <alignment horizontal="center" vertical="center"/>
      <protection locked="0"/>
    </xf>
    <xf numFmtId="166" fontId="69" fillId="119" borderId="71" xfId="0" applyNumberFormat="1" applyFont="1" applyFill="1" applyBorder="1" applyAlignment="1">
      <alignment horizontal="center" vertical="center"/>
    </xf>
    <xf numFmtId="2" fontId="74" fillId="121" borderId="71" xfId="1624" applyFont="1" applyFill="1" applyBorder="1" applyAlignment="1">
      <alignment horizontal="left" vertical="center"/>
    </xf>
    <xf numFmtId="2" fontId="74" fillId="121" borderId="76" xfId="1624" applyFont="1" applyFill="1" applyBorder="1" applyAlignment="1">
      <alignment horizontal="center" vertical="center"/>
    </xf>
    <xf numFmtId="2" fontId="74" fillId="119" borderId="76" xfId="1624" applyFont="1" applyFill="1" applyBorder="1" applyAlignment="1">
      <alignment horizontal="center" vertical="center"/>
    </xf>
    <xf numFmtId="2" fontId="74" fillId="121" borderId="54" xfId="1624" applyFont="1" applyFill="1" applyBorder="1" applyAlignment="1">
      <alignment horizontal="left" vertical="center"/>
    </xf>
    <xf numFmtId="2" fontId="74" fillId="121" borderId="54" xfId="1624" applyFont="1" applyFill="1" applyBorder="1" applyAlignment="1">
      <alignment horizontal="center" vertical="center"/>
    </xf>
    <xf numFmtId="2" fontId="74" fillId="121" borderId="54" xfId="1624" applyFont="1" applyFill="1" applyBorder="1" applyAlignment="1">
      <alignment horizontal="left" vertical="center" indent="2"/>
    </xf>
    <xf numFmtId="2" fontId="74" fillId="121" borderId="118" xfId="1624" applyFont="1" applyFill="1" applyBorder="1" applyAlignment="1">
      <alignment horizontal="left" vertical="center" indent="2"/>
    </xf>
    <xf numFmtId="2" fontId="61" fillId="117" borderId="106" xfId="1624" applyFont="1" applyFill="1" applyBorder="1" applyAlignment="1">
      <alignment horizontal="center" vertical="center" wrapText="1"/>
    </xf>
    <xf numFmtId="2" fontId="61" fillId="119" borderId="91" xfId="1624" applyFont="1" applyFill="1" applyBorder="1" applyAlignment="1">
      <alignment horizontal="center" vertical="center"/>
    </xf>
    <xf numFmtId="1" fontId="69" fillId="119" borderId="91" xfId="1624" applyNumberFormat="1" applyFont="1" applyFill="1" applyBorder="1" applyAlignment="1">
      <alignment horizontal="center" vertical="center"/>
    </xf>
    <xf numFmtId="166" fontId="89" fillId="124" borderId="91" xfId="1627" applyNumberFormat="1" applyFont="1" applyFill="1" applyBorder="1" applyAlignment="1" applyProtection="1">
      <alignment horizontal="center" vertical="center"/>
    </xf>
    <xf numFmtId="166" fontId="69" fillId="119" borderId="104" xfId="0" applyNumberFormat="1" applyFont="1" applyFill="1" applyBorder="1" applyAlignment="1">
      <alignment horizontal="center" vertical="center"/>
    </xf>
    <xf numFmtId="2" fontId="87" fillId="120" borderId="104" xfId="1627" applyNumberFormat="1" applyFont="1" applyFill="1" applyBorder="1" applyAlignment="1" applyProtection="1">
      <alignment horizontal="center" vertical="center"/>
      <protection locked="0"/>
    </xf>
    <xf numFmtId="2" fontId="87" fillId="120" borderId="91" xfId="1627" applyNumberFormat="1" applyFont="1" applyFill="1" applyBorder="1" applyAlignment="1" applyProtection="1">
      <alignment horizontal="center" vertical="center"/>
      <protection locked="0"/>
    </xf>
    <xf numFmtId="2" fontId="87" fillId="120" borderId="103" xfId="1627" applyNumberFormat="1" applyFont="1" applyFill="1" applyBorder="1" applyAlignment="1" applyProtection="1">
      <alignment horizontal="center" vertical="center"/>
      <protection locked="0"/>
    </xf>
    <xf numFmtId="2" fontId="91" fillId="120" borderId="104" xfId="1627" applyNumberFormat="1" applyFont="1" applyFill="1" applyBorder="1" applyAlignment="1" applyProtection="1">
      <alignment horizontal="center" vertical="center"/>
      <protection locked="0"/>
    </xf>
    <xf numFmtId="2" fontId="91" fillId="120" borderId="91" xfId="1627" applyNumberFormat="1" applyFont="1" applyFill="1" applyBorder="1" applyAlignment="1" applyProtection="1">
      <alignment horizontal="center" vertical="center"/>
      <protection locked="0"/>
    </xf>
    <xf numFmtId="2" fontId="91" fillId="120" borderId="103" xfId="1627" applyNumberFormat="1" applyFont="1" applyFill="1" applyBorder="1" applyAlignment="1" applyProtection="1">
      <alignment horizontal="center" vertical="center"/>
      <protection locked="0"/>
    </xf>
    <xf numFmtId="2" fontId="87" fillId="0" borderId="91" xfId="1627" applyNumberFormat="1" applyFont="1" applyFill="1" applyBorder="1" applyAlignment="1" applyProtection="1">
      <alignment horizontal="center" vertical="center"/>
      <protection locked="0"/>
    </xf>
    <xf numFmtId="2" fontId="87" fillId="0" borderId="103" xfId="1627" applyNumberFormat="1" applyFont="1" applyFill="1" applyBorder="1" applyAlignment="1" applyProtection="1">
      <alignment horizontal="center" vertical="center"/>
      <protection locked="0"/>
    </xf>
    <xf numFmtId="1" fontId="61" fillId="117" borderId="91" xfId="0" applyNumberFormat="1" applyFont="1" applyFill="1" applyBorder="1" applyAlignment="1">
      <alignment horizontal="center" vertical="center"/>
    </xf>
    <xf numFmtId="2" fontId="61" fillId="119" borderId="27" xfId="1624" applyFont="1" applyFill="1" applyBorder="1" applyAlignment="1">
      <alignment horizontal="left" vertical="center" indent="1"/>
    </xf>
    <xf numFmtId="2" fontId="61" fillId="119" borderId="27" xfId="1624" applyFont="1" applyFill="1" applyBorder="1" applyAlignment="1">
      <alignment horizontal="center" vertical="center"/>
    </xf>
    <xf numFmtId="2" fontId="69" fillId="119" borderId="27" xfId="1624" applyFont="1" applyFill="1" applyBorder="1" applyAlignment="1">
      <alignment horizontal="center" vertical="center"/>
    </xf>
    <xf numFmtId="166" fontId="69" fillId="119" borderId="23" xfId="0" applyNumberFormat="1" applyFont="1" applyFill="1" applyBorder="1" applyAlignment="1">
      <alignment horizontal="center" vertical="center"/>
    </xf>
    <xf numFmtId="2" fontId="87" fillId="124" borderId="23" xfId="1627" applyNumberFormat="1" applyFont="1" applyFill="1" applyBorder="1" applyAlignment="1" applyProtection="1">
      <alignment horizontal="center" vertical="center"/>
    </xf>
    <xf numFmtId="2" fontId="87" fillId="124" borderId="27" xfId="1627" applyNumberFormat="1" applyFont="1" applyFill="1" applyBorder="1" applyAlignment="1" applyProtection="1">
      <alignment horizontal="center" vertical="center"/>
    </xf>
    <xf numFmtId="2" fontId="87" fillId="124" borderId="92" xfId="1627" applyNumberFormat="1" applyFont="1" applyFill="1" applyBorder="1" applyAlignment="1" applyProtection="1">
      <alignment horizontal="center" vertical="center"/>
    </xf>
    <xf numFmtId="2" fontId="87" fillId="124" borderId="112" xfId="1627" applyNumberFormat="1" applyFont="1" applyFill="1" applyBorder="1" applyAlignment="1" applyProtection="1">
      <alignment horizontal="center" vertical="center"/>
    </xf>
    <xf numFmtId="2" fontId="87" fillId="124" borderId="64" xfId="1627" applyNumberFormat="1" applyFont="1" applyFill="1" applyBorder="1" applyAlignment="1" applyProtection="1">
      <alignment horizontal="center" vertical="center"/>
    </xf>
    <xf numFmtId="167" fontId="89" fillId="124" borderId="27" xfId="1627" applyNumberFormat="1" applyFont="1" applyFill="1" applyBorder="1" applyAlignment="1" applyProtection="1">
      <alignment horizontal="center" vertical="center"/>
    </xf>
    <xf numFmtId="2" fontId="89" fillId="124" borderId="27" xfId="1627" applyNumberFormat="1" applyFont="1" applyFill="1" applyBorder="1" applyAlignment="1" applyProtection="1">
      <alignment horizontal="center" vertical="center"/>
    </xf>
    <xf numFmtId="2" fontId="87" fillId="120" borderId="27" xfId="1627" applyNumberFormat="1" applyFont="1" applyFill="1" applyBorder="1" applyAlignment="1" applyProtection="1">
      <alignment horizontal="center" vertical="center"/>
    </xf>
    <xf numFmtId="2" fontId="87" fillId="120" borderId="117" xfId="1627" applyNumberFormat="1" applyFont="1" applyFill="1" applyBorder="1" applyAlignment="1" applyProtection="1">
      <alignment horizontal="center" vertical="center"/>
    </xf>
    <xf numFmtId="167" fontId="87" fillId="120" borderId="117" xfId="1627" applyNumberFormat="1" applyFont="1" applyFill="1" applyBorder="1" applyAlignment="1" applyProtection="1">
      <alignment horizontal="center" vertical="center"/>
    </xf>
    <xf numFmtId="0" fontId="55" fillId="0" borderId="27" xfId="0" applyFont="1" applyBorder="1"/>
    <xf numFmtId="166" fontId="87" fillId="0" borderId="92" xfId="1627" applyNumberFormat="1" applyFont="1" applyFill="1" applyBorder="1" applyAlignment="1" applyProtection="1">
      <alignment horizontal="center" vertical="center"/>
      <protection locked="0"/>
    </xf>
    <xf numFmtId="2" fontId="74" fillId="119" borderId="71" xfId="1624" applyFont="1" applyFill="1" applyBorder="1" applyAlignment="1">
      <alignment vertical="center"/>
    </xf>
    <xf numFmtId="2" fontId="69" fillId="119" borderId="77" xfId="1624" applyFont="1" applyFill="1" applyBorder="1" applyAlignment="1">
      <alignment horizontal="center" vertical="center"/>
    </xf>
    <xf numFmtId="2" fontId="69" fillId="119" borderId="2" xfId="1624" applyFont="1" applyFill="1" applyBorder="1" applyAlignment="1">
      <alignment horizontal="center" vertical="center"/>
    </xf>
    <xf numFmtId="1" fontId="69" fillId="119" borderId="77" xfId="1624" applyNumberFormat="1" applyFont="1" applyFill="1" applyBorder="1" applyAlignment="1">
      <alignment horizontal="center" vertical="center"/>
    </xf>
    <xf numFmtId="2" fontId="69" fillId="119" borderId="79" xfId="1624" applyFont="1" applyFill="1" applyBorder="1" applyAlignment="1">
      <alignment horizontal="center" vertical="center"/>
    </xf>
    <xf numFmtId="2" fontId="69" fillId="119" borderId="104" xfId="1624" applyFont="1" applyFill="1" applyBorder="1" applyAlignment="1">
      <alignment horizontal="left" vertical="center"/>
    </xf>
    <xf numFmtId="166" fontId="89" fillId="124" borderId="91" xfId="1627" applyNumberFormat="1" applyFont="1" applyFill="1" applyBorder="1" applyAlignment="1" applyProtection="1">
      <alignment horizontal="center" vertical="center"/>
      <protection locked="0"/>
    </xf>
    <xf numFmtId="166" fontId="89" fillId="124" borderId="91" xfId="1627" quotePrefix="1" applyNumberFormat="1" applyFont="1" applyFill="1" applyBorder="1" applyAlignment="1" applyProtection="1">
      <alignment horizontal="center" vertical="center"/>
      <protection locked="0"/>
    </xf>
    <xf numFmtId="1" fontId="89" fillId="0" borderId="103" xfId="1628" applyNumberFormat="1" applyFont="1" applyFill="1" applyBorder="1" applyAlignment="1" applyProtection="1">
      <alignment horizontal="center" vertical="center"/>
    </xf>
    <xf numFmtId="1" fontId="89" fillId="0" borderId="91" xfId="1628" applyNumberFormat="1" applyFont="1" applyFill="1" applyBorder="1" applyAlignment="1" applyProtection="1">
      <alignment horizontal="center" vertical="center"/>
    </xf>
    <xf numFmtId="2" fontId="89" fillId="124" borderId="104" xfId="1627" applyNumberFormat="1" applyFont="1" applyFill="1" applyBorder="1" applyAlignment="1" applyProtection="1">
      <alignment horizontal="center" vertical="center"/>
      <protection locked="0"/>
    </xf>
    <xf numFmtId="2" fontId="69" fillId="119" borderId="104" xfId="1624" applyFont="1" applyFill="1" applyBorder="1" applyAlignment="1">
      <alignment horizontal="center" vertical="center"/>
    </xf>
    <xf numFmtId="2" fontId="61" fillId="119" borderId="77" xfId="1624" applyFont="1" applyFill="1" applyBorder="1" applyAlignment="1">
      <alignment horizontal="center" vertical="center"/>
    </xf>
    <xf numFmtId="2" fontId="61" fillId="119" borderId="75" xfId="1624" applyFont="1" applyFill="1" applyBorder="1" applyAlignment="1">
      <alignment horizontal="center" vertical="center"/>
    </xf>
    <xf numFmtId="2" fontId="61" fillId="119" borderId="88" xfId="1624" applyFont="1" applyFill="1" applyBorder="1" applyAlignment="1">
      <alignment horizontal="center" vertical="center"/>
    </xf>
    <xf numFmtId="1" fontId="89" fillId="124" borderId="91" xfId="1627" applyNumberFormat="1" applyFont="1" applyFill="1" applyBorder="1" applyAlignment="1" applyProtection="1">
      <alignment horizontal="center" vertical="center"/>
      <protection locked="0"/>
    </xf>
    <xf numFmtId="1" fontId="89" fillId="124" borderId="104" xfId="1627" applyNumberFormat="1" applyFont="1" applyFill="1" applyBorder="1" applyAlignment="1" applyProtection="1">
      <alignment horizontal="center" vertical="center"/>
      <protection locked="0"/>
    </xf>
    <xf numFmtId="2" fontId="61" fillId="119" borderId="106" xfId="1624" applyFont="1" applyFill="1" applyBorder="1" applyAlignment="1">
      <alignment horizontal="center" vertical="center"/>
    </xf>
    <xf numFmtId="2" fontId="61" fillId="119" borderId="116" xfId="1624" applyFont="1" applyFill="1" applyBorder="1" applyAlignment="1">
      <alignment horizontal="center" vertical="center"/>
    </xf>
    <xf numFmtId="2" fontId="61" fillId="119" borderId="107" xfId="1624" applyFont="1" applyFill="1" applyBorder="1" applyAlignment="1">
      <alignment horizontal="center" vertical="center"/>
    </xf>
    <xf numFmtId="2" fontId="61" fillId="117" borderId="105" xfId="1624" applyFont="1" applyFill="1" applyBorder="1" applyAlignment="1">
      <alignment horizontal="center" vertical="center"/>
    </xf>
    <xf numFmtId="2" fontId="61" fillId="117" borderId="91" xfId="1624" applyFont="1" applyFill="1" applyBorder="1" applyAlignment="1">
      <alignment horizontal="center" vertical="center"/>
    </xf>
    <xf numFmtId="2" fontId="61" fillId="117" borderId="103" xfId="1624" applyFont="1" applyFill="1" applyBorder="1" applyAlignment="1">
      <alignment horizontal="center" vertical="center"/>
    </xf>
    <xf numFmtId="2" fontId="61" fillId="117" borderId="111" xfId="1624" applyFont="1" applyFill="1" applyBorder="1" applyAlignment="1">
      <alignment horizontal="center" vertical="center"/>
    </xf>
    <xf numFmtId="2" fontId="61" fillId="117" borderId="106" xfId="1624" applyFont="1" applyFill="1" applyBorder="1" applyAlignment="1">
      <alignment horizontal="center" vertical="center"/>
    </xf>
    <xf numFmtId="0" fontId="61" fillId="0" borderId="25" xfId="0" applyFont="1" applyBorder="1" applyAlignment="1">
      <alignment horizontal="center" vertical="center"/>
    </xf>
    <xf numFmtId="0" fontId="61" fillId="127" borderId="25" xfId="0" applyFont="1" applyFill="1" applyBorder="1" applyAlignment="1">
      <alignment horizontal="center" vertical="center"/>
    </xf>
    <xf numFmtId="0" fontId="61" fillId="0" borderId="25" xfId="0" applyFont="1" applyBorder="1" applyAlignment="1">
      <alignment vertical="center"/>
    </xf>
    <xf numFmtId="2" fontId="69" fillId="119" borderId="23" xfId="1624" applyFont="1" applyFill="1" applyBorder="1" applyAlignment="1">
      <alignment horizontal="center" vertical="center"/>
    </xf>
    <xf numFmtId="2" fontId="89" fillId="124" borderId="27" xfId="1627" applyNumberFormat="1" applyFont="1" applyFill="1" applyBorder="1" applyAlignment="1" applyProtection="1">
      <alignment horizontal="center" vertical="center"/>
      <protection locked="0"/>
    </xf>
    <xf numFmtId="166" fontId="89" fillId="124" borderId="27" xfId="1627" applyNumberFormat="1" applyFont="1" applyFill="1" applyBorder="1" applyAlignment="1" applyProtection="1">
      <alignment horizontal="center" vertical="center"/>
      <protection locked="0"/>
    </xf>
    <xf numFmtId="166" fontId="89" fillId="0" borderId="92" xfId="1628" applyNumberFormat="1" applyFont="1" applyFill="1" applyBorder="1" applyAlignment="1" applyProtection="1">
      <alignment horizontal="center" vertical="center"/>
      <protection locked="0"/>
    </xf>
    <xf numFmtId="166" fontId="89" fillId="0" borderId="27" xfId="1628" applyNumberFormat="1" applyFont="1" applyFill="1" applyBorder="1" applyAlignment="1" applyProtection="1">
      <alignment horizontal="center" vertical="center"/>
      <protection locked="0"/>
    </xf>
    <xf numFmtId="2" fontId="74" fillId="119" borderId="27" xfId="1624" applyFont="1" applyFill="1" applyBorder="1" applyAlignment="1">
      <alignment horizontal="center" vertical="center"/>
    </xf>
    <xf numFmtId="166" fontId="91" fillId="124" borderId="92" xfId="1627" applyNumberFormat="1" applyFont="1" applyFill="1" applyBorder="1" applyAlignment="1" applyProtection="1">
      <alignment horizontal="center" vertical="center"/>
    </xf>
    <xf numFmtId="166" fontId="89" fillId="124" borderId="92" xfId="1627" applyNumberFormat="1" applyFont="1" applyFill="1" applyBorder="1" applyAlignment="1" applyProtection="1">
      <alignment horizontal="center" vertical="center"/>
    </xf>
    <xf numFmtId="2" fontId="89" fillId="124" borderId="71" xfId="1627" applyNumberFormat="1" applyFont="1" applyFill="1" applyBorder="1" applyAlignment="1" applyProtection="1">
      <alignment horizontal="center" vertical="center"/>
    </xf>
    <xf numFmtId="2" fontId="87" fillId="124" borderId="74" xfId="1627" applyNumberFormat="1" applyFont="1" applyFill="1" applyBorder="1" applyAlignment="1" applyProtection="1">
      <alignment horizontal="center" vertical="center"/>
    </xf>
    <xf numFmtId="2" fontId="87" fillId="124" borderId="81" xfId="1627" applyNumberFormat="1" applyFont="1" applyFill="1" applyBorder="1" applyAlignment="1" applyProtection="1">
      <alignment horizontal="center" vertical="center"/>
    </xf>
    <xf numFmtId="2" fontId="87" fillId="124" borderId="65" xfId="1627" applyNumberFormat="1" applyFont="1" applyFill="1" applyBorder="1" applyAlignment="1" applyProtection="1">
      <alignment horizontal="center" vertical="center"/>
    </xf>
    <xf numFmtId="2" fontId="87" fillId="124" borderId="83" xfId="1627" applyNumberFormat="1" applyFont="1" applyFill="1" applyBorder="1" applyAlignment="1" applyProtection="1">
      <alignment horizontal="center" vertical="center"/>
    </xf>
    <xf numFmtId="167" fontId="89" fillId="124" borderId="71" xfId="1627" applyNumberFormat="1" applyFont="1" applyFill="1" applyBorder="1" applyAlignment="1" applyProtection="1">
      <alignment horizontal="center" vertical="center"/>
    </xf>
    <xf numFmtId="167" fontId="89" fillId="124" borderId="74" xfId="1627" applyNumberFormat="1" applyFont="1" applyFill="1" applyBorder="1" applyAlignment="1" applyProtection="1">
      <alignment horizontal="center" vertical="center"/>
    </xf>
    <xf numFmtId="167" fontId="89" fillId="124" borderId="81" xfId="1627" applyNumberFormat="1" applyFont="1" applyFill="1" applyBorder="1" applyAlignment="1" applyProtection="1">
      <alignment horizontal="center" vertical="center"/>
    </xf>
    <xf numFmtId="2" fontId="89" fillId="124" borderId="81" xfId="1627" applyNumberFormat="1" applyFont="1" applyFill="1" applyBorder="1" applyAlignment="1" applyProtection="1">
      <alignment horizontal="center" vertical="center"/>
    </xf>
    <xf numFmtId="2" fontId="87" fillId="126" borderId="81" xfId="1627" applyNumberFormat="1" applyFont="1" applyFill="1" applyBorder="1" applyAlignment="1" applyProtection="1">
      <alignment horizontal="center" vertical="center"/>
    </xf>
    <xf numFmtId="2" fontId="87" fillId="120" borderId="92" xfId="1627" applyNumberFormat="1" applyFont="1" applyFill="1" applyBorder="1" applyAlignment="1" applyProtection="1">
      <alignment horizontal="center" vertical="center"/>
    </xf>
    <xf numFmtId="167" fontId="92" fillId="0" borderId="81" xfId="1489" applyNumberFormat="1" applyFont="1" applyFill="1" applyBorder="1" applyAlignment="1" applyProtection="1">
      <alignment horizontal="center" vertical="center"/>
      <protection locked="0"/>
    </xf>
    <xf numFmtId="0" fontId="89" fillId="0" borderId="27" xfId="0" applyFont="1" applyBorder="1" applyAlignment="1">
      <alignment horizontal="center"/>
    </xf>
    <xf numFmtId="166" fontId="89" fillId="0" borderId="27" xfId="0" applyNumberFormat="1" applyFont="1" applyBorder="1" applyAlignment="1">
      <alignment horizontal="center"/>
    </xf>
    <xf numFmtId="0" fontId="61" fillId="0" borderId="115" xfId="0" applyFont="1" applyBorder="1" applyAlignment="1">
      <alignment horizontal="center" vertical="center"/>
    </xf>
    <xf numFmtId="0" fontId="69" fillId="0" borderId="115" xfId="0" applyFont="1" applyBorder="1" applyAlignment="1">
      <alignment horizontal="center" vertical="center"/>
    </xf>
    <xf numFmtId="0" fontId="61" fillId="0" borderId="115" xfId="0" applyFont="1" applyBorder="1" applyAlignment="1">
      <alignment horizontal="left" vertical="center"/>
    </xf>
    <xf numFmtId="166" fontId="89" fillId="124" borderId="74" xfId="1627" applyNumberFormat="1" applyFont="1" applyFill="1" applyBorder="1" applyAlignment="1" applyProtection="1">
      <alignment horizontal="center" vertical="center"/>
      <protection locked="0"/>
    </xf>
    <xf numFmtId="0" fontId="89" fillId="0" borderId="74" xfId="0" applyFont="1" applyBorder="1" applyAlignment="1">
      <alignment horizontal="center"/>
    </xf>
    <xf numFmtId="0" fontId="89" fillId="0" borderId="115" xfId="0" applyFont="1" applyBorder="1" applyAlignment="1">
      <alignment horizontal="center" vertical="center"/>
    </xf>
    <xf numFmtId="2" fontId="89" fillId="0" borderId="27" xfId="1628" quotePrefix="1" applyNumberFormat="1" applyFont="1" applyFill="1" applyBorder="1" applyAlignment="1" applyProtection="1">
      <alignment horizontal="center" vertical="center"/>
      <protection locked="0"/>
    </xf>
    <xf numFmtId="2" fontId="89" fillId="124" borderId="91" xfId="1627" applyNumberFormat="1" applyFont="1" applyFill="1" applyBorder="1" applyAlignment="1" applyProtection="1">
      <alignment horizontal="center" vertical="center"/>
      <protection locked="0"/>
    </xf>
    <xf numFmtId="2" fontId="74" fillId="119" borderId="91" xfId="1624" applyFont="1" applyFill="1" applyBorder="1" applyAlignment="1">
      <alignment horizontal="center" vertical="center"/>
    </xf>
    <xf numFmtId="166" fontId="89" fillId="124" borderId="103" xfId="1627" applyNumberFormat="1" applyFont="1" applyFill="1" applyBorder="1" applyAlignment="1" applyProtection="1">
      <alignment horizontal="center" vertical="center"/>
    </xf>
    <xf numFmtId="167" fontId="92" fillId="0" borderId="103" xfId="1489" applyNumberFormat="1" applyFont="1" applyFill="1" applyBorder="1" applyAlignment="1" applyProtection="1">
      <alignment horizontal="center" vertical="center"/>
      <protection locked="0"/>
    </xf>
    <xf numFmtId="0" fontId="89" fillId="0" borderId="91" xfId="0" applyFont="1" applyBorder="1" applyAlignment="1">
      <alignment horizontal="center"/>
    </xf>
    <xf numFmtId="0" fontId="89" fillId="0" borderId="115" xfId="0" applyFont="1" applyBorder="1" applyAlignment="1">
      <alignment horizontal="center"/>
    </xf>
    <xf numFmtId="2" fontId="61" fillId="119" borderId="109" xfId="1624" applyFont="1" applyFill="1" applyBorder="1" applyAlignment="1">
      <alignment horizontal="center" vertical="center"/>
    </xf>
    <xf numFmtId="2" fontId="69" fillId="119" borderId="108" xfId="1624" applyFont="1" applyFill="1" applyBorder="1" applyAlignment="1">
      <alignment horizontal="center" vertical="center"/>
    </xf>
    <xf numFmtId="166" fontId="69" fillId="119" borderId="109" xfId="1624" applyNumberFormat="1" applyFont="1" applyFill="1" applyBorder="1" applyAlignment="1">
      <alignment horizontal="center" vertical="center"/>
    </xf>
    <xf numFmtId="166" fontId="69" fillId="119" borderId="108" xfId="1624" applyNumberFormat="1" applyFont="1" applyFill="1" applyBorder="1" applyAlignment="1">
      <alignment horizontal="center" vertical="center"/>
    </xf>
    <xf numFmtId="1" fontId="61" fillId="119" borderId="114" xfId="1624" applyNumberFormat="1" applyFont="1" applyFill="1" applyBorder="1" applyAlignment="1">
      <alignment horizontal="center" vertical="center"/>
    </xf>
    <xf numFmtId="2" fontId="74" fillId="119" borderId="108" xfId="1624" applyFont="1" applyFill="1" applyBorder="1" applyAlignment="1">
      <alignment horizontal="center" vertical="center"/>
    </xf>
    <xf numFmtId="166" fontId="69" fillId="119" borderId="110" xfId="0" applyNumberFormat="1" applyFont="1" applyFill="1" applyBorder="1" applyAlignment="1">
      <alignment horizontal="center" vertical="center"/>
    </xf>
    <xf numFmtId="166" fontId="69" fillId="119" borderId="109" xfId="0" applyNumberFormat="1" applyFont="1" applyFill="1" applyBorder="1" applyAlignment="1">
      <alignment horizontal="center" vertical="center"/>
    </xf>
    <xf numFmtId="2" fontId="69" fillId="119" borderId="109" xfId="1624" applyFont="1" applyFill="1" applyBorder="1" applyAlignment="1">
      <alignment horizontal="center" vertical="center"/>
    </xf>
    <xf numFmtId="2" fontId="69" fillId="119" borderId="114" xfId="1624" applyFont="1" applyFill="1" applyBorder="1" applyAlignment="1">
      <alignment horizontal="center" vertical="center"/>
    </xf>
    <xf numFmtId="167" fontId="69" fillId="119" borderId="114" xfId="1624" applyNumberFormat="1" applyFont="1" applyFill="1" applyBorder="1" applyAlignment="1">
      <alignment horizontal="center" vertical="center"/>
    </xf>
    <xf numFmtId="166" fontId="69" fillId="119" borderId="114" xfId="1624" applyNumberFormat="1" applyFont="1" applyFill="1" applyBorder="1" applyAlignment="1">
      <alignment horizontal="center" vertical="center"/>
    </xf>
    <xf numFmtId="0" fontId="55" fillId="117" borderId="108" xfId="0" applyFont="1" applyFill="1" applyBorder="1"/>
    <xf numFmtId="2" fontId="61" fillId="119" borderId="108" xfId="1624" applyFont="1" applyFill="1" applyBorder="1" applyAlignment="1">
      <alignment horizontal="center" vertical="center"/>
    </xf>
    <xf numFmtId="166" fontId="89" fillId="0" borderId="109" xfId="1627" applyNumberFormat="1" applyFont="1" applyFill="1" applyBorder="1" applyAlignment="1" applyProtection="1">
      <alignment horizontal="center" vertical="center"/>
    </xf>
    <xf numFmtId="2" fontId="87" fillId="117" borderId="108" xfId="1627" applyNumberFormat="1" applyFont="1" applyFill="1" applyBorder="1" applyAlignment="1" applyProtection="1">
      <alignment horizontal="center" vertical="center"/>
      <protection locked="0"/>
    </xf>
    <xf numFmtId="166" fontId="91" fillId="124" borderId="108" xfId="1627" applyNumberFormat="1" applyFont="1" applyFill="1" applyBorder="1" applyAlignment="1" applyProtection="1">
      <alignment horizontal="center" vertical="center"/>
    </xf>
    <xf numFmtId="166" fontId="89" fillId="124" borderId="108" xfId="1627" applyNumberFormat="1" applyFont="1" applyFill="1" applyBorder="1" applyAlignment="1" applyProtection="1">
      <alignment horizontal="center" vertical="center"/>
    </xf>
    <xf numFmtId="166" fontId="69" fillId="119" borderId="108" xfId="0" applyNumberFormat="1" applyFont="1" applyFill="1" applyBorder="1" applyAlignment="1">
      <alignment horizontal="center" vertical="center"/>
    </xf>
    <xf numFmtId="167" fontId="69" fillId="117" borderId="109" xfId="1624" applyNumberFormat="1" applyFont="1" applyFill="1" applyBorder="1" applyAlignment="1">
      <alignment horizontal="center" vertical="center"/>
    </xf>
    <xf numFmtId="167" fontId="69" fillId="117" borderId="108" xfId="1624" applyNumberFormat="1" applyFont="1" applyFill="1" applyBorder="1" applyAlignment="1">
      <alignment horizontal="center" vertical="center"/>
    </xf>
    <xf numFmtId="167" fontId="69" fillId="117" borderId="114" xfId="1624" applyNumberFormat="1" applyFont="1" applyFill="1" applyBorder="1" applyAlignment="1">
      <alignment horizontal="center" vertical="center"/>
    </xf>
    <xf numFmtId="2" fontId="69" fillId="117" borderId="114" xfId="1624" applyFont="1" applyFill="1" applyBorder="1" applyAlignment="1">
      <alignment horizontal="center" vertical="center"/>
    </xf>
    <xf numFmtId="167" fontId="69" fillId="117" borderId="27" xfId="1624" applyNumberFormat="1" applyFont="1" applyFill="1" applyBorder="1" applyAlignment="1">
      <alignment horizontal="center" vertical="center"/>
    </xf>
    <xf numFmtId="2" fontId="69" fillId="117" borderId="27" xfId="1624" applyFont="1" applyFill="1" applyBorder="1" applyAlignment="1">
      <alignment horizontal="center" vertical="center"/>
    </xf>
    <xf numFmtId="167" fontId="69" fillId="117" borderId="27" xfId="1624" applyNumberFormat="1" applyFont="1" applyFill="1" applyBorder="1" applyAlignment="1" applyProtection="1">
      <alignment horizontal="center" vertical="center"/>
      <protection locked="0"/>
    </xf>
    <xf numFmtId="0" fontId="61" fillId="0" borderId="113" xfId="0" applyFont="1" applyBorder="1" applyAlignment="1">
      <alignment horizontal="center" vertical="center"/>
    </xf>
    <xf numFmtId="0" fontId="89" fillId="0" borderId="113" xfId="0" applyFont="1" applyBorder="1" applyAlignment="1">
      <alignment horizontal="center"/>
    </xf>
    <xf numFmtId="0" fontId="61" fillId="0" borderId="113" xfId="0" applyFont="1" applyBorder="1" applyAlignment="1">
      <alignment horizontal="left" vertical="center"/>
    </xf>
    <xf numFmtId="166" fontId="89" fillId="117" borderId="27" xfId="1624" applyNumberFormat="1" applyFont="1" applyFill="1" applyBorder="1" applyAlignment="1" applyProtection="1">
      <alignment horizontal="center" vertical="center"/>
      <protection locked="0"/>
    </xf>
    <xf numFmtId="166" fontId="69" fillId="119" borderId="27" xfId="1624" applyNumberFormat="1" applyFont="1" applyFill="1" applyBorder="1" applyAlignment="1">
      <alignment horizontal="center" vertical="center"/>
    </xf>
    <xf numFmtId="166" fontId="69" fillId="119" borderId="59" xfId="1624" applyNumberFormat="1" applyFont="1" applyFill="1" applyBorder="1" applyAlignment="1">
      <alignment horizontal="center" vertical="center"/>
    </xf>
    <xf numFmtId="2" fontId="89" fillId="124" borderId="23" xfId="1627" applyNumberFormat="1" applyFont="1" applyFill="1" applyBorder="1" applyAlignment="1" applyProtection="1">
      <alignment horizontal="center" vertical="center"/>
    </xf>
    <xf numFmtId="167" fontId="89" fillId="124" borderId="23" xfId="1627" applyNumberFormat="1" applyFont="1" applyFill="1" applyBorder="1" applyAlignment="1" applyProtection="1">
      <alignment horizontal="center" vertical="center"/>
    </xf>
    <xf numFmtId="167" fontId="89" fillId="124" borderId="92" xfId="1627" applyNumberFormat="1" applyFont="1" applyFill="1" applyBorder="1" applyAlignment="1" applyProtection="1">
      <alignment horizontal="center" vertical="center"/>
    </xf>
    <xf numFmtId="2" fontId="89" fillId="124" borderId="92" xfId="1627" applyNumberFormat="1" applyFont="1" applyFill="1" applyBorder="1" applyAlignment="1" applyProtection="1">
      <alignment horizontal="center" vertical="center"/>
    </xf>
    <xf numFmtId="2" fontId="87" fillId="120" borderId="74" xfId="1627" applyNumberFormat="1" applyFont="1" applyFill="1" applyBorder="1" applyAlignment="1" applyProtection="1">
      <alignment horizontal="center" vertical="center"/>
    </xf>
    <xf numFmtId="2" fontId="87" fillId="120" borderId="74" xfId="1627" applyNumberFormat="1" applyFont="1" applyFill="1" applyBorder="1" applyAlignment="1" applyProtection="1">
      <alignment horizontal="center" vertical="center"/>
      <protection locked="0"/>
    </xf>
    <xf numFmtId="167" fontId="87" fillId="120" borderId="74" xfId="1627" applyNumberFormat="1" applyFont="1" applyFill="1" applyBorder="1" applyAlignment="1" applyProtection="1">
      <alignment horizontal="center" vertical="center"/>
      <protection locked="0"/>
    </xf>
    <xf numFmtId="2" fontId="87" fillId="120" borderId="81" xfId="1627" applyNumberFormat="1" applyFont="1" applyFill="1" applyBorder="1" applyAlignment="1" applyProtection="1">
      <alignment horizontal="center" vertical="center"/>
    </xf>
    <xf numFmtId="2" fontId="93" fillId="0" borderId="0" xfId="1624" applyFont="1"/>
    <xf numFmtId="0" fontId="89" fillId="0" borderId="0" xfId="0" applyFont="1"/>
    <xf numFmtId="0" fontId="61" fillId="0" borderId="0" xfId="0" applyFont="1" applyAlignment="1">
      <alignment horizontal="center" vertical="center"/>
    </xf>
    <xf numFmtId="2" fontId="69" fillId="117" borderId="74" xfId="1624" applyFont="1" applyFill="1" applyBorder="1" applyAlignment="1">
      <alignment horizontal="center" vertical="center"/>
    </xf>
    <xf numFmtId="166" fontId="89" fillId="117" borderId="91" xfId="1624" applyNumberFormat="1" applyFont="1" applyFill="1" applyBorder="1" applyAlignment="1" applyProtection="1">
      <alignment horizontal="center" vertical="center"/>
      <protection locked="0"/>
    </xf>
    <xf numFmtId="166" fontId="69" fillId="119" borderId="91" xfId="1624" applyNumberFormat="1" applyFont="1" applyFill="1" applyBorder="1" applyAlignment="1">
      <alignment horizontal="center" vertical="center"/>
    </xf>
    <xf numFmtId="166" fontId="69" fillId="119" borderId="111" xfId="1624" applyNumberFormat="1" applyFont="1" applyFill="1" applyBorder="1" applyAlignment="1">
      <alignment horizontal="center" vertical="center"/>
    </xf>
    <xf numFmtId="2" fontId="87" fillId="124" borderId="91" xfId="1627" applyNumberFormat="1" applyFont="1" applyFill="1" applyBorder="1" applyAlignment="1" applyProtection="1">
      <alignment horizontal="center" vertical="center"/>
    </xf>
    <xf numFmtId="2" fontId="87" fillId="124" borderId="91" xfId="1627" applyNumberFormat="1" applyFont="1" applyFill="1" applyBorder="1" applyAlignment="1" applyProtection="1">
      <alignment horizontal="center" vertical="center"/>
      <protection locked="0"/>
    </xf>
    <xf numFmtId="2" fontId="87" fillId="124" borderId="104" xfId="1627" applyNumberFormat="1" applyFont="1" applyFill="1" applyBorder="1" applyAlignment="1" applyProtection="1">
      <alignment horizontal="center" vertical="center"/>
      <protection locked="0"/>
    </xf>
    <xf numFmtId="2" fontId="87" fillId="124" borderId="103" xfId="1627" applyNumberFormat="1" applyFont="1" applyFill="1" applyBorder="1" applyAlignment="1" applyProtection="1">
      <alignment horizontal="center" vertical="center"/>
    </xf>
    <xf numFmtId="2" fontId="87" fillId="120" borderId="91" xfId="1627" applyNumberFormat="1" applyFont="1" applyFill="1" applyBorder="1" applyAlignment="1" applyProtection="1">
      <alignment horizontal="center" vertical="center"/>
    </xf>
    <xf numFmtId="167" fontId="87" fillId="120" borderId="91" xfId="1627" applyNumberFormat="1" applyFont="1" applyFill="1" applyBorder="1" applyAlignment="1" applyProtection="1">
      <alignment horizontal="center" vertical="center"/>
    </xf>
    <xf numFmtId="167" fontId="87" fillId="120" borderId="91" xfId="1627" applyNumberFormat="1" applyFont="1" applyFill="1" applyBorder="1" applyAlignment="1" applyProtection="1">
      <alignment horizontal="center" vertical="center"/>
      <protection locked="0"/>
    </xf>
    <xf numFmtId="2" fontId="87" fillId="120" borderId="103" xfId="1627" applyNumberFormat="1" applyFont="1" applyFill="1" applyBorder="1" applyAlignment="1" applyProtection="1">
      <alignment horizontal="center" vertical="center"/>
    </xf>
    <xf numFmtId="2" fontId="73" fillId="119" borderId="76" xfId="1624" applyFont="1" applyFill="1" applyBorder="1" applyAlignment="1">
      <alignment horizontal="left" vertical="center" indent="2"/>
    </xf>
    <xf numFmtId="2" fontId="69" fillId="119" borderId="81" xfId="1624" applyFont="1" applyFill="1" applyBorder="1" applyAlignment="1">
      <alignment vertical="center"/>
    </xf>
    <xf numFmtId="2" fontId="74" fillId="119" borderId="108" xfId="1624" applyFont="1" applyFill="1" applyBorder="1" applyAlignment="1">
      <alignment horizontal="left" vertical="center"/>
    </xf>
    <xf numFmtId="2" fontId="69" fillId="119" borderId="108" xfId="0" applyNumberFormat="1" applyFont="1" applyFill="1" applyBorder="1" applyAlignment="1">
      <alignment horizontal="center" vertical="center"/>
    </xf>
    <xf numFmtId="167" fontId="69" fillId="119" borderId="108" xfId="1624" applyNumberFormat="1" applyFont="1" applyFill="1" applyBorder="1" applyAlignment="1">
      <alignment horizontal="center" vertical="center"/>
    </xf>
    <xf numFmtId="167" fontId="69" fillId="119" borderId="109" xfId="1624" applyNumberFormat="1" applyFont="1" applyFill="1" applyBorder="1" applyAlignment="1">
      <alignment horizontal="center" vertical="center"/>
    </xf>
    <xf numFmtId="167" fontId="69" fillId="119" borderId="92" xfId="1624" applyNumberFormat="1" applyFont="1" applyFill="1" applyBorder="1" applyAlignment="1">
      <alignment horizontal="center" vertical="center"/>
    </xf>
    <xf numFmtId="167" fontId="69" fillId="119" borderId="27" xfId="1624" applyNumberFormat="1" applyFont="1" applyFill="1" applyBorder="1" applyAlignment="1">
      <alignment horizontal="center" vertical="center"/>
    </xf>
    <xf numFmtId="4" fontId="89" fillId="120" borderId="74" xfId="1627" applyNumberFormat="1" applyFont="1" applyFill="1" applyBorder="1" applyAlignment="1" applyProtection="1">
      <alignment horizontal="center" vertical="center"/>
    </xf>
    <xf numFmtId="0" fontId="89" fillId="0" borderId="74" xfId="0" applyFont="1" applyBorder="1" applyAlignment="1">
      <alignment horizontal="center" vertical="center"/>
    </xf>
    <xf numFmtId="166" fontId="69" fillId="119" borderId="23" xfId="1624" applyNumberFormat="1" applyFont="1" applyFill="1" applyBorder="1" applyAlignment="1">
      <alignment horizontal="center" vertical="center"/>
    </xf>
    <xf numFmtId="166" fontId="61" fillId="119" borderId="27" xfId="428" applyNumberFormat="1" applyFont="1" applyFill="1" applyBorder="1" applyAlignment="1" applyProtection="1">
      <alignment horizontal="center" vertical="center"/>
    </xf>
    <xf numFmtId="166" fontId="61" fillId="119" borderId="23" xfId="428" applyNumberFormat="1" applyFont="1" applyFill="1" applyBorder="1" applyAlignment="1" applyProtection="1">
      <alignment horizontal="center" vertical="center"/>
    </xf>
    <xf numFmtId="166" fontId="61" fillId="119" borderId="93" xfId="428" applyNumberFormat="1" applyFont="1" applyFill="1" applyBorder="1" applyAlignment="1" applyProtection="1">
      <alignment horizontal="center" vertical="center"/>
    </xf>
    <xf numFmtId="166" fontId="61" fillId="119" borderId="95" xfId="428" applyNumberFormat="1" applyFont="1" applyFill="1" applyBorder="1" applyAlignment="1" applyProtection="1">
      <alignment horizontal="center" vertical="center"/>
    </xf>
    <xf numFmtId="167" fontId="89" fillId="120" borderId="74" xfId="1627" applyNumberFormat="1" applyFont="1" applyFill="1" applyBorder="1" applyAlignment="1" applyProtection="1">
      <alignment horizontal="center" vertical="center"/>
    </xf>
    <xf numFmtId="167" fontId="69" fillId="0" borderId="0" xfId="1624" applyNumberFormat="1" applyFont="1" applyAlignment="1">
      <alignment vertical="center"/>
    </xf>
    <xf numFmtId="166" fontId="89" fillId="120" borderId="74" xfId="1627" applyNumberFormat="1" applyFont="1" applyFill="1" applyBorder="1" applyAlignment="1" applyProtection="1">
      <alignment horizontal="center" vertical="center"/>
    </xf>
    <xf numFmtId="2" fontId="61" fillId="119" borderId="71" xfId="1624" applyFont="1" applyFill="1" applyBorder="1" applyAlignment="1">
      <alignment horizontal="left" vertical="center"/>
    </xf>
    <xf numFmtId="2" fontId="61" fillId="119" borderId="76" xfId="1624" applyFont="1" applyFill="1" applyBorder="1" applyAlignment="1">
      <alignment horizontal="left" vertical="center"/>
    </xf>
    <xf numFmtId="2" fontId="74" fillId="121" borderId="71" xfId="1624" applyFont="1" applyFill="1" applyBorder="1" applyAlignment="1">
      <alignment horizontal="left" vertical="center" indent="2"/>
    </xf>
    <xf numFmtId="2" fontId="74" fillId="121" borderId="76" xfId="1624" applyFont="1" applyFill="1" applyBorder="1" applyAlignment="1">
      <alignment horizontal="left" vertical="center" indent="2"/>
    </xf>
    <xf numFmtId="2" fontId="74" fillId="121" borderId="76" xfId="1624" applyFont="1" applyFill="1" applyBorder="1" applyAlignment="1">
      <alignment horizontal="left" vertical="center"/>
    </xf>
    <xf numFmtId="2" fontId="74" fillId="119" borderId="71" xfId="1624" applyFont="1" applyFill="1" applyBorder="1" applyAlignment="1">
      <alignment horizontal="left" vertical="center" indent="2"/>
    </xf>
    <xf numFmtId="2" fontId="89" fillId="120" borderId="74" xfId="1627" applyNumberFormat="1" applyFont="1" applyFill="1" applyBorder="1" applyAlignment="1" applyProtection="1">
      <alignment horizontal="center" vertical="center"/>
    </xf>
    <xf numFmtId="2" fontId="94" fillId="0" borderId="0" xfId="1624" applyFont="1" applyAlignment="1">
      <alignment vertical="center"/>
    </xf>
    <xf numFmtId="2" fontId="95" fillId="122" borderId="107" xfId="1624" applyFont="1" applyFill="1" applyBorder="1" applyAlignment="1">
      <alignment horizontal="center" vertical="center"/>
    </xf>
    <xf numFmtId="2" fontId="95" fillId="122" borderId="106" xfId="1624" applyFont="1" applyFill="1" applyBorder="1" applyAlignment="1">
      <alignment horizontal="center" vertical="center"/>
    </xf>
    <xf numFmtId="2" fontId="95" fillId="122" borderId="105" xfId="1624" applyFont="1" applyFill="1" applyBorder="1" applyAlignment="1">
      <alignment horizontal="center" vertical="center"/>
    </xf>
    <xf numFmtId="0" fontId="61" fillId="121" borderId="91" xfId="0" applyFont="1" applyFill="1" applyBorder="1" applyAlignment="1">
      <alignment horizontal="center" vertical="center"/>
    </xf>
    <xf numFmtId="2" fontId="61" fillId="121" borderId="91" xfId="1624" applyFont="1" applyFill="1" applyBorder="1" applyAlignment="1">
      <alignment horizontal="center" vertical="center"/>
    </xf>
    <xf numFmtId="2" fontId="61" fillId="121" borderId="104" xfId="1624" applyFont="1" applyFill="1" applyBorder="1" applyAlignment="1">
      <alignment horizontal="center" vertical="center"/>
    </xf>
    <xf numFmtId="1" fontId="89" fillId="120" borderId="74" xfId="1627" applyNumberFormat="1" applyFont="1" applyFill="1" applyBorder="1" applyAlignment="1" applyProtection="1">
      <alignment horizontal="center" vertical="center"/>
    </xf>
    <xf numFmtId="166" fontId="69" fillId="118" borderId="27" xfId="0" applyNumberFormat="1" applyFont="1" applyFill="1" applyBorder="1" applyAlignment="1">
      <alignment horizontal="center" vertical="center"/>
    </xf>
    <xf numFmtId="166" fontId="69" fillId="118" borderId="27" xfId="1624" applyNumberFormat="1" applyFont="1" applyFill="1" applyBorder="1" applyAlignment="1">
      <alignment horizontal="center" vertical="center"/>
    </xf>
    <xf numFmtId="166" fontId="69" fillId="118" borderId="23" xfId="1624" applyNumberFormat="1" applyFont="1" applyFill="1" applyBorder="1" applyAlignment="1">
      <alignment horizontal="center" vertical="center"/>
    </xf>
    <xf numFmtId="166" fontId="69" fillId="117" borderId="27" xfId="1624" applyNumberFormat="1" applyFont="1" applyFill="1" applyBorder="1" applyAlignment="1">
      <alignment horizontal="center" vertical="center"/>
    </xf>
    <xf numFmtId="166" fontId="69" fillId="117" borderId="81" xfId="1624" applyNumberFormat="1" applyFont="1" applyFill="1" applyBorder="1" applyAlignment="1">
      <alignment horizontal="center" vertical="center"/>
    </xf>
    <xf numFmtId="166" fontId="69" fillId="117" borderId="74" xfId="1624" applyNumberFormat="1" applyFont="1" applyFill="1" applyBorder="1" applyAlignment="1">
      <alignment horizontal="center" vertical="center"/>
    </xf>
    <xf numFmtId="2" fontId="69" fillId="119" borderId="74" xfId="0" applyNumberFormat="1" applyFont="1" applyFill="1" applyBorder="1" applyAlignment="1">
      <alignment horizontal="center" vertical="center"/>
    </xf>
    <xf numFmtId="166" fontId="69" fillId="118" borderId="74" xfId="0" applyNumberFormat="1" applyFont="1" applyFill="1" applyBorder="1" applyAlignment="1">
      <alignment horizontal="center" vertical="center"/>
    </xf>
    <xf numFmtId="166" fontId="69" fillId="118" borderId="74" xfId="1624" applyNumberFormat="1" applyFont="1" applyFill="1" applyBorder="1" applyAlignment="1">
      <alignment horizontal="center" vertical="center"/>
    </xf>
    <xf numFmtId="166" fontId="69" fillId="118" borderId="71" xfId="1624" applyNumberFormat="1" applyFont="1" applyFill="1" applyBorder="1" applyAlignment="1">
      <alignment horizontal="center" vertical="center"/>
    </xf>
    <xf numFmtId="166" fontId="69" fillId="117" borderId="93" xfId="1624" applyNumberFormat="1" applyFont="1" applyFill="1" applyBorder="1" applyAlignment="1">
      <alignment horizontal="center" vertical="center"/>
    </xf>
    <xf numFmtId="166" fontId="69" fillId="117" borderId="95" xfId="1624" applyNumberFormat="1" applyFont="1" applyFill="1" applyBorder="1" applyAlignment="1">
      <alignment horizontal="center" vertical="center"/>
    </xf>
    <xf numFmtId="2" fontId="61" fillId="117" borderId="74" xfId="1624" applyFont="1" applyFill="1" applyBorder="1" applyAlignment="1">
      <alignment horizontal="center" vertical="center"/>
    </xf>
    <xf numFmtId="1" fontId="69" fillId="120" borderId="74" xfId="1624" applyNumberFormat="1" applyFont="1" applyFill="1" applyBorder="1" applyAlignment="1">
      <alignment horizontal="center" vertical="center"/>
    </xf>
    <xf numFmtId="2" fontId="69" fillId="120" borderId="74" xfId="1624" applyFont="1" applyFill="1" applyBorder="1" applyAlignment="1">
      <alignment horizontal="center" vertical="center"/>
    </xf>
    <xf numFmtId="1" fontId="96" fillId="0" borderId="0" xfId="0" applyNumberFormat="1" applyFont="1" applyAlignment="1">
      <alignment horizontal="center"/>
    </xf>
    <xf numFmtId="1" fontId="69" fillId="120" borderId="74" xfId="1624" quotePrefix="1" applyNumberFormat="1" applyFont="1" applyFill="1" applyBorder="1" applyAlignment="1">
      <alignment horizontal="center" vertical="center"/>
    </xf>
    <xf numFmtId="2" fontId="61" fillId="120" borderId="74" xfId="1624" applyFont="1" applyFill="1" applyBorder="1" applyAlignment="1">
      <alignment horizontal="center" vertical="center"/>
    </xf>
    <xf numFmtId="2" fontId="89" fillId="3" borderId="27" xfId="1627" applyNumberFormat="1" applyFont="1" applyFill="1" applyBorder="1" applyAlignment="1" applyProtection="1">
      <alignment horizontal="center" vertical="center"/>
    </xf>
    <xf numFmtId="167" fontId="89" fillId="3" borderId="27" xfId="1627" applyNumberFormat="1" applyFont="1" applyFill="1" applyBorder="1" applyAlignment="1" applyProtection="1">
      <alignment horizontal="center" vertical="center"/>
    </xf>
    <xf numFmtId="0" fontId="61" fillId="120" borderId="25" xfId="0" applyFont="1" applyFill="1" applyBorder="1" applyAlignment="1">
      <alignment horizontal="center" vertical="center"/>
    </xf>
    <xf numFmtId="2" fontId="89" fillId="3" borderId="71" xfId="1627" applyNumberFormat="1" applyFont="1" applyFill="1" applyBorder="1" applyAlignment="1" applyProtection="1">
      <alignment horizontal="center" vertical="center"/>
    </xf>
    <xf numFmtId="2" fontId="89" fillId="3" borderId="74" xfId="1627" applyNumberFormat="1" applyFont="1" applyFill="1" applyBorder="1" applyAlignment="1" applyProtection="1">
      <alignment horizontal="center" vertical="center"/>
    </xf>
    <xf numFmtId="2" fontId="89" fillId="3" borderId="81" xfId="1627" applyNumberFormat="1" applyFont="1" applyFill="1" applyBorder="1" applyAlignment="1" applyProtection="1">
      <alignment horizontal="center" vertical="center"/>
    </xf>
    <xf numFmtId="167" fontId="89" fillId="3" borderId="81" xfId="1627" applyNumberFormat="1" applyFont="1" applyFill="1" applyBorder="1" applyAlignment="1" applyProtection="1">
      <alignment horizontal="center" vertical="center"/>
    </xf>
    <xf numFmtId="2" fontId="69" fillId="123" borderId="109" xfId="1624" applyFont="1" applyFill="1" applyBorder="1" applyAlignment="1">
      <alignment horizontal="center" vertical="center"/>
    </xf>
    <xf numFmtId="2" fontId="69" fillId="123" borderId="108" xfId="1624" applyFont="1" applyFill="1" applyBorder="1" applyAlignment="1">
      <alignment horizontal="center" vertical="center"/>
    </xf>
    <xf numFmtId="2" fontId="69" fillId="123" borderId="114" xfId="1624" applyFont="1" applyFill="1" applyBorder="1" applyAlignment="1">
      <alignment horizontal="center" vertical="center"/>
    </xf>
    <xf numFmtId="167" fontId="69" fillId="123" borderId="114" xfId="1624" applyNumberFormat="1" applyFont="1" applyFill="1" applyBorder="1" applyAlignment="1">
      <alignment horizontal="center" vertical="center"/>
    </xf>
    <xf numFmtId="166" fontId="69" fillId="123" borderId="114" xfId="1624" applyNumberFormat="1" applyFont="1" applyFill="1" applyBorder="1" applyAlignment="1">
      <alignment horizontal="center" vertical="center"/>
    </xf>
    <xf numFmtId="167" fontId="69" fillId="125" borderId="109" xfId="1624" applyNumberFormat="1" applyFont="1" applyFill="1" applyBorder="1" applyAlignment="1">
      <alignment horizontal="center" vertical="center"/>
    </xf>
    <xf numFmtId="167" fontId="69" fillId="125" borderId="108" xfId="1624" applyNumberFormat="1" applyFont="1" applyFill="1" applyBorder="1" applyAlignment="1">
      <alignment horizontal="center" vertical="center"/>
    </xf>
    <xf numFmtId="2" fontId="69" fillId="125" borderId="114" xfId="1624" applyFont="1" applyFill="1" applyBorder="1" applyAlignment="1">
      <alignment horizontal="center" vertical="center"/>
    </xf>
    <xf numFmtId="167" fontId="69" fillId="125" borderId="114" xfId="1624" applyNumberFormat="1" applyFont="1" applyFill="1" applyBorder="1" applyAlignment="1">
      <alignment horizontal="center" vertical="center"/>
    </xf>
    <xf numFmtId="2" fontId="89" fillId="3" borderId="23" xfId="1627" applyNumberFormat="1" applyFont="1" applyFill="1" applyBorder="1" applyAlignment="1" applyProtection="1">
      <alignment horizontal="center" vertical="center"/>
    </xf>
    <xf numFmtId="2" fontId="89" fillId="3" borderId="92" xfId="1627" applyNumberFormat="1" applyFont="1" applyFill="1" applyBorder="1" applyAlignment="1" applyProtection="1">
      <alignment horizontal="center" vertical="center"/>
    </xf>
    <xf numFmtId="167" fontId="89" fillId="3" borderId="92" xfId="1627" applyNumberFormat="1" applyFont="1" applyFill="1" applyBorder="1" applyAlignment="1" applyProtection="1">
      <alignment horizontal="center" vertical="center"/>
    </xf>
    <xf numFmtId="2" fontId="97" fillId="3" borderId="91" xfId="1627" applyNumberFormat="1" applyFont="1" applyFill="1" applyBorder="1" applyAlignment="1" applyProtection="1">
      <alignment horizontal="center" vertical="center"/>
    </xf>
    <xf numFmtId="2" fontId="97" fillId="3" borderId="103" xfId="1627" applyNumberFormat="1" applyFont="1" applyFill="1" applyBorder="1" applyAlignment="1" applyProtection="1">
      <alignment horizontal="center" vertical="center"/>
    </xf>
    <xf numFmtId="167" fontId="69" fillId="123" borderId="108" xfId="1624" applyNumberFormat="1" applyFont="1" applyFill="1" applyBorder="1" applyAlignment="1">
      <alignment horizontal="center" vertical="center"/>
    </xf>
    <xf numFmtId="166" fontId="61" fillId="123" borderId="27" xfId="428" applyNumberFormat="1" applyFont="1" applyFill="1" applyBorder="1" applyAlignment="1" applyProtection="1">
      <alignment horizontal="center" vertical="center"/>
    </xf>
    <xf numFmtId="2" fontId="98" fillId="0" borderId="0" xfId="1624" applyFont="1" applyAlignment="1">
      <alignment horizontal="center"/>
    </xf>
    <xf numFmtId="0" fontId="55" fillId="3" borderId="0" xfId="0" applyFont="1" applyFill="1" applyAlignment="1">
      <alignment horizontal="center"/>
    </xf>
    <xf numFmtId="1" fontId="55" fillId="3" borderId="0" xfId="0" applyNumberFormat="1" applyFont="1" applyFill="1" applyAlignment="1">
      <alignment horizontal="center"/>
    </xf>
    <xf numFmtId="2" fontId="99" fillId="3" borderId="0" xfId="0" applyNumberFormat="1" applyFont="1" applyFill="1" applyAlignment="1">
      <alignment horizontal="center"/>
    </xf>
    <xf numFmtId="0" fontId="99" fillId="3" borderId="0" xfId="0" applyFont="1" applyFill="1" applyAlignment="1">
      <alignment horizontal="center"/>
    </xf>
    <xf numFmtId="0" fontId="55" fillId="0" borderId="20" xfId="0" applyFont="1" applyBorder="1" applyAlignment="1">
      <alignment horizontal="center"/>
    </xf>
    <xf numFmtId="167" fontId="71" fillId="0" borderId="20" xfId="50" applyNumberFormat="1" applyFont="1" applyBorder="1" applyAlignment="1">
      <alignment horizontal="center" vertical="center"/>
    </xf>
    <xf numFmtId="167" fontId="55" fillId="0" borderId="99" xfId="0" applyNumberFormat="1" applyFont="1" applyBorder="1" applyAlignment="1">
      <alignment horizontal="center" vertical="center"/>
    </xf>
    <xf numFmtId="2" fontId="55" fillId="0" borderId="99" xfId="0" applyNumberFormat="1" applyFont="1" applyBorder="1" applyAlignment="1">
      <alignment horizontal="center" vertical="center"/>
    </xf>
    <xf numFmtId="177" fontId="55" fillId="0" borderId="99" xfId="0" applyNumberFormat="1" applyFont="1" applyBorder="1" applyAlignment="1">
      <alignment horizontal="center" vertical="center"/>
    </xf>
    <xf numFmtId="2" fontId="55" fillId="0" borderId="100" xfId="0" applyNumberFormat="1" applyFont="1" applyBorder="1" applyAlignment="1">
      <alignment horizontal="center" vertical="center"/>
    </xf>
    <xf numFmtId="0" fontId="55" fillId="0" borderId="101" xfId="0" applyFont="1" applyBorder="1" applyAlignment="1">
      <alignment horizontal="center"/>
    </xf>
    <xf numFmtId="167" fontId="71" fillId="0" borderId="101" xfId="71" applyNumberFormat="1" applyFont="1" applyBorder="1" applyAlignment="1">
      <alignment horizontal="center" vertical="center"/>
    </xf>
    <xf numFmtId="167" fontId="55" fillId="0" borderId="0" xfId="0" applyNumberFormat="1" applyFont="1" applyAlignment="1">
      <alignment horizontal="center" vertical="center"/>
    </xf>
    <xf numFmtId="2" fontId="55" fillId="0" borderId="3" xfId="0" applyNumberFormat="1" applyFont="1" applyBorder="1" applyAlignment="1">
      <alignment horizontal="center" vertical="center"/>
    </xf>
    <xf numFmtId="167" fontId="71" fillId="0" borderId="101" xfId="50" applyNumberFormat="1" applyFont="1" applyBorder="1" applyAlignment="1">
      <alignment horizontal="center" vertical="center"/>
    </xf>
    <xf numFmtId="0" fontId="55" fillId="0" borderId="33" xfId="0" applyFont="1" applyBorder="1" applyAlignment="1">
      <alignment horizontal="center"/>
    </xf>
    <xf numFmtId="167" fontId="71" fillId="0" borderId="33" xfId="50" applyNumberFormat="1" applyFont="1" applyBorder="1" applyAlignment="1">
      <alignment horizontal="center" vertical="center"/>
    </xf>
    <xf numFmtId="167" fontId="55" fillId="0" borderId="72" xfId="0" applyNumberFormat="1" applyFont="1" applyBorder="1" applyAlignment="1">
      <alignment horizontal="center" vertical="center"/>
    </xf>
    <xf numFmtId="2" fontId="55" fillId="0" borderId="72" xfId="0" applyNumberFormat="1" applyFont="1" applyBorder="1" applyAlignment="1">
      <alignment horizontal="center" vertical="center"/>
    </xf>
    <xf numFmtId="2" fontId="55" fillId="0" borderId="34" xfId="0" applyNumberFormat="1" applyFont="1" applyBorder="1" applyAlignment="1">
      <alignment horizontal="center" vertical="center"/>
    </xf>
    <xf numFmtId="0" fontId="71" fillId="0" borderId="0" xfId="0" applyFont="1" applyAlignment="1">
      <alignment horizontal="right" vertical="center"/>
    </xf>
    <xf numFmtId="167" fontId="71" fillId="0" borderId="0" xfId="0" applyNumberFormat="1" applyFont="1" applyAlignment="1">
      <alignment horizontal="center" vertical="center"/>
    </xf>
    <xf numFmtId="0" fontId="55" fillId="0" borderId="20" xfId="0" applyFont="1" applyBorder="1"/>
    <xf numFmtId="167" fontId="71" fillId="0" borderId="99" xfId="50" applyNumberFormat="1" applyFont="1" applyBorder="1" applyAlignment="1">
      <alignment horizontal="center" vertical="center"/>
    </xf>
    <xf numFmtId="0" fontId="100" fillId="0" borderId="0" xfId="0" applyFont="1" applyAlignment="1">
      <alignment horizontal="center" vertical="center"/>
    </xf>
    <xf numFmtId="0" fontId="55" fillId="0" borderId="101" xfId="0" applyFont="1" applyBorder="1"/>
    <xf numFmtId="167" fontId="71" fillId="0" borderId="0" xfId="71" applyNumberFormat="1" applyFont="1" applyAlignment="1">
      <alignment horizontal="center" vertical="center"/>
    </xf>
    <xf numFmtId="167" fontId="82" fillId="0" borderId="0" xfId="0" applyNumberFormat="1" applyFont="1" applyAlignment="1">
      <alignment horizontal="center" vertical="center"/>
    </xf>
    <xf numFmtId="2" fontId="2" fillId="3" borderId="119" xfId="105" applyNumberFormat="1" applyFont="1" applyFill="1" applyBorder="1" applyAlignment="1">
      <alignment horizontal="center"/>
    </xf>
    <xf numFmtId="0" fontId="55" fillId="0" borderId="119" xfId="0" applyFont="1" applyBorder="1" applyAlignment="1">
      <alignment horizontal="center"/>
    </xf>
    <xf numFmtId="2" fontId="55" fillId="0" borderId="119" xfId="0" applyNumberFormat="1" applyFont="1" applyBorder="1" applyAlignment="1">
      <alignment horizontal="center"/>
    </xf>
    <xf numFmtId="167" fontId="57" fillId="113" borderId="74" xfId="4" applyNumberFormat="1" applyFont="1" applyFill="1" applyBorder="1" applyAlignment="1">
      <alignment horizontal="center" vertical="center"/>
    </xf>
    <xf numFmtId="167" fontId="55" fillId="0" borderId="74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67" fontId="0" fillId="0" borderId="119" xfId="0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0" fontId="104" fillId="113" borderId="131" xfId="2" applyFont="1" applyFill="1" applyBorder="1" applyAlignment="1">
      <alignment horizontal="center" vertical="center" wrapText="1"/>
    </xf>
    <xf numFmtId="0" fontId="104" fillId="113" borderId="25" xfId="2" applyFont="1" applyFill="1" applyBorder="1" applyAlignment="1">
      <alignment horizontal="center" vertical="center"/>
    </xf>
    <xf numFmtId="3" fontId="104" fillId="113" borderId="115" xfId="2" applyNumberFormat="1" applyFont="1" applyFill="1" applyBorder="1" applyAlignment="1">
      <alignment horizontal="center" vertical="center" wrapText="1"/>
    </xf>
    <xf numFmtId="3" fontId="103" fillId="3" borderId="123" xfId="4" applyNumberFormat="1" applyFont="1" applyFill="1" applyBorder="1" applyAlignment="1">
      <alignment horizontal="center" vertical="center"/>
    </xf>
    <xf numFmtId="3" fontId="141" fillId="3" borderId="136" xfId="4" applyNumberFormat="1" applyFont="1" applyFill="1" applyBorder="1" applyAlignment="1">
      <alignment horizontal="center" vertical="center"/>
    </xf>
    <xf numFmtId="2" fontId="141" fillId="3" borderId="132" xfId="4" applyNumberFormat="1" applyFont="1" applyFill="1" applyBorder="1" applyAlignment="1">
      <alignment horizontal="center" vertical="center"/>
    </xf>
    <xf numFmtId="187" fontId="103" fillId="3" borderId="139" xfId="4" applyNumberFormat="1" applyFont="1" applyFill="1" applyBorder="1" applyAlignment="1">
      <alignment horizontal="center" vertical="center"/>
    </xf>
    <xf numFmtId="1" fontId="104" fillId="113" borderId="137" xfId="3" applyNumberFormat="1" applyFont="1" applyFill="1" applyBorder="1" applyAlignment="1">
      <alignment horizontal="center" vertical="center" wrapText="1"/>
    </xf>
    <xf numFmtId="0" fontId="104" fillId="113" borderId="22" xfId="2" applyFont="1" applyFill="1" applyBorder="1" applyAlignment="1">
      <alignment horizontal="center" vertical="center"/>
    </xf>
    <xf numFmtId="166" fontId="141" fillId="3" borderId="123" xfId="2" applyNumberFormat="1" applyFont="1" applyFill="1" applyBorder="1" applyAlignment="1">
      <alignment horizontal="center" vertical="center" wrapText="1"/>
    </xf>
    <xf numFmtId="4" fontId="141" fillId="3" borderId="136" xfId="4" applyNumberFormat="1" applyFont="1" applyFill="1" applyBorder="1" applyAlignment="1">
      <alignment horizontal="center" vertical="center"/>
    </xf>
    <xf numFmtId="166" fontId="141" fillId="3" borderId="135" xfId="4" applyNumberFormat="1" applyFont="1" applyFill="1" applyBorder="1" applyAlignment="1">
      <alignment horizontal="center" vertical="center"/>
    </xf>
    <xf numFmtId="166" fontId="141" fillId="3" borderId="132" xfId="4" applyNumberFormat="1" applyFont="1" applyFill="1" applyBorder="1" applyAlignment="1">
      <alignment horizontal="center" vertical="center"/>
    </xf>
    <xf numFmtId="167" fontId="141" fillId="3" borderId="138" xfId="4" applyNumberFormat="1" applyFont="1" applyFill="1" applyBorder="1" applyAlignment="1">
      <alignment horizontal="center" vertical="center"/>
    </xf>
    <xf numFmtId="0" fontId="141" fillId="3" borderId="135" xfId="0" applyFont="1" applyFill="1" applyBorder="1" applyAlignment="1">
      <alignment horizontal="center" vertical="center"/>
    </xf>
    <xf numFmtId="4" fontId="141" fillId="3" borderId="134" xfId="4" applyNumberFormat="1" applyFont="1" applyFill="1" applyBorder="1" applyAlignment="1">
      <alignment horizontal="center" vertical="center"/>
    </xf>
    <xf numFmtId="2" fontId="104" fillId="113" borderId="137" xfId="3" applyNumberFormat="1" applyFont="1" applyFill="1" applyBorder="1" applyAlignment="1">
      <alignment horizontal="center" vertical="center" wrapText="1"/>
    </xf>
    <xf numFmtId="187" fontId="103" fillId="3" borderId="140" xfId="4" applyNumberFormat="1" applyFont="1" applyFill="1" applyBorder="1" applyAlignment="1">
      <alignment horizontal="center" vertical="center"/>
    </xf>
    <xf numFmtId="166" fontId="141" fillId="3" borderId="122" xfId="2" applyNumberFormat="1" applyFont="1" applyFill="1" applyBorder="1" applyAlignment="1">
      <alignment horizontal="center" vertical="center" wrapText="1"/>
    </xf>
    <xf numFmtId="0" fontId="104" fillId="113" borderId="2" xfId="2" applyFont="1" applyFill="1" applyBorder="1" applyAlignment="1">
      <alignment horizontal="center" vertical="center"/>
    </xf>
    <xf numFmtId="0" fontId="104" fillId="113" borderId="2" xfId="2" applyFont="1" applyFill="1" applyBorder="1" applyAlignment="1">
      <alignment horizontal="center" vertical="center" wrapText="1"/>
    </xf>
    <xf numFmtId="0" fontId="104" fillId="113" borderId="125" xfId="2" applyFont="1" applyFill="1" applyBorder="1" applyAlignment="1">
      <alignment horizontal="center" vertical="center"/>
    </xf>
    <xf numFmtId="166" fontId="104" fillId="113" borderId="120" xfId="3" applyNumberFormat="1" applyFont="1" applyFill="1" applyBorder="1" applyAlignment="1">
      <alignment horizontal="center" vertical="center" wrapText="1"/>
    </xf>
    <xf numFmtId="0" fontId="104" fillId="113" borderId="121" xfId="2" applyFont="1" applyFill="1" applyBorder="1" applyAlignment="1">
      <alignment horizontal="center" vertical="center"/>
    </xf>
    <xf numFmtId="1" fontId="104" fillId="113" borderId="124" xfId="3" applyNumberFormat="1" applyFont="1" applyFill="1" applyBorder="1" applyAlignment="1">
      <alignment horizontal="center" vertical="center" wrapText="1"/>
    </xf>
    <xf numFmtId="0" fontId="104" fillId="113" borderId="120" xfId="2" applyFont="1" applyFill="1" applyBorder="1" applyAlignment="1">
      <alignment horizontal="center" vertical="center" wrapText="1"/>
    </xf>
    <xf numFmtId="0" fontId="104" fillId="113" borderId="97" xfId="2" applyFont="1" applyFill="1" applyBorder="1" applyAlignment="1">
      <alignment horizontal="center" vertical="center"/>
    </xf>
    <xf numFmtId="2" fontId="104" fillId="113" borderId="120" xfId="3" applyNumberFormat="1" applyFont="1" applyFill="1" applyBorder="1" applyAlignment="1">
      <alignment horizontal="center" vertical="center" wrapText="1"/>
    </xf>
    <xf numFmtId="166" fontId="104" fillId="113" borderId="124" xfId="3" applyNumberFormat="1" applyFont="1" applyFill="1" applyBorder="1" applyAlignment="1">
      <alignment horizontal="center" vertical="center" wrapText="1"/>
    </xf>
    <xf numFmtId="1" fontId="104" fillId="113" borderId="120" xfId="3" applyNumberFormat="1" applyFont="1" applyFill="1" applyBorder="1" applyAlignment="1">
      <alignment horizontal="center" vertical="center" wrapText="1"/>
    </xf>
    <xf numFmtId="0" fontId="104" fillId="113" borderId="125" xfId="2" applyFont="1" applyFill="1" applyBorder="1" applyAlignment="1">
      <alignment horizontal="center" vertical="center" wrapText="1"/>
    </xf>
    <xf numFmtId="0" fontId="104" fillId="113" borderId="115" xfId="2" applyFont="1" applyFill="1" applyBorder="1" applyAlignment="1">
      <alignment horizontal="center" vertical="center" wrapText="1"/>
    </xf>
    <xf numFmtId="3" fontId="103" fillId="3" borderId="122" xfId="4" applyNumberFormat="1" applyFont="1" applyFill="1" applyBorder="1" applyAlignment="1">
      <alignment horizontal="center" vertical="center"/>
    </xf>
    <xf numFmtId="2" fontId="141" fillId="3" borderId="129" xfId="4" applyNumberFormat="1" applyFont="1" applyFill="1" applyBorder="1" applyAlignment="1">
      <alignment horizontal="center" vertical="center"/>
    </xf>
    <xf numFmtId="166" fontId="141" fillId="3" borderId="129" xfId="4" applyNumberFormat="1" applyFont="1" applyFill="1" applyBorder="1" applyAlignment="1">
      <alignment horizontal="center" vertical="center"/>
    </xf>
    <xf numFmtId="166" fontId="141" fillId="3" borderId="133" xfId="4" applyNumberFormat="1" applyFont="1" applyFill="1" applyBorder="1" applyAlignment="1">
      <alignment horizontal="center" vertical="center"/>
    </xf>
    <xf numFmtId="0" fontId="141" fillId="3" borderId="133" xfId="0" applyFont="1" applyFill="1" applyBorder="1" applyAlignment="1">
      <alignment horizontal="center" vertical="center"/>
    </xf>
    <xf numFmtId="3" fontId="141" fillId="3" borderId="134" xfId="4" applyNumberFormat="1" applyFont="1" applyFill="1" applyBorder="1" applyAlignment="1">
      <alignment horizontal="center" vertical="center"/>
    </xf>
    <xf numFmtId="167" fontId="141" fillId="3" borderId="130" xfId="4" applyNumberFormat="1" applyFont="1" applyFill="1" applyBorder="1" applyAlignment="1">
      <alignment horizontal="center" vertical="center"/>
    </xf>
    <xf numFmtId="0" fontId="160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0" fillId="0" borderId="0" xfId="0" quotePrefix="1" applyAlignment="1">
      <alignment horizontal="left" vertical="center" indent="1"/>
    </xf>
    <xf numFmtId="0" fontId="7" fillId="0" borderId="0" xfId="0" applyFont="1" applyAlignment="1">
      <alignment horizontal="center" vertical="center" wrapText="1"/>
    </xf>
    <xf numFmtId="16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2" fontId="161" fillId="160" borderId="64" xfId="4284" applyNumberFormat="1" applyFont="1" applyFill="1" applyBorder="1" applyAlignment="1">
      <alignment horizontal="center" vertical="center"/>
    </xf>
    <xf numFmtId="2" fontId="161" fillId="160" borderId="52" xfId="4284" applyNumberFormat="1" applyFont="1" applyFill="1" applyBorder="1" applyAlignment="1">
      <alignment horizontal="center" vertical="center"/>
    </xf>
    <xf numFmtId="1" fontId="104" fillId="113" borderId="97" xfId="3" applyNumberFormat="1" applyFont="1" applyFill="1" applyBorder="1" applyAlignment="1">
      <alignment horizontal="center" vertical="center" wrapText="1"/>
    </xf>
    <xf numFmtId="0" fontId="57" fillId="113" borderId="25" xfId="0" applyFont="1" applyFill="1" applyBorder="1" applyAlignment="1">
      <alignment horizontal="center" vertical="center"/>
    </xf>
    <xf numFmtId="0" fontId="57" fillId="113" borderId="10" xfId="0" applyFont="1" applyFill="1" applyBorder="1" applyAlignment="1">
      <alignment horizontal="center" vertical="center"/>
    </xf>
    <xf numFmtId="0" fontId="62" fillId="113" borderId="32" xfId="0" applyFont="1" applyFill="1" applyBorder="1" applyAlignment="1">
      <alignment horizontal="center" vertical="center"/>
    </xf>
    <xf numFmtId="0" fontId="62" fillId="113" borderId="78" xfId="0" applyFont="1" applyFill="1" applyBorder="1" applyAlignment="1">
      <alignment horizontal="center" vertical="center"/>
    </xf>
    <xf numFmtId="0" fontId="62" fillId="113" borderId="10" xfId="0" applyFont="1" applyFill="1" applyBorder="1" applyAlignment="1">
      <alignment horizontal="center" vertical="center"/>
    </xf>
    <xf numFmtId="0" fontId="74" fillId="3" borderId="7" xfId="48" applyFont="1" applyFill="1" applyBorder="1" applyAlignment="1">
      <alignment horizontal="center" vertical="center"/>
    </xf>
    <xf numFmtId="0" fontId="74" fillId="3" borderId="82" xfId="48" applyFont="1" applyFill="1" applyBorder="1" applyAlignment="1">
      <alignment horizontal="center" vertical="center"/>
    </xf>
    <xf numFmtId="0" fontId="74" fillId="3" borderId="8" xfId="48" applyFont="1" applyFill="1" applyBorder="1" applyAlignment="1">
      <alignment horizontal="center" vertical="center"/>
    </xf>
    <xf numFmtId="0" fontId="55" fillId="39" borderId="92" xfId="0" applyFont="1" applyFill="1" applyBorder="1" applyAlignment="1">
      <alignment horizontal="center" vertical="center"/>
    </xf>
    <xf numFmtId="0" fontId="55" fillId="39" borderId="27" xfId="0" applyFont="1" applyFill="1" applyBorder="1" applyAlignment="1">
      <alignment horizontal="center" vertical="center"/>
    </xf>
    <xf numFmtId="0" fontId="55" fillId="39" borderId="81" xfId="0" applyFont="1" applyFill="1" applyBorder="1" applyAlignment="1">
      <alignment horizontal="center" vertical="center"/>
    </xf>
    <xf numFmtId="0" fontId="55" fillId="39" borderId="74" xfId="0" applyFont="1" applyFill="1" applyBorder="1" applyAlignment="1">
      <alignment horizontal="center" vertical="center"/>
    </xf>
    <xf numFmtId="0" fontId="55" fillId="39" borderId="93" xfId="0" applyFont="1" applyFill="1" applyBorder="1" applyAlignment="1">
      <alignment horizontal="center" vertical="center"/>
    </xf>
    <xf numFmtId="0" fontId="55" fillId="39" borderId="82" xfId="0" applyFont="1" applyFill="1" applyBorder="1" applyAlignment="1">
      <alignment horizontal="center" vertical="center"/>
    </xf>
    <xf numFmtId="0" fontId="76" fillId="161" borderId="33" xfId="0" applyFont="1" applyFill="1" applyBorder="1" applyAlignment="1">
      <alignment horizontal="center" vertical="center"/>
    </xf>
    <xf numFmtId="0" fontId="76" fillId="161" borderId="72" xfId="0" applyFont="1" applyFill="1" applyBorder="1" applyAlignment="1">
      <alignment horizontal="center" vertical="center"/>
    </xf>
    <xf numFmtId="0" fontId="76" fillId="161" borderId="34" xfId="0" applyFont="1" applyFill="1" applyBorder="1" applyAlignment="1">
      <alignment horizontal="center" vertical="center"/>
    </xf>
    <xf numFmtId="0" fontId="75" fillId="161" borderId="174" xfId="0" applyFont="1" applyFill="1" applyBorder="1" applyAlignment="1">
      <alignment vertical="center"/>
    </xf>
    <xf numFmtId="0" fontId="76" fillId="161" borderId="175" xfId="0" applyFont="1" applyFill="1" applyBorder="1" applyAlignment="1">
      <alignment horizontal="center" vertical="center"/>
    </xf>
    <xf numFmtId="0" fontId="75" fillId="161" borderId="176" xfId="0" applyFont="1" applyFill="1" applyBorder="1" applyAlignment="1">
      <alignment vertical="center"/>
    </xf>
    <xf numFmtId="0" fontId="76" fillId="0" borderId="177" xfId="0" applyFont="1" applyBorder="1" applyAlignment="1">
      <alignment horizontal="center" vertical="center"/>
    </xf>
    <xf numFmtId="0" fontId="76" fillId="0" borderId="178" xfId="0" applyFont="1" applyBorder="1" applyAlignment="1">
      <alignment horizontal="center" vertical="center"/>
    </xf>
    <xf numFmtId="0" fontId="76" fillId="0" borderId="179" xfId="0" applyFont="1" applyBorder="1" applyAlignment="1">
      <alignment horizontal="center" vertical="center"/>
    </xf>
    <xf numFmtId="0" fontId="76" fillId="161" borderId="177" xfId="0" applyFont="1" applyFill="1" applyBorder="1" applyAlignment="1">
      <alignment horizontal="center" vertical="center"/>
    </xf>
    <xf numFmtId="0" fontId="76" fillId="161" borderId="178" xfId="0" applyFont="1" applyFill="1" applyBorder="1" applyAlignment="1">
      <alignment horizontal="center" vertical="center"/>
    </xf>
    <xf numFmtId="0" fontId="76" fillId="161" borderId="179" xfId="0" applyFont="1" applyFill="1" applyBorder="1" applyAlignment="1">
      <alignment horizontal="center" vertical="center"/>
    </xf>
    <xf numFmtId="0" fontId="76" fillId="3" borderId="179" xfId="0" applyFont="1" applyFill="1" applyBorder="1" applyAlignment="1">
      <alignment horizontal="center" vertical="center"/>
    </xf>
    <xf numFmtId="0" fontId="76" fillId="161" borderId="180" xfId="0" applyFont="1" applyFill="1" applyBorder="1" applyAlignment="1">
      <alignment horizontal="center" vertical="center"/>
    </xf>
    <xf numFmtId="0" fontId="76" fillId="161" borderId="181" xfId="0" applyFont="1" applyFill="1" applyBorder="1" applyAlignment="1">
      <alignment horizontal="center" vertical="center"/>
    </xf>
    <xf numFmtId="0" fontId="66" fillId="0" borderId="0" xfId="0" applyFont="1"/>
    <xf numFmtId="0" fontId="57" fillId="0" borderId="0" xfId="0" applyFont="1"/>
    <xf numFmtId="0" fontId="57" fillId="0" borderId="0" xfId="0" applyFont="1" applyAlignment="1">
      <alignment horizontal="center" vertical="center"/>
    </xf>
    <xf numFmtId="0" fontId="61" fillId="0" borderId="0" xfId="0" applyFont="1"/>
    <xf numFmtId="0" fontId="167" fillId="0" borderId="32" xfId="0" applyFont="1" applyBorder="1" applyAlignment="1">
      <alignment horizontal="center" vertical="center"/>
    </xf>
    <xf numFmtId="0" fontId="167" fillId="0" borderId="32" xfId="0" quotePrefix="1" applyFont="1" applyBorder="1" applyAlignment="1">
      <alignment horizontal="center" vertical="center"/>
    </xf>
    <xf numFmtId="0" fontId="167" fillId="0" borderId="55" xfId="0" quotePrefix="1" applyFont="1" applyBorder="1" applyAlignment="1">
      <alignment horizontal="center" vertical="center"/>
    </xf>
    <xf numFmtId="2" fontId="167" fillId="0" borderId="32" xfId="0" applyNumberFormat="1" applyFont="1" applyBorder="1" applyAlignment="1">
      <alignment horizontal="center" vertical="center"/>
    </xf>
    <xf numFmtId="0" fontId="168" fillId="0" borderId="32" xfId="0" applyFont="1" applyBorder="1" applyAlignment="1">
      <alignment horizontal="center" vertical="center"/>
    </xf>
    <xf numFmtId="167" fontId="168" fillId="0" borderId="32" xfId="0" applyNumberFormat="1" applyFont="1" applyBorder="1" applyAlignment="1">
      <alignment horizontal="center" vertical="center"/>
    </xf>
    <xf numFmtId="2" fontId="168" fillId="0" borderId="32" xfId="0" applyNumberFormat="1" applyFont="1" applyBorder="1" applyAlignment="1">
      <alignment horizontal="center" vertical="center"/>
    </xf>
    <xf numFmtId="167" fontId="73" fillId="0" borderId="32" xfId="0" applyNumberFormat="1" applyFont="1" applyBorder="1" applyAlignment="1">
      <alignment horizontal="center" vertical="center"/>
    </xf>
    <xf numFmtId="0" fontId="62" fillId="0" borderId="0" xfId="0" applyFont="1" applyAlignment="1">
      <alignment horizontal="center" vertical="center" wrapText="1"/>
    </xf>
    <xf numFmtId="0" fontId="62" fillId="0" borderId="0" xfId="0" applyFont="1" applyAlignment="1">
      <alignment horizontal="center" vertical="center"/>
    </xf>
    <xf numFmtId="0" fontId="69" fillId="0" borderId="0" xfId="0" applyFont="1"/>
    <xf numFmtId="167" fontId="167" fillId="0" borderId="32" xfId="0" applyNumberFormat="1" applyFont="1" applyBorder="1" applyAlignment="1">
      <alignment horizontal="center" vertical="center"/>
    </xf>
    <xf numFmtId="0" fontId="169" fillId="0" borderId="0" xfId="0" applyFont="1"/>
    <xf numFmtId="166" fontId="167" fillId="0" borderId="32" xfId="0" applyNumberFormat="1" applyFont="1" applyBorder="1" applyAlignment="1">
      <alignment horizontal="center" vertical="center"/>
    </xf>
    <xf numFmtId="0" fontId="57" fillId="113" borderId="1" xfId="0" applyFont="1" applyFill="1" applyBorder="1" applyAlignment="1">
      <alignment horizontal="center" vertical="center" wrapText="1"/>
    </xf>
    <xf numFmtId="0" fontId="66" fillId="0" borderId="26" xfId="0" applyFont="1" applyBorder="1" applyAlignment="1">
      <alignment horizontal="center" vertical="center"/>
    </xf>
    <xf numFmtId="0" fontId="66" fillId="0" borderId="28" xfId="0" applyFont="1" applyBorder="1" applyAlignment="1">
      <alignment horizontal="center" vertical="center"/>
    </xf>
    <xf numFmtId="0" fontId="66" fillId="0" borderId="29" xfId="0" applyFont="1" applyBorder="1" applyAlignment="1">
      <alignment horizontal="center" vertical="center"/>
    </xf>
    <xf numFmtId="0" fontId="66" fillId="0" borderId="37" xfId="0" applyFont="1" applyBorder="1" applyAlignment="1">
      <alignment horizontal="center" vertical="center"/>
    </xf>
    <xf numFmtId="0" fontId="55" fillId="0" borderId="119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70" fillId="0" borderId="28" xfId="0" applyFont="1" applyBorder="1" applyAlignment="1">
      <alignment horizontal="center" vertical="center"/>
    </xf>
    <xf numFmtId="0" fontId="170" fillId="0" borderId="29" xfId="0" applyFont="1" applyBorder="1" applyAlignment="1">
      <alignment horizontal="center" vertical="center"/>
    </xf>
    <xf numFmtId="0" fontId="170" fillId="0" borderId="30" xfId="0" applyFont="1" applyBorder="1" applyAlignment="1">
      <alignment horizontal="center" vertical="center"/>
    </xf>
    <xf numFmtId="0" fontId="3" fillId="0" borderId="187" xfId="0" applyFont="1" applyBorder="1" applyAlignment="1">
      <alignment horizontal="center" vertical="center"/>
    </xf>
    <xf numFmtId="2" fontId="3" fillId="0" borderId="27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0" fontId="3" fillId="0" borderId="188" xfId="0" applyFont="1" applyBorder="1" applyAlignment="1">
      <alignment horizontal="center" vertical="center"/>
    </xf>
    <xf numFmtId="2" fontId="3" fillId="0" borderId="189" xfId="0" applyNumberFormat="1" applyFont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2" fontId="3" fillId="0" borderId="31" xfId="0" applyNumberFormat="1" applyFont="1" applyBorder="1" applyAlignment="1">
      <alignment horizontal="center" vertical="center"/>
    </xf>
    <xf numFmtId="0" fontId="3" fillId="0" borderId="137" xfId="0" applyFont="1" applyBorder="1" applyAlignment="1">
      <alignment horizontal="center" vertical="center"/>
    </xf>
    <xf numFmtId="2" fontId="3" fillId="0" borderId="120" xfId="0" applyNumberFormat="1" applyFont="1" applyBorder="1" applyAlignment="1">
      <alignment horizontal="center" vertical="center"/>
    </xf>
    <xf numFmtId="0" fontId="3" fillId="0" borderId="190" xfId="0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0" fontId="66" fillId="0" borderId="96" xfId="0" applyFont="1" applyBorder="1" applyAlignment="1">
      <alignment horizontal="center" vertical="center"/>
    </xf>
    <xf numFmtId="0" fontId="66" fillId="0" borderId="191" xfId="0" applyFont="1" applyBorder="1" applyAlignment="1">
      <alignment horizontal="center" vertical="center"/>
    </xf>
    <xf numFmtId="0" fontId="66" fillId="0" borderId="192" xfId="0" applyFont="1" applyBorder="1" applyAlignment="1">
      <alignment horizontal="center" vertical="center"/>
    </xf>
    <xf numFmtId="2" fontId="55" fillId="0" borderId="5" xfId="0" applyNumberFormat="1" applyFont="1" applyBorder="1" applyAlignment="1">
      <alignment horizontal="center" vertical="center"/>
    </xf>
    <xf numFmtId="0" fontId="55" fillId="0" borderId="58" xfId="0" applyFont="1" applyBorder="1" applyAlignment="1">
      <alignment horizontal="center" vertical="center"/>
    </xf>
    <xf numFmtId="2" fontId="55" fillId="0" borderId="119" xfId="0" applyNumberFormat="1" applyFont="1" applyBorder="1" applyAlignment="1">
      <alignment horizontal="center" vertical="center"/>
    </xf>
    <xf numFmtId="177" fontId="55" fillId="0" borderId="193" xfId="0" applyNumberFormat="1" applyFont="1" applyBorder="1" applyAlignment="1">
      <alignment horizontal="center" vertical="center"/>
    </xf>
    <xf numFmtId="0" fontId="55" fillId="0" borderId="193" xfId="0" applyFont="1" applyBorder="1" applyAlignment="1">
      <alignment horizontal="center" vertical="center"/>
    </xf>
    <xf numFmtId="0" fontId="55" fillId="0" borderId="189" xfId="0" applyFont="1" applyBorder="1" applyAlignment="1">
      <alignment horizontal="center" vertical="center"/>
    </xf>
    <xf numFmtId="0" fontId="55" fillId="0" borderId="98" xfId="0" applyFont="1" applyBorder="1" applyAlignment="1">
      <alignment horizontal="center" vertical="center"/>
    </xf>
    <xf numFmtId="2" fontId="55" fillId="0" borderId="194" xfId="0" applyNumberFormat="1" applyFont="1" applyBorder="1" applyAlignment="1">
      <alignment horizontal="center" vertical="center"/>
    </xf>
    <xf numFmtId="2" fontId="55" fillId="0" borderId="195" xfId="0" applyNumberFormat="1" applyFont="1" applyBorder="1" applyAlignment="1">
      <alignment horizontal="center" vertical="center"/>
    </xf>
    <xf numFmtId="0" fontId="55" fillId="0" borderId="99" xfId="0" applyFont="1" applyBorder="1"/>
    <xf numFmtId="0" fontId="55" fillId="0" borderId="99" xfId="0" applyFont="1" applyBorder="1" applyAlignment="1">
      <alignment vertical="center" wrapText="1"/>
    </xf>
    <xf numFmtId="0" fontId="55" fillId="0" borderId="0" xfId="0" applyFont="1" applyAlignment="1">
      <alignment vertical="center" wrapText="1"/>
    </xf>
    <xf numFmtId="0" fontId="3" fillId="0" borderId="99" xfId="0" applyFont="1" applyBorder="1" applyAlignment="1">
      <alignment horizontal="center" vertical="center"/>
    </xf>
    <xf numFmtId="2" fontId="3" fillId="0" borderId="99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66" fillId="0" borderId="4" xfId="0" applyFont="1" applyBorder="1" applyAlignment="1">
      <alignment horizontal="center" vertical="center"/>
    </xf>
    <xf numFmtId="0" fontId="66" fillId="0" borderId="5" xfId="0" applyFont="1" applyBorder="1" applyAlignment="1">
      <alignment horizontal="center" vertical="center"/>
    </xf>
    <xf numFmtId="0" fontId="66" fillId="0" borderId="6" xfId="0" applyFont="1" applyBorder="1" applyAlignment="1">
      <alignment horizontal="center" vertical="center"/>
    </xf>
    <xf numFmtId="2" fontId="55" fillId="0" borderId="189" xfId="0" applyNumberFormat="1" applyFont="1" applyBorder="1" applyAlignment="1">
      <alignment horizontal="center" vertical="center"/>
    </xf>
    <xf numFmtId="0" fontId="23" fillId="0" borderId="0" xfId="0" applyFont="1"/>
    <xf numFmtId="166" fontId="23" fillId="0" borderId="0" xfId="0" applyNumberFormat="1" applyFont="1" applyAlignment="1">
      <alignment horizontal="center" vertical="center"/>
    </xf>
    <xf numFmtId="2" fontId="23" fillId="0" borderId="0" xfId="0" applyNumberFormat="1" applyFont="1" applyAlignment="1">
      <alignment horizontal="center" vertical="center"/>
    </xf>
    <xf numFmtId="2" fontId="0" fillId="0" borderId="119" xfId="0" applyNumberFormat="1" applyBorder="1" applyAlignment="1">
      <alignment horizontal="center"/>
    </xf>
    <xf numFmtId="2" fontId="23" fillId="0" borderId="119" xfId="0" applyNumberFormat="1" applyFont="1" applyBorder="1" applyAlignment="1">
      <alignment horizontal="center" vertical="center"/>
    </xf>
    <xf numFmtId="0" fontId="57" fillId="0" borderId="0" xfId="4" applyFont="1" applyAlignment="1">
      <alignment vertical="center" wrapText="1"/>
    </xf>
    <xf numFmtId="0" fontId="23" fillId="0" borderId="186" xfId="0" applyFont="1" applyBorder="1"/>
    <xf numFmtId="0" fontId="23" fillId="0" borderId="196" xfId="0" applyFont="1" applyBorder="1"/>
    <xf numFmtId="0" fontId="23" fillId="0" borderId="137" xfId="0" applyFont="1" applyBorder="1"/>
    <xf numFmtId="0" fontId="23" fillId="0" borderId="56" xfId="0" applyFont="1" applyBorder="1"/>
    <xf numFmtId="0" fontId="23" fillId="0" borderId="22" xfId="0" applyFont="1" applyBorder="1"/>
    <xf numFmtId="0" fontId="23" fillId="0" borderId="22" xfId="0" applyFont="1" applyBorder="1" applyAlignment="1">
      <alignment horizontal="center" vertical="center"/>
    </xf>
    <xf numFmtId="0" fontId="23" fillId="0" borderId="56" xfId="0" applyFont="1" applyBorder="1" applyAlignment="1">
      <alignment horizontal="center" vertical="center"/>
    </xf>
    <xf numFmtId="0" fontId="173" fillId="0" borderId="0" xfId="0" applyFont="1" applyAlignment="1">
      <alignment horizontal="center" vertical="center" wrapText="1"/>
    </xf>
    <xf numFmtId="1" fontId="175" fillId="0" borderId="0" xfId="0" applyNumberFormat="1" applyFont="1" applyAlignment="1">
      <alignment horizontal="center"/>
    </xf>
    <xf numFmtId="0" fontId="171" fillId="0" borderId="0" xfId="0" applyFont="1" applyAlignment="1">
      <alignment horizontal="center" vertical="center"/>
    </xf>
    <xf numFmtId="2" fontId="171" fillId="0" borderId="0" xfId="0" applyNumberFormat="1" applyFont="1" applyAlignment="1">
      <alignment horizontal="center" vertical="center"/>
    </xf>
    <xf numFmtId="0" fontId="23" fillId="0" borderId="107" xfId="0" applyFont="1" applyBorder="1" applyAlignment="1">
      <alignment horizontal="center" vertical="center"/>
    </xf>
    <xf numFmtId="0" fontId="85" fillId="0" borderId="107" xfId="0" applyFont="1" applyBorder="1" applyAlignment="1">
      <alignment horizontal="center" vertical="center"/>
    </xf>
    <xf numFmtId="0" fontId="85" fillId="0" borderId="107" xfId="0" applyFont="1" applyBorder="1" applyAlignment="1">
      <alignment horizontal="left" vertical="center"/>
    </xf>
    <xf numFmtId="1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85" fillId="0" borderId="0" xfId="0" applyFont="1" applyAlignment="1">
      <alignment horizontal="center" vertical="center"/>
    </xf>
    <xf numFmtId="0" fontId="85" fillId="0" borderId="0" xfId="0" applyFont="1" applyAlignment="1">
      <alignment horizontal="center" vertical="center" wrapText="1"/>
    </xf>
    <xf numFmtId="0" fontId="173" fillId="0" borderId="22" xfId="0" applyFont="1" applyBorder="1" applyAlignment="1">
      <alignment horizontal="center" vertical="center" wrapText="1"/>
    </xf>
    <xf numFmtId="0" fontId="173" fillId="0" borderId="0" xfId="0" applyFont="1" applyAlignment="1">
      <alignment horizontal="center" vertical="center"/>
    </xf>
    <xf numFmtId="1" fontId="175" fillId="0" borderId="22" xfId="0" applyNumberFormat="1" applyFont="1" applyBorder="1" applyAlignment="1">
      <alignment horizontal="center"/>
    </xf>
    <xf numFmtId="0" fontId="23" fillId="0" borderId="0" xfId="0" quotePrefix="1" applyFont="1" applyAlignment="1">
      <alignment horizontal="center" vertical="center"/>
    </xf>
    <xf numFmtId="0" fontId="85" fillId="0" borderId="0" xfId="0" applyFont="1" applyAlignment="1">
      <alignment horizontal="left" vertical="center"/>
    </xf>
    <xf numFmtId="0" fontId="23" fillId="0" borderId="23" xfId="0" applyFont="1" applyBorder="1" applyAlignment="1">
      <alignment horizontal="center" vertical="center"/>
    </xf>
    <xf numFmtId="0" fontId="23" fillId="0" borderId="162" xfId="0" applyFont="1" applyBorder="1" applyAlignment="1">
      <alignment horizontal="center" vertical="center"/>
    </xf>
    <xf numFmtId="166" fontId="23" fillId="0" borderId="162" xfId="0" applyNumberFormat="1" applyFont="1" applyBorder="1" applyAlignment="1">
      <alignment horizontal="center" vertical="center"/>
    </xf>
    <xf numFmtId="2" fontId="23" fillId="0" borderId="162" xfId="0" applyNumberFormat="1" applyFont="1" applyBorder="1" applyAlignment="1">
      <alignment horizontal="center" vertical="center"/>
    </xf>
    <xf numFmtId="1" fontId="175" fillId="0" borderId="187" xfId="0" applyNumberFormat="1" applyFont="1" applyBorder="1" applyAlignment="1">
      <alignment horizontal="center"/>
    </xf>
    <xf numFmtId="0" fontId="57" fillId="113" borderId="96" xfId="0" applyFont="1" applyFill="1" applyBorder="1" applyAlignment="1">
      <alignment horizontal="center" vertical="center" wrapText="1"/>
    </xf>
    <xf numFmtId="0" fontId="99" fillId="0" borderId="119" xfId="0" applyFont="1" applyBorder="1" applyAlignment="1">
      <alignment horizontal="left" vertical="center" wrapText="1" indent="1" readingOrder="1"/>
    </xf>
    <xf numFmtId="0" fontId="71" fillId="0" borderId="119" xfId="0" applyFont="1" applyBorder="1" applyAlignment="1">
      <alignment horizontal="left" vertical="center" wrapText="1" indent="1" readingOrder="1"/>
    </xf>
    <xf numFmtId="0" fontId="67" fillId="0" borderId="119" xfId="0" applyFont="1" applyBorder="1" applyAlignment="1">
      <alignment horizontal="left" vertical="center" wrapText="1" indent="1" readingOrder="1"/>
    </xf>
    <xf numFmtId="9" fontId="71" fillId="0" borderId="119" xfId="0" applyNumberFormat="1" applyFont="1" applyBorder="1" applyAlignment="1">
      <alignment horizontal="left" vertical="center" wrapText="1" indent="1" readingOrder="1"/>
    </xf>
    <xf numFmtId="0" fontId="66" fillId="0" borderId="5" xfId="0" applyFont="1" applyBorder="1" applyAlignment="1">
      <alignment horizontal="right" vertical="center"/>
    </xf>
    <xf numFmtId="9" fontId="55" fillId="0" borderId="5" xfId="1" applyFont="1" applyBorder="1" applyAlignment="1">
      <alignment horizontal="center" vertical="center"/>
    </xf>
    <xf numFmtId="9" fontId="55" fillId="0" borderId="6" xfId="1" applyFont="1" applyBorder="1" applyAlignment="1">
      <alignment horizontal="center" vertical="center"/>
    </xf>
    <xf numFmtId="0" fontId="66" fillId="0" borderId="74" xfId="0" applyFont="1" applyBorder="1" applyAlignment="1">
      <alignment horizontal="right" vertical="center"/>
    </xf>
    <xf numFmtId="9" fontId="55" fillId="0" borderId="74" xfId="1" applyFont="1" applyBorder="1" applyAlignment="1">
      <alignment horizontal="center" vertical="center"/>
    </xf>
    <xf numFmtId="9" fontId="55" fillId="0" borderId="73" xfId="1" applyFont="1" applyBorder="1" applyAlignment="1">
      <alignment horizontal="center" vertical="center"/>
    </xf>
    <xf numFmtId="0" fontId="66" fillId="0" borderId="95" xfId="0" applyFont="1" applyBorder="1" applyAlignment="1">
      <alignment horizontal="right" vertical="center"/>
    </xf>
    <xf numFmtId="9" fontId="55" fillId="0" borderId="95" xfId="1" applyFont="1" applyBorder="1" applyAlignment="1">
      <alignment horizontal="center" vertical="center"/>
    </xf>
    <xf numFmtId="9" fontId="55" fillId="0" borderId="8" xfId="1" applyFont="1" applyBorder="1" applyAlignment="1">
      <alignment horizontal="center" vertical="center"/>
    </xf>
    <xf numFmtId="2" fontId="0" fillId="0" borderId="197" xfId="0" applyNumberFormat="1" applyBorder="1" applyAlignment="1">
      <alignment horizontal="center"/>
    </xf>
    <xf numFmtId="0" fontId="57" fillId="113" borderId="9" xfId="0" applyFont="1" applyFill="1" applyBorder="1" applyAlignment="1">
      <alignment horizontal="center" vertical="center"/>
    </xf>
    <xf numFmtId="0" fontId="57" fillId="113" borderId="201" xfId="0" applyFont="1" applyFill="1" applyBorder="1" applyAlignment="1">
      <alignment horizontal="center" vertical="center"/>
    </xf>
    <xf numFmtId="0" fontId="57" fillId="113" borderId="21" xfId="0" applyFont="1" applyFill="1" applyBorder="1" applyAlignment="1">
      <alignment horizontal="center" vertical="center"/>
    </xf>
    <xf numFmtId="0" fontId="57" fillId="113" borderId="202" xfId="0" applyFont="1" applyFill="1" applyBorder="1" applyAlignment="1">
      <alignment horizontal="center" vertical="center"/>
    </xf>
    <xf numFmtId="0" fontId="57" fillId="113" borderId="39" xfId="0" applyFont="1" applyFill="1" applyBorder="1" applyAlignment="1">
      <alignment horizontal="center" vertical="center"/>
    </xf>
    <xf numFmtId="0" fontId="176" fillId="113" borderId="120" xfId="0" applyFont="1" applyFill="1" applyBorder="1" applyAlignment="1">
      <alignment horizontal="center" vertical="center" wrapText="1"/>
    </xf>
    <xf numFmtId="0" fontId="177" fillId="0" borderId="119" xfId="0" applyFont="1" applyBorder="1" applyAlignment="1">
      <alignment horizontal="center" vertical="center"/>
    </xf>
    <xf numFmtId="166" fontId="177" fillId="0" borderId="119" xfId="0" applyNumberFormat="1" applyFont="1" applyBorder="1" applyAlignment="1">
      <alignment horizontal="center" vertical="center"/>
    </xf>
    <xf numFmtId="2" fontId="177" fillId="0" borderId="119" xfId="0" applyNumberFormat="1" applyFont="1" applyBorder="1" applyAlignment="1">
      <alignment horizontal="center" vertical="center"/>
    </xf>
    <xf numFmtId="0" fontId="177" fillId="0" borderId="119" xfId="0" quotePrefix="1" applyFont="1" applyBorder="1" applyAlignment="1">
      <alignment horizontal="center" vertical="center"/>
    </xf>
    <xf numFmtId="0" fontId="177" fillId="0" borderId="0" xfId="0" applyFont="1" applyAlignment="1">
      <alignment horizontal="center" vertical="center"/>
    </xf>
    <xf numFmtId="166" fontId="177" fillId="0" borderId="0" xfId="0" applyNumberFormat="1" applyFont="1" applyAlignment="1">
      <alignment horizontal="center" vertical="center"/>
    </xf>
    <xf numFmtId="2" fontId="177" fillId="0" borderId="0" xfId="0" applyNumberFormat="1" applyFont="1" applyAlignment="1">
      <alignment horizontal="center" vertical="center"/>
    </xf>
    <xf numFmtId="0" fontId="176" fillId="113" borderId="119" xfId="0" applyFont="1" applyFill="1" applyBorder="1" applyAlignment="1">
      <alignment horizontal="center" vertical="center"/>
    </xf>
    <xf numFmtId="0" fontId="177" fillId="0" borderId="198" xfId="0" applyFont="1" applyBorder="1" applyAlignment="1">
      <alignment horizontal="center" vertical="center"/>
    </xf>
    <xf numFmtId="1" fontId="177" fillId="0" borderId="119" xfId="0" applyNumberFormat="1" applyFont="1" applyBorder="1" applyAlignment="1">
      <alignment horizontal="center" vertical="center"/>
    </xf>
    <xf numFmtId="1" fontId="171" fillId="0" borderId="0" xfId="0" applyNumberFormat="1" applyFont="1" applyAlignment="1">
      <alignment horizontal="center" vertical="center"/>
    </xf>
    <xf numFmtId="166" fontId="55" fillId="0" borderId="27" xfId="0" applyNumberFormat="1" applyFont="1" applyBorder="1" applyAlignment="1">
      <alignment horizontal="center"/>
    </xf>
    <xf numFmtId="166" fontId="104" fillId="113" borderId="28" xfId="3" applyNumberFormat="1" applyFont="1" applyFill="1" applyBorder="1" applyAlignment="1">
      <alignment horizontal="center" vertical="center" wrapText="1"/>
    </xf>
    <xf numFmtId="166" fontId="104" fillId="113" borderId="26" xfId="3" applyNumberFormat="1" applyFont="1" applyFill="1" applyBorder="1" applyAlignment="1">
      <alignment horizontal="center" vertical="center" wrapText="1"/>
    </xf>
    <xf numFmtId="0" fontId="57" fillId="113" borderId="119" xfId="0" applyFont="1" applyFill="1" applyBorder="1" applyAlignment="1">
      <alignment horizontal="center" vertical="center" wrapText="1"/>
    </xf>
    <xf numFmtId="14" fontId="55" fillId="0" borderId="5" xfId="0" applyNumberFormat="1" applyFont="1" applyBorder="1"/>
    <xf numFmtId="14" fontId="55" fillId="0" borderId="189" xfId="0" applyNumberFormat="1" applyFont="1" applyBorder="1" applyAlignment="1">
      <alignment horizontal="center"/>
    </xf>
    <xf numFmtId="2" fontId="55" fillId="0" borderId="187" xfId="0" applyNumberFormat="1" applyFont="1" applyBorder="1" applyAlignment="1">
      <alignment horizontal="center"/>
    </xf>
    <xf numFmtId="2" fontId="55" fillId="0" borderId="27" xfId="0" applyNumberFormat="1" applyFont="1" applyBorder="1" applyAlignment="1">
      <alignment horizontal="center"/>
    </xf>
    <xf numFmtId="2" fontId="55" fillId="0" borderId="31" xfId="0" applyNumberFormat="1" applyFont="1" applyBorder="1" applyAlignment="1">
      <alignment horizontal="center"/>
    </xf>
    <xf numFmtId="2" fontId="55" fillId="0" borderId="112" xfId="0" applyNumberFormat="1" applyFont="1" applyBorder="1" applyAlignment="1">
      <alignment horizontal="center"/>
    </xf>
    <xf numFmtId="2" fontId="55" fillId="0" borderId="197" xfId="0" applyNumberFormat="1" applyFont="1" applyBorder="1" applyAlignment="1">
      <alignment horizontal="center"/>
    </xf>
    <xf numFmtId="2" fontId="55" fillId="0" borderId="193" xfId="0" applyNumberFormat="1" applyFont="1" applyBorder="1" applyAlignment="1">
      <alignment horizontal="center"/>
    </xf>
    <xf numFmtId="2" fontId="55" fillId="0" borderId="199" xfId="0" applyNumberFormat="1" applyFont="1" applyBorder="1" applyAlignment="1">
      <alignment horizontal="center"/>
    </xf>
    <xf numFmtId="2" fontId="55" fillId="35" borderId="119" xfId="0" applyNumberFormat="1" applyFont="1" applyFill="1" applyBorder="1" applyAlignment="1">
      <alignment horizontal="center"/>
    </xf>
    <xf numFmtId="2" fontId="55" fillId="0" borderId="189" xfId="0" applyNumberFormat="1" applyFont="1" applyBorder="1" applyAlignment="1">
      <alignment horizontal="center"/>
    </xf>
    <xf numFmtId="2" fontId="55" fillId="0" borderId="8" xfId="0" applyNumberFormat="1" applyFont="1" applyBorder="1" applyAlignment="1">
      <alignment horizontal="center"/>
    </xf>
    <xf numFmtId="2" fontId="55" fillId="0" borderId="7" xfId="0" applyNumberFormat="1" applyFont="1" applyBorder="1" applyAlignment="1">
      <alignment horizontal="center"/>
    </xf>
    <xf numFmtId="2" fontId="55" fillId="0" borderId="119" xfId="0" applyNumberFormat="1" applyFont="1" applyBorder="1"/>
    <xf numFmtId="9" fontId="55" fillId="0" borderId="0" xfId="1" applyFont="1" applyAlignment="1">
      <alignment horizontal="left"/>
    </xf>
    <xf numFmtId="14" fontId="55" fillId="0" borderId="5" xfId="0" applyNumberFormat="1" applyFont="1" applyBorder="1" applyAlignment="1">
      <alignment horizontal="center"/>
    </xf>
    <xf numFmtId="14" fontId="55" fillId="0" borderId="120" xfId="0" applyNumberFormat="1" applyFont="1" applyBorder="1" applyAlignment="1">
      <alignment horizontal="center"/>
    </xf>
    <xf numFmtId="2" fontId="55" fillId="0" borderId="5" xfId="0" applyNumberFormat="1" applyFont="1" applyBorder="1" applyAlignment="1">
      <alignment horizontal="center"/>
    </xf>
    <xf numFmtId="2" fontId="55" fillId="0" borderId="6" xfId="0" applyNumberFormat="1" applyFont="1" applyBorder="1" applyAlignment="1">
      <alignment horizontal="center"/>
    </xf>
    <xf numFmtId="2" fontId="55" fillId="0" borderId="4" xfId="0" applyNumberFormat="1" applyFont="1" applyBorder="1" applyAlignment="1">
      <alignment horizontal="center"/>
    </xf>
    <xf numFmtId="0" fontId="55" fillId="0" borderId="3" xfId="0" applyFont="1" applyBorder="1" applyAlignment="1">
      <alignment horizontal="center"/>
    </xf>
    <xf numFmtId="2" fontId="55" fillId="35" borderId="7" xfId="0" applyNumberFormat="1" applyFont="1" applyFill="1" applyBorder="1" applyAlignment="1">
      <alignment horizontal="center"/>
    </xf>
    <xf numFmtId="2" fontId="55" fillId="35" borderId="189" xfId="0" applyNumberFormat="1" applyFont="1" applyFill="1" applyBorder="1" applyAlignment="1">
      <alignment horizontal="center"/>
    </xf>
    <xf numFmtId="2" fontId="55" fillId="35" borderId="8" xfId="0" applyNumberFormat="1" applyFont="1" applyFill="1" applyBorder="1" applyAlignment="1">
      <alignment horizontal="center"/>
    </xf>
    <xf numFmtId="14" fontId="55" fillId="0" borderId="4" xfId="0" applyNumberFormat="1" applyFont="1" applyBorder="1" applyAlignment="1">
      <alignment horizontal="center" vertical="center"/>
    </xf>
    <xf numFmtId="14" fontId="55" fillId="0" borderId="7" xfId="0" applyNumberFormat="1" applyFont="1" applyBorder="1" applyAlignment="1">
      <alignment horizontal="center" vertical="center"/>
    </xf>
    <xf numFmtId="2" fontId="55" fillId="35" borderId="119" xfId="0" applyNumberFormat="1" applyFont="1" applyFill="1" applyBorder="1" applyAlignment="1">
      <alignment horizontal="center" vertical="center"/>
    </xf>
    <xf numFmtId="14" fontId="55" fillId="0" borderId="124" xfId="0" applyNumberFormat="1" applyFont="1" applyBorder="1" applyAlignment="1">
      <alignment horizontal="center" vertical="center"/>
    </xf>
    <xf numFmtId="166" fontId="55" fillId="3" borderId="119" xfId="0" applyNumberFormat="1" applyFont="1" applyFill="1" applyBorder="1" applyAlignment="1">
      <alignment horizontal="center" vertical="center"/>
    </xf>
    <xf numFmtId="166" fontId="55" fillId="3" borderId="189" xfId="0" applyNumberFormat="1" applyFont="1" applyFill="1" applyBorder="1" applyAlignment="1">
      <alignment horizontal="center" vertical="center"/>
    </xf>
    <xf numFmtId="2" fontId="55" fillId="0" borderId="200" xfId="0" applyNumberFormat="1" applyFont="1" applyBorder="1" applyAlignment="1">
      <alignment horizontal="center"/>
    </xf>
    <xf numFmtId="16" fontId="55" fillId="0" borderId="0" xfId="0" applyNumberFormat="1" applyFont="1"/>
    <xf numFmtId="2" fontId="23" fillId="0" borderId="186" xfId="0" applyNumberFormat="1" applyFont="1" applyBorder="1" applyAlignment="1">
      <alignment horizontal="center"/>
    </xf>
    <xf numFmtId="167" fontId="23" fillId="0" borderId="186" xfId="0" applyNumberFormat="1" applyFont="1" applyBorder="1" applyAlignment="1">
      <alignment horizontal="center"/>
    </xf>
    <xf numFmtId="2" fontId="23" fillId="0" borderId="198" xfId="0" applyNumberFormat="1" applyFont="1" applyBorder="1" applyAlignment="1">
      <alignment horizontal="center"/>
    </xf>
    <xf numFmtId="2" fontId="23" fillId="0" borderId="120" xfId="0" applyNumberFormat="1" applyFont="1" applyBorder="1" applyAlignment="1">
      <alignment horizontal="center"/>
    </xf>
    <xf numFmtId="2" fontId="23" fillId="0" borderId="119" xfId="0" applyNumberFormat="1" applyFont="1" applyBorder="1" applyAlignment="1">
      <alignment horizontal="center"/>
    </xf>
    <xf numFmtId="2" fontId="23" fillId="3" borderId="119" xfId="0" applyNumberFormat="1" applyFont="1" applyFill="1" applyBorder="1" applyAlignment="1">
      <alignment horizontal="center" vertical="center"/>
    </xf>
    <xf numFmtId="0" fontId="23" fillId="3" borderId="119" xfId="0" applyFont="1" applyFill="1" applyBorder="1" applyAlignment="1">
      <alignment horizontal="center" vertical="center"/>
    </xf>
    <xf numFmtId="166" fontId="23" fillId="0" borderId="119" xfId="0" applyNumberFormat="1" applyFont="1" applyBorder="1" applyAlignment="1">
      <alignment horizontal="center" vertical="center"/>
    </xf>
    <xf numFmtId="2" fontId="23" fillId="3" borderId="119" xfId="0" applyNumberFormat="1" applyFont="1" applyFill="1" applyBorder="1" applyAlignment="1">
      <alignment horizontal="center"/>
    </xf>
    <xf numFmtId="167" fontId="23" fillId="3" borderId="119" xfId="0" applyNumberFormat="1" applyFont="1" applyFill="1" applyBorder="1" applyAlignment="1">
      <alignment horizontal="center"/>
    </xf>
    <xf numFmtId="0" fontId="57" fillId="113" borderId="20" xfId="0" applyFont="1" applyFill="1" applyBorder="1" applyAlignment="1">
      <alignment horizontal="center" vertical="center" wrapText="1"/>
    </xf>
    <xf numFmtId="2" fontId="55" fillId="0" borderId="8" xfId="0" applyNumberFormat="1" applyFont="1" applyBorder="1" applyAlignment="1">
      <alignment horizontal="center" vertical="center"/>
    </xf>
    <xf numFmtId="14" fontId="55" fillId="0" borderId="8" xfId="0" applyNumberFormat="1" applyFont="1" applyBorder="1" applyAlignment="1">
      <alignment horizontal="center"/>
    </xf>
    <xf numFmtId="2" fontId="55" fillId="0" borderId="4" xfId="0" applyNumberFormat="1" applyFont="1" applyBorder="1"/>
    <xf numFmtId="2" fontId="55" fillId="0" borderId="6" xfId="0" applyNumberFormat="1" applyFont="1" applyBorder="1"/>
    <xf numFmtId="2" fontId="55" fillId="0" borderId="7" xfId="0" applyNumberFormat="1" applyFont="1" applyBorder="1"/>
    <xf numFmtId="2" fontId="55" fillId="0" borderId="8" xfId="0" applyNumberFormat="1" applyFont="1" applyBorder="1"/>
    <xf numFmtId="2" fontId="55" fillId="0" borderId="199" xfId="0" applyNumberFormat="1" applyFont="1" applyBorder="1"/>
    <xf numFmtId="2" fontId="55" fillId="0" borderId="193" xfId="0" applyNumberFormat="1" applyFont="1" applyBorder="1"/>
    <xf numFmtId="0" fontId="57" fillId="113" borderId="99" xfId="0" applyFont="1" applyFill="1" applyBorder="1" applyAlignment="1">
      <alignment horizontal="center" vertical="center" wrapText="1"/>
    </xf>
    <xf numFmtId="2" fontId="65" fillId="0" borderId="4" xfId="1" applyNumberFormat="1" applyFont="1" applyBorder="1" applyAlignment="1">
      <alignment horizontal="center" vertical="center"/>
    </xf>
    <xf numFmtId="2" fontId="82" fillId="3" borderId="6" xfId="1" applyNumberFormat="1" applyFont="1" applyFill="1" applyBorder="1" applyAlignment="1">
      <alignment horizontal="center" vertical="center"/>
    </xf>
    <xf numFmtId="2" fontId="65" fillId="0" borderId="199" xfId="1" applyNumberFormat="1" applyFont="1" applyBorder="1" applyAlignment="1">
      <alignment horizontal="center" vertical="center"/>
    </xf>
    <xf numFmtId="2" fontId="82" fillId="3" borderId="193" xfId="1" applyNumberFormat="1" applyFont="1" applyFill="1" applyBorder="1" applyAlignment="1">
      <alignment horizontal="center" vertical="center"/>
    </xf>
    <xf numFmtId="0" fontId="66" fillId="0" borderId="119" xfId="0" applyFont="1" applyBorder="1" applyAlignment="1">
      <alignment horizontal="center" vertical="center"/>
    </xf>
    <xf numFmtId="2" fontId="66" fillId="0" borderId="119" xfId="0" applyNumberFormat="1" applyFont="1" applyBorder="1" applyAlignment="1">
      <alignment horizontal="center" vertical="center"/>
    </xf>
    <xf numFmtId="0" fontId="57" fillId="113" borderId="100" xfId="0" applyFont="1" applyFill="1" applyBorder="1" applyAlignment="1">
      <alignment horizontal="center" vertical="center" wrapText="1"/>
    </xf>
    <xf numFmtId="2" fontId="23" fillId="0" borderId="193" xfId="0" applyNumberFormat="1" applyFont="1" applyBorder="1" applyAlignment="1">
      <alignment horizontal="center" vertical="center"/>
    </xf>
    <xf numFmtId="2" fontId="23" fillId="0" borderId="8" xfId="0" applyNumberFormat="1" applyFont="1" applyBorder="1" applyAlignment="1">
      <alignment horizontal="center" vertical="center"/>
    </xf>
    <xf numFmtId="0" fontId="55" fillId="0" borderId="119" xfId="0" applyFont="1" applyBorder="1"/>
    <xf numFmtId="0" fontId="55" fillId="0" borderId="199" xfId="0" applyFont="1" applyBorder="1"/>
    <xf numFmtId="2" fontId="55" fillId="0" borderId="96" xfId="0" applyNumberFormat="1" applyFont="1" applyBorder="1" applyAlignment="1">
      <alignment horizontal="center"/>
    </xf>
    <xf numFmtId="2" fontId="55" fillId="0" borderId="98" xfId="0" applyNumberFormat="1" applyFont="1" applyBorder="1" applyAlignment="1">
      <alignment horizontal="center"/>
    </xf>
    <xf numFmtId="2" fontId="55" fillId="0" borderId="203" xfId="0" applyNumberFormat="1" applyFont="1" applyBorder="1" applyAlignment="1">
      <alignment horizontal="center"/>
    </xf>
    <xf numFmtId="14" fontId="55" fillId="0" borderId="0" xfId="0" quotePrefix="1" applyNumberFormat="1" applyFont="1"/>
    <xf numFmtId="0" fontId="55" fillId="0" borderId="0" xfId="0" quotePrefix="1" applyFont="1"/>
    <xf numFmtId="0" fontId="55" fillId="163" borderId="0" xfId="0" applyFont="1" applyFill="1"/>
    <xf numFmtId="0" fontId="55" fillId="162" borderId="119" xfId="0" applyFont="1" applyFill="1" applyBorder="1"/>
    <xf numFmtId="9" fontId="67" fillId="0" borderId="0" xfId="1" applyFont="1" applyBorder="1" applyAlignment="1">
      <alignment horizontal="center"/>
    </xf>
    <xf numFmtId="0" fontId="142" fillId="0" borderId="27" xfId="0" applyFont="1" applyBorder="1" applyAlignment="1">
      <alignment horizontal="center" vertical="center"/>
    </xf>
    <xf numFmtId="0" fontId="142" fillId="0" borderId="119" xfId="0" applyFont="1" applyBorder="1" applyAlignment="1">
      <alignment horizontal="center" vertical="center"/>
    </xf>
    <xf numFmtId="9" fontId="55" fillId="0" borderId="119" xfId="1" applyFont="1" applyBorder="1" applyAlignment="1">
      <alignment horizontal="center" vertical="center"/>
    </xf>
    <xf numFmtId="166" fontId="55" fillId="0" borderId="119" xfId="0" applyNumberFormat="1" applyFont="1" applyBorder="1" applyAlignment="1">
      <alignment horizontal="center" vertical="center"/>
    </xf>
    <xf numFmtId="0" fontId="55" fillId="0" borderId="120" xfId="0" applyFont="1" applyBorder="1" applyAlignment="1">
      <alignment horizontal="center" vertical="center"/>
    </xf>
    <xf numFmtId="0" fontId="55" fillId="163" borderId="119" xfId="0" applyFont="1" applyFill="1" applyBorder="1" applyAlignment="1">
      <alignment horizontal="center" vertical="center"/>
    </xf>
    <xf numFmtId="0" fontId="55" fillId="35" borderId="119" xfId="0" applyFont="1" applyFill="1" applyBorder="1" applyAlignment="1">
      <alignment horizontal="center" vertical="center"/>
    </xf>
    <xf numFmtId="2" fontId="55" fillId="162" borderId="119" xfId="0" applyNumberFormat="1" applyFont="1" applyFill="1" applyBorder="1" applyAlignment="1">
      <alignment horizontal="center"/>
    </xf>
    <xf numFmtId="2" fontId="67" fillId="0" borderId="0" xfId="0" applyNumberFormat="1" applyFont="1" applyAlignment="1">
      <alignment horizontal="center"/>
    </xf>
    <xf numFmtId="16" fontId="67" fillId="0" borderId="0" xfId="0" quotePrefix="1" applyNumberFormat="1" applyFont="1"/>
    <xf numFmtId="166" fontId="55" fillId="0" borderId="119" xfId="0" applyNumberFormat="1" applyFont="1" applyBorder="1" applyAlignment="1">
      <alignment horizontal="center"/>
    </xf>
    <xf numFmtId="0" fontId="55" fillId="164" borderId="0" xfId="0" applyFont="1" applyFill="1"/>
    <xf numFmtId="0" fontId="55" fillId="164" borderId="119" xfId="0" applyFont="1" applyFill="1" applyBorder="1" applyAlignment="1">
      <alignment horizontal="center" vertical="center"/>
    </xf>
    <xf numFmtId="0" fontId="55" fillId="164" borderId="119" xfId="0" applyFont="1" applyFill="1" applyBorder="1"/>
    <xf numFmtId="0" fontId="67" fillId="0" borderId="119" xfId="0" applyFont="1" applyBorder="1" applyAlignment="1">
      <alignment horizontal="center" vertical="center"/>
    </xf>
    <xf numFmtId="0" fontId="67" fillId="0" borderId="119" xfId="0" applyFont="1" applyBorder="1"/>
    <xf numFmtId="0" fontId="67" fillId="163" borderId="119" xfId="0" applyFont="1" applyFill="1" applyBorder="1" applyAlignment="1">
      <alignment horizontal="center" vertical="center"/>
    </xf>
    <xf numFmtId="0" fontId="71" fillId="0" borderId="119" xfId="0" applyFont="1" applyBorder="1" applyAlignment="1">
      <alignment horizontal="center" vertical="center"/>
    </xf>
    <xf numFmtId="0" fontId="71" fillId="0" borderId="27" xfId="0" applyFont="1" applyBorder="1" applyAlignment="1">
      <alignment horizontal="center" vertical="center"/>
    </xf>
    <xf numFmtId="0" fontId="71" fillId="0" borderId="120" xfId="0" applyFont="1" applyBorder="1" applyAlignment="1">
      <alignment horizontal="center" vertical="center"/>
    </xf>
    <xf numFmtId="2" fontId="142" fillId="0" borderId="119" xfId="0" applyNumberFormat="1" applyFont="1" applyBorder="1" applyAlignment="1">
      <alignment horizontal="center" vertical="center"/>
    </xf>
    <xf numFmtId="14" fontId="69" fillId="163" borderId="5" xfId="0" applyNumberFormat="1" applyFont="1" applyFill="1" applyBorder="1" applyAlignment="1">
      <alignment horizontal="center"/>
    </xf>
    <xf numFmtId="14" fontId="69" fillId="163" borderId="120" xfId="0" applyNumberFormat="1" applyFont="1" applyFill="1" applyBorder="1" applyAlignment="1">
      <alignment horizontal="center"/>
    </xf>
    <xf numFmtId="14" fontId="55" fillId="163" borderId="5" xfId="0" applyNumberFormat="1" applyFont="1" applyFill="1" applyBorder="1" applyAlignment="1">
      <alignment horizontal="center"/>
    </xf>
    <xf numFmtId="14" fontId="55" fillId="163" borderId="120" xfId="0" applyNumberFormat="1" applyFont="1" applyFill="1" applyBorder="1" applyAlignment="1">
      <alignment horizontal="center"/>
    </xf>
    <xf numFmtId="14" fontId="69" fillId="0" borderId="5" xfId="0" applyNumberFormat="1" applyFont="1" applyBorder="1" applyAlignment="1">
      <alignment horizontal="center"/>
    </xf>
    <xf numFmtId="14" fontId="69" fillId="0" borderId="120" xfId="0" applyNumberFormat="1" applyFont="1" applyBorder="1" applyAlignment="1">
      <alignment horizontal="center"/>
    </xf>
    <xf numFmtId="2" fontId="55" fillId="0" borderId="190" xfId="0" applyNumberFormat="1" applyFont="1" applyBorder="1" applyAlignment="1">
      <alignment horizontal="center"/>
    </xf>
    <xf numFmtId="14" fontId="55" fillId="0" borderId="8" xfId="0" applyNumberFormat="1" applyFont="1" applyBorder="1" applyAlignment="1">
      <alignment horizontal="center" vertical="center" wrapText="1"/>
    </xf>
    <xf numFmtId="14" fontId="55" fillId="0" borderId="121" xfId="0" applyNumberFormat="1" applyFont="1" applyBorder="1" applyAlignment="1">
      <alignment horizontal="center" vertical="center" wrapText="1"/>
    </xf>
    <xf numFmtId="14" fontId="55" fillId="0" borderId="195" xfId="0" applyNumberFormat="1" applyFont="1" applyBorder="1" applyAlignment="1">
      <alignment horizontal="center" vertical="center" wrapText="1"/>
    </xf>
    <xf numFmtId="0" fontId="57" fillId="113" borderId="35" xfId="0" applyFont="1" applyFill="1" applyBorder="1" applyAlignment="1">
      <alignment horizontal="center" vertical="center"/>
    </xf>
    <xf numFmtId="2" fontId="55" fillId="0" borderId="28" xfId="0" applyNumberFormat="1" applyFont="1" applyBorder="1" applyAlignment="1">
      <alignment horizontal="center" vertical="center"/>
    </xf>
    <xf numFmtId="2" fontId="55" fillId="0" borderId="30" xfId="0" applyNumberFormat="1" applyFont="1" applyBorder="1" applyAlignment="1">
      <alignment horizontal="center" vertical="center"/>
    </xf>
    <xf numFmtId="14" fontId="55" fillId="0" borderId="112" xfId="0" applyNumberFormat="1" applyFont="1" applyBorder="1" applyAlignment="1">
      <alignment horizontal="center" vertical="center"/>
    </xf>
    <xf numFmtId="14" fontId="55" fillId="0" borderId="27" xfId="0" applyNumberFormat="1" applyFont="1" applyBorder="1" applyAlignment="1">
      <alignment horizontal="center" vertical="center"/>
    </xf>
    <xf numFmtId="14" fontId="55" fillId="0" borderId="31" xfId="0" applyNumberFormat="1" applyFont="1" applyBorder="1" applyAlignment="1">
      <alignment horizontal="center" vertical="center" wrapText="1"/>
    </xf>
    <xf numFmtId="14" fontId="69" fillId="0" borderId="27" xfId="0" applyNumberFormat="1" applyFont="1" applyBorder="1" applyAlignment="1">
      <alignment horizontal="center" vertical="center"/>
    </xf>
    <xf numFmtId="2" fontId="55" fillId="0" borderId="112" xfId="0" applyNumberFormat="1" applyFont="1" applyBorder="1" applyAlignment="1">
      <alignment horizontal="center" vertical="center"/>
    </xf>
    <xf numFmtId="2" fontId="55" fillId="0" borderId="31" xfId="0" applyNumberFormat="1" applyFont="1" applyBorder="1" applyAlignment="1">
      <alignment horizontal="center" vertical="center"/>
    </xf>
    <xf numFmtId="14" fontId="55" fillId="0" borderId="189" xfId="0" applyNumberFormat="1" applyFont="1" applyBorder="1" applyAlignment="1">
      <alignment horizontal="center" vertical="center"/>
    </xf>
    <xf numFmtId="14" fontId="69" fillId="0" borderId="189" xfId="0" applyNumberFormat="1" applyFont="1" applyBorder="1" applyAlignment="1">
      <alignment horizontal="center" vertical="center"/>
    </xf>
    <xf numFmtId="2" fontId="55" fillId="0" borderId="7" xfId="0" applyNumberFormat="1" applyFont="1" applyBorder="1" applyAlignment="1">
      <alignment horizontal="center" vertical="center"/>
    </xf>
    <xf numFmtId="2" fontId="55" fillId="0" borderId="27" xfId="0" applyNumberFormat="1" applyFont="1" applyBorder="1" applyAlignment="1">
      <alignment horizontal="center" vertical="center"/>
    </xf>
    <xf numFmtId="2" fontId="55" fillId="0" borderId="23" xfId="0" applyNumberFormat="1" applyFont="1" applyBorder="1" applyAlignment="1">
      <alignment horizontal="center" vertical="center"/>
    </xf>
    <xf numFmtId="2" fontId="55" fillId="0" borderId="4" xfId="0" applyNumberFormat="1" applyFont="1" applyBorder="1" applyAlignment="1">
      <alignment horizontal="center" vertical="center"/>
    </xf>
    <xf numFmtId="2" fontId="55" fillId="0" borderId="6" xfId="0" applyNumberFormat="1" applyFont="1" applyBorder="1" applyAlignment="1">
      <alignment horizontal="center" vertical="center"/>
    </xf>
    <xf numFmtId="2" fontId="55" fillId="0" borderId="199" xfId="0" applyNumberFormat="1" applyFont="1" applyBorder="1" applyAlignment="1">
      <alignment horizontal="center" vertical="center"/>
    </xf>
    <xf numFmtId="2" fontId="55" fillId="0" borderId="193" xfId="0" applyNumberFormat="1" applyFont="1" applyBorder="1" applyAlignment="1">
      <alignment horizontal="center" vertical="center"/>
    </xf>
    <xf numFmtId="2" fontId="55" fillId="0" borderId="198" xfId="0" applyNumberFormat="1" applyFont="1" applyBorder="1" applyAlignment="1">
      <alignment horizontal="center" vertical="center"/>
    </xf>
    <xf numFmtId="2" fontId="55" fillId="0" borderId="203" xfId="0" applyNumberFormat="1" applyFont="1" applyBorder="1" applyAlignment="1">
      <alignment horizontal="center" vertical="center"/>
    </xf>
    <xf numFmtId="2" fontId="55" fillId="0" borderId="185" xfId="0" applyNumberFormat="1" applyFont="1" applyBorder="1" applyAlignment="1">
      <alignment horizontal="center" vertical="center"/>
    </xf>
    <xf numFmtId="2" fontId="55" fillId="0" borderId="204" xfId="0" applyNumberFormat="1" applyFont="1" applyBorder="1" applyAlignment="1">
      <alignment horizontal="center" vertical="center"/>
    </xf>
    <xf numFmtId="2" fontId="55" fillId="0" borderId="29" xfId="0" applyNumberFormat="1" applyFont="1" applyBorder="1" applyAlignment="1">
      <alignment horizontal="center" vertical="center"/>
    </xf>
    <xf numFmtId="2" fontId="55" fillId="0" borderId="26" xfId="0" applyNumberFormat="1" applyFont="1" applyBorder="1" applyAlignment="1">
      <alignment horizontal="center" vertical="center"/>
    </xf>
    <xf numFmtId="2" fontId="55" fillId="0" borderId="9" xfId="0" applyNumberFormat="1" applyFont="1" applyBorder="1" applyAlignment="1">
      <alignment horizontal="center" vertical="center"/>
    </xf>
    <xf numFmtId="2" fontId="55" fillId="0" borderId="10" xfId="0" applyNumberFormat="1" applyFont="1" applyBorder="1" applyAlignment="1">
      <alignment horizontal="center" vertical="center"/>
    </xf>
    <xf numFmtId="2" fontId="55" fillId="0" borderId="201" xfId="0" applyNumberFormat="1" applyFont="1" applyBorder="1" applyAlignment="1">
      <alignment horizontal="center" vertical="center"/>
    </xf>
    <xf numFmtId="2" fontId="55" fillId="0" borderId="190" xfId="0" applyNumberFormat="1" applyFont="1" applyBorder="1" applyAlignment="1">
      <alignment horizontal="center" vertical="center"/>
    </xf>
    <xf numFmtId="2" fontId="55" fillId="0" borderId="200" xfId="0" applyNumberFormat="1" applyFont="1" applyBorder="1" applyAlignment="1">
      <alignment horizontal="center" vertical="center"/>
    </xf>
    <xf numFmtId="2" fontId="55" fillId="0" borderId="113" xfId="0" applyNumberFormat="1" applyFont="1" applyBorder="1" applyAlignment="1">
      <alignment horizontal="center" vertical="center"/>
    </xf>
    <xf numFmtId="0" fontId="57" fillId="113" borderId="100" xfId="0" applyFont="1" applyFill="1" applyBorder="1" applyAlignment="1">
      <alignment vertical="center"/>
    </xf>
    <xf numFmtId="0" fontId="57" fillId="113" borderId="37" xfId="0" applyFont="1" applyFill="1" applyBorder="1" applyAlignment="1">
      <alignment vertical="center" wrapText="1"/>
    </xf>
    <xf numFmtId="0" fontId="55" fillId="3" borderId="0" xfId="0" applyFont="1" applyFill="1"/>
    <xf numFmtId="14" fontId="57" fillId="113" borderId="7" xfId="0" applyNumberFormat="1" applyFont="1" applyFill="1" applyBorder="1" applyAlignment="1">
      <alignment horizontal="center" vertical="center"/>
    </xf>
    <xf numFmtId="14" fontId="57" fillId="113" borderId="8" xfId="0" applyNumberFormat="1" applyFont="1" applyFill="1" applyBorder="1" applyAlignment="1">
      <alignment horizontal="center"/>
    </xf>
    <xf numFmtId="1" fontId="55" fillId="0" borderId="4" xfId="0" applyNumberFormat="1" applyFont="1" applyBorder="1" applyAlignment="1">
      <alignment horizontal="center"/>
    </xf>
    <xf numFmtId="1" fontId="55" fillId="0" borderId="6" xfId="0" applyNumberFormat="1" applyFont="1" applyBorder="1" applyAlignment="1">
      <alignment horizontal="center"/>
    </xf>
    <xf numFmtId="1" fontId="55" fillId="0" borderId="199" xfId="0" applyNumberFormat="1" applyFont="1" applyBorder="1" applyAlignment="1">
      <alignment horizontal="center"/>
    </xf>
    <xf numFmtId="1" fontId="55" fillId="0" borderId="193" xfId="0" applyNumberFormat="1" applyFont="1" applyBorder="1" applyAlignment="1">
      <alignment horizontal="center"/>
    </xf>
    <xf numFmtId="1" fontId="55" fillId="0" borderId="7" xfId="0" applyNumberFormat="1" applyFont="1" applyBorder="1" applyAlignment="1">
      <alignment horizontal="center"/>
    </xf>
    <xf numFmtId="1" fontId="55" fillId="0" borderId="8" xfId="0" applyNumberFormat="1" applyFont="1" applyBorder="1" applyAlignment="1">
      <alignment horizontal="center"/>
    </xf>
    <xf numFmtId="0" fontId="57" fillId="113" borderId="199" xfId="0" applyFont="1" applyFill="1" applyBorder="1" applyAlignment="1">
      <alignment horizontal="center" vertical="center" wrapText="1"/>
    </xf>
    <xf numFmtId="0" fontId="57" fillId="113" borderId="193" xfId="0" applyFont="1" applyFill="1" applyBorder="1" applyAlignment="1">
      <alignment horizontal="center" vertical="center" wrapText="1"/>
    </xf>
    <xf numFmtId="0" fontId="57" fillId="113" borderId="124" xfId="0" applyFont="1" applyFill="1" applyBorder="1" applyAlignment="1">
      <alignment horizontal="center" vertical="center" wrapText="1"/>
    </xf>
    <xf numFmtId="0" fontId="57" fillId="113" borderId="125" xfId="0" applyFont="1" applyFill="1" applyBorder="1" applyAlignment="1">
      <alignment horizontal="center" vertical="center" wrapText="1"/>
    </xf>
    <xf numFmtId="166" fontId="55" fillId="35" borderId="74" xfId="0" applyNumberFormat="1" applyFont="1" applyFill="1" applyBorder="1" applyAlignment="1">
      <alignment horizontal="center"/>
    </xf>
    <xf numFmtId="0" fontId="57" fillId="113" borderId="0" xfId="0" applyFont="1" applyFill="1" applyAlignment="1">
      <alignment horizontal="center" vertical="center"/>
    </xf>
    <xf numFmtId="0" fontId="57" fillId="113" borderId="20" xfId="0" applyFont="1" applyFill="1" applyBorder="1"/>
    <xf numFmtId="0" fontId="57" fillId="113" borderId="25" xfId="0" applyFont="1" applyFill="1" applyBorder="1"/>
    <xf numFmtId="0" fontId="57" fillId="113" borderId="201" xfId="0" applyFont="1" applyFill="1" applyBorder="1" applyAlignment="1">
      <alignment horizontal="center" vertical="center" wrapText="1"/>
    </xf>
    <xf numFmtId="2" fontId="55" fillId="0" borderId="32" xfId="0" applyNumberFormat="1" applyFont="1" applyBorder="1" applyAlignment="1">
      <alignment horizontal="center"/>
    </xf>
    <xf numFmtId="2" fontId="55" fillId="0" borderId="201" xfId="0" applyNumberFormat="1" applyFont="1" applyBorder="1" applyAlignment="1">
      <alignment horizontal="center"/>
    </xf>
    <xf numFmtId="2" fontId="55" fillId="0" borderId="10" xfId="0" applyNumberFormat="1" applyFont="1" applyBorder="1" applyAlignment="1">
      <alignment horizontal="center"/>
    </xf>
    <xf numFmtId="0" fontId="3" fillId="0" borderId="101" xfId="0" applyFont="1" applyBorder="1"/>
    <xf numFmtId="0" fontId="3" fillId="0" borderId="3" xfId="0" applyFont="1" applyBorder="1"/>
    <xf numFmtId="0" fontId="57" fillId="113" borderId="56" xfId="0" applyFont="1" applyFill="1" applyBorder="1" applyAlignment="1">
      <alignment horizontal="center" vertical="center"/>
    </xf>
    <xf numFmtId="0" fontId="57" fillId="113" borderId="22" xfId="0" applyFont="1" applyFill="1" applyBorder="1" applyAlignment="1">
      <alignment horizontal="center" vertical="center"/>
    </xf>
    <xf numFmtId="0" fontId="57" fillId="113" borderId="23" xfId="0" applyFont="1" applyFill="1" applyBorder="1" applyAlignment="1">
      <alignment horizontal="center" vertical="center"/>
    </xf>
    <xf numFmtId="0" fontId="57" fillId="113" borderId="59" xfId="0" applyFont="1" applyFill="1" applyBorder="1" applyAlignment="1">
      <alignment horizontal="center" vertical="center"/>
    </xf>
    <xf numFmtId="0" fontId="57" fillId="113" borderId="24" xfId="0" applyFont="1" applyFill="1" applyBorder="1" applyAlignment="1">
      <alignment horizontal="center" vertical="center"/>
    </xf>
    <xf numFmtId="0" fontId="57" fillId="113" borderId="79" xfId="0" applyFont="1" applyFill="1" applyBorder="1" applyAlignment="1">
      <alignment horizontal="center" vertical="center"/>
    </xf>
    <xf numFmtId="0" fontId="57" fillId="113" borderId="88" xfId="0" applyFont="1" applyFill="1" applyBorder="1" applyAlignment="1">
      <alignment horizontal="center" vertical="center"/>
    </xf>
    <xf numFmtId="0" fontId="57" fillId="113" borderId="75" xfId="0" applyFont="1" applyFill="1" applyBorder="1" applyAlignment="1">
      <alignment horizontal="center" vertical="center"/>
    </xf>
    <xf numFmtId="0" fontId="55" fillId="0" borderId="186" xfId="0" applyFont="1" applyBorder="1" applyAlignment="1">
      <alignment horizontal="center" vertical="center"/>
    </xf>
    <xf numFmtId="0" fontId="55" fillId="0" borderId="196" xfId="0" applyFont="1" applyBorder="1" applyAlignment="1">
      <alignment horizontal="center" vertical="center"/>
    </xf>
    <xf numFmtId="0" fontId="55" fillId="0" borderId="137" xfId="0" applyFont="1" applyBorder="1" applyAlignment="1">
      <alignment vertical="center"/>
    </xf>
    <xf numFmtId="0" fontId="78" fillId="0" borderId="0" xfId="0" applyFont="1" applyAlignment="1">
      <alignment horizontal="center" vertical="center"/>
    </xf>
    <xf numFmtId="0" fontId="79" fillId="35" borderId="0" xfId="0" applyFont="1" applyFill="1" applyAlignment="1">
      <alignment horizontal="center" vertical="center"/>
    </xf>
    <xf numFmtId="0" fontId="55" fillId="0" borderId="162" xfId="0" applyFont="1" applyBorder="1" applyAlignment="1">
      <alignment horizontal="center" vertical="center"/>
    </xf>
    <xf numFmtId="0" fontId="55" fillId="0" borderId="187" xfId="0" applyFont="1" applyBorder="1" applyAlignment="1">
      <alignment vertical="center"/>
    </xf>
    <xf numFmtId="0" fontId="0" fillId="0" borderId="119" xfId="0" applyBorder="1" applyAlignment="1">
      <alignment horizontal="center" vertical="center"/>
    </xf>
    <xf numFmtId="0" fontId="0" fillId="0" borderId="197" xfId="0" applyBorder="1" applyAlignment="1">
      <alignment horizontal="center" vertical="center"/>
    </xf>
    <xf numFmtId="0" fontId="0" fillId="0" borderId="193" xfId="0" applyBorder="1" applyAlignment="1">
      <alignment horizontal="center" vertical="center"/>
    </xf>
    <xf numFmtId="0" fontId="0" fillId="0" borderId="120" xfId="0" applyBorder="1" applyAlignment="1">
      <alignment horizontal="center" vertical="center" wrapText="1"/>
    </xf>
    <xf numFmtId="0" fontId="0" fillId="0" borderId="125" xfId="0" applyBorder="1" applyAlignment="1">
      <alignment horizontal="center" vertical="center" wrapText="1"/>
    </xf>
    <xf numFmtId="0" fontId="0" fillId="0" borderId="137" xfId="0" applyBorder="1" applyAlignment="1">
      <alignment horizontal="center" vertical="center" wrapText="1"/>
    </xf>
    <xf numFmtId="0" fontId="57" fillId="113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90" xfId="0" applyBorder="1" applyAlignment="1">
      <alignment horizontal="center" vertical="center"/>
    </xf>
    <xf numFmtId="0" fontId="57" fillId="113" borderId="199" xfId="0" applyFont="1" applyFill="1" applyBorder="1" applyAlignment="1">
      <alignment horizontal="center" vertical="center"/>
    </xf>
    <xf numFmtId="0" fontId="57" fillId="113" borderId="7" xfId="0" applyFont="1" applyFill="1" applyBorder="1" applyAlignment="1">
      <alignment horizontal="center" vertical="center"/>
    </xf>
    <xf numFmtId="0" fontId="0" fillId="0" borderId="18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00" xfId="0" applyBorder="1" applyAlignment="1">
      <alignment horizontal="center" vertical="center"/>
    </xf>
    <xf numFmtId="0" fontId="0" fillId="0" borderId="34" xfId="0" applyBorder="1" applyAlignment="1">
      <alignment wrapText="1"/>
    </xf>
    <xf numFmtId="0" fontId="0" fillId="0" borderId="72" xfId="0" applyBorder="1"/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190" xfId="0" applyNumberFormat="1" applyBorder="1" applyAlignment="1">
      <alignment horizontal="center" vertical="center"/>
    </xf>
    <xf numFmtId="2" fontId="0" fillId="0" borderId="119" xfId="0" applyNumberFormat="1" applyBorder="1" applyAlignment="1">
      <alignment horizontal="center" vertical="center"/>
    </xf>
    <xf numFmtId="2" fontId="0" fillId="0" borderId="193" xfId="0" applyNumberFormat="1" applyBorder="1" applyAlignment="1">
      <alignment horizontal="center" vertical="center"/>
    </xf>
    <xf numFmtId="2" fontId="0" fillId="0" borderId="197" xfId="0" applyNumberFormat="1" applyBorder="1" applyAlignment="1">
      <alignment horizontal="center" vertical="center"/>
    </xf>
    <xf numFmtId="2" fontId="0" fillId="0" borderId="189" xfId="0" applyNumberFormat="1" applyBorder="1" applyAlignment="1">
      <alignment horizontal="center" vertical="center"/>
    </xf>
    <xf numFmtId="2" fontId="0" fillId="0" borderId="200" xfId="0" applyNumberFormat="1" applyBorder="1" applyAlignment="1">
      <alignment horizontal="center" vertical="center"/>
    </xf>
    <xf numFmtId="1" fontId="55" fillId="0" borderId="119" xfId="1" applyNumberFormat="1" applyFont="1" applyBorder="1" applyAlignment="1">
      <alignment horizontal="center" vertical="center"/>
    </xf>
    <xf numFmtId="0" fontId="57" fillId="113" borderId="119" xfId="0" applyFont="1" applyFill="1" applyBorder="1" applyAlignment="1">
      <alignment horizontal="center" vertical="center"/>
    </xf>
    <xf numFmtId="0" fontId="62" fillId="113" borderId="119" xfId="0" applyFont="1" applyFill="1" applyBorder="1" applyAlignment="1">
      <alignment horizontal="center" vertical="center"/>
    </xf>
    <xf numFmtId="2" fontId="71" fillId="0" borderId="119" xfId="0" applyNumberFormat="1" applyFont="1" applyBorder="1" applyAlignment="1">
      <alignment horizontal="left" vertical="center" wrapText="1" indent="1" readingOrder="1"/>
    </xf>
    <xf numFmtId="2" fontId="55" fillId="0" borderId="95" xfId="0" applyNumberFormat="1" applyFont="1" applyBorder="1" applyAlignment="1">
      <alignment horizontal="center" vertical="center"/>
    </xf>
    <xf numFmtId="166" fontId="71" fillId="0" borderId="119" xfId="0" applyNumberFormat="1" applyFont="1" applyBorder="1" applyAlignment="1">
      <alignment horizontal="left" vertical="center" wrapText="1" indent="1" readingOrder="1"/>
    </xf>
    <xf numFmtId="0" fontId="182" fillId="0" borderId="119" xfId="0" applyFont="1" applyBorder="1" applyAlignment="1">
      <alignment horizontal="left" vertical="center"/>
    </xf>
    <xf numFmtId="14" fontId="0" fillId="0" borderId="0" xfId="0" applyNumberFormat="1"/>
    <xf numFmtId="0" fontId="182" fillId="0" borderId="119" xfId="0" applyFont="1" applyBorder="1" applyAlignment="1">
      <alignment vertical="center"/>
    </xf>
    <xf numFmtId="0" fontId="23" fillId="0" borderId="119" xfId="0" applyFont="1" applyBorder="1" applyAlignment="1">
      <alignment horizontal="center" vertical="center"/>
    </xf>
    <xf numFmtId="0" fontId="0" fillId="0" borderId="119" xfId="0" applyBorder="1"/>
    <xf numFmtId="0" fontId="0" fillId="0" borderId="119" xfId="0" applyBorder="1" applyAlignment="1">
      <alignment horizontal="center"/>
    </xf>
    <xf numFmtId="14" fontId="0" fillId="0" borderId="119" xfId="0" applyNumberFormat="1" applyBorder="1" applyAlignment="1">
      <alignment horizontal="center"/>
    </xf>
    <xf numFmtId="14" fontId="0" fillId="0" borderId="119" xfId="0" applyNumberFormat="1" applyBorder="1"/>
    <xf numFmtId="0" fontId="7" fillId="0" borderId="119" xfId="0" applyFont="1" applyBorder="1"/>
    <xf numFmtId="0" fontId="183" fillId="0" borderId="119" xfId="0" applyFont="1" applyBorder="1" applyAlignment="1">
      <alignment horizontal="center"/>
    </xf>
    <xf numFmtId="0" fontId="183" fillId="0" borderId="119" xfId="0" applyFont="1" applyBorder="1" applyAlignment="1">
      <alignment horizontal="left"/>
    </xf>
    <xf numFmtId="2" fontId="183" fillId="0" borderId="119" xfId="0" applyNumberFormat="1" applyFont="1" applyBorder="1" applyAlignment="1">
      <alignment horizontal="center"/>
    </xf>
    <xf numFmtId="2" fontId="183" fillId="0" borderId="119" xfId="0" applyNumberFormat="1" applyFont="1" applyBorder="1"/>
    <xf numFmtId="166" fontId="0" fillId="0" borderId="119" xfId="0" applyNumberFormat="1" applyBorder="1" applyAlignment="1">
      <alignment horizontal="center"/>
    </xf>
    <xf numFmtId="166" fontId="23" fillId="165" borderId="119" xfId="0" applyNumberFormat="1" applyFont="1" applyFill="1" applyBorder="1" applyAlignment="1">
      <alignment horizontal="center" vertical="center"/>
    </xf>
    <xf numFmtId="1" fontId="55" fillId="0" borderId="119" xfId="1" applyNumberFormat="1" applyFont="1" applyFill="1" applyBorder="1" applyAlignment="1">
      <alignment horizontal="center" vertical="center"/>
    </xf>
    <xf numFmtId="2" fontId="0" fillId="0" borderId="119" xfId="0" applyNumberFormat="1" applyBorder="1"/>
    <xf numFmtId="0" fontId="82" fillId="0" borderId="27" xfId="0" applyFont="1" applyBorder="1" applyAlignment="1">
      <alignment horizontal="center" vertical="center"/>
    </xf>
    <xf numFmtId="0" fontId="82" fillId="0" borderId="119" xfId="0" applyFont="1" applyBorder="1" applyAlignment="1">
      <alignment horizontal="center" vertical="center"/>
    </xf>
    <xf numFmtId="0" fontId="82" fillId="0" borderId="120" xfId="0" applyFont="1" applyBorder="1" applyAlignment="1">
      <alignment horizontal="center" vertical="center"/>
    </xf>
    <xf numFmtId="2" fontId="19" fillId="0" borderId="119" xfId="0" applyNumberFormat="1" applyFont="1" applyBorder="1" applyAlignment="1">
      <alignment horizontal="center"/>
    </xf>
    <xf numFmtId="0" fontId="21" fillId="113" borderId="119" xfId="0" applyFont="1" applyFill="1" applyBorder="1"/>
    <xf numFmtId="0" fontId="6" fillId="113" borderId="119" xfId="0" applyFont="1" applyFill="1" applyBorder="1"/>
    <xf numFmtId="0" fontId="0" fillId="0" borderId="56" xfId="0" applyBorder="1"/>
    <xf numFmtId="0" fontId="0" fillId="166" borderId="119" xfId="0" applyFill="1" applyBorder="1" applyAlignment="1">
      <alignment horizontal="center"/>
    </xf>
    <xf numFmtId="0" fontId="0" fillId="166" borderId="137" xfId="0" applyFill="1" applyBorder="1" applyAlignment="1">
      <alignment horizontal="center"/>
    </xf>
    <xf numFmtId="0" fontId="0" fillId="166" borderId="120" xfId="0" applyFill="1" applyBorder="1" applyAlignment="1">
      <alignment horizontal="center"/>
    </xf>
    <xf numFmtId="0" fontId="186" fillId="166" borderId="119" xfId="0" applyFont="1" applyFill="1" applyBorder="1" applyAlignment="1">
      <alignment horizontal="center"/>
    </xf>
    <xf numFmtId="166" fontId="183" fillId="0" borderId="119" xfId="0" applyNumberFormat="1" applyFont="1" applyBorder="1" applyAlignment="1">
      <alignment horizontal="center"/>
    </xf>
    <xf numFmtId="0" fontId="186" fillId="166" borderId="119" xfId="0" applyFont="1" applyFill="1" applyBorder="1" applyAlignment="1">
      <alignment horizontal="left"/>
    </xf>
    <xf numFmtId="0" fontId="186" fillId="167" borderId="119" xfId="0" applyFont="1" applyFill="1" applyBorder="1" applyAlignment="1">
      <alignment horizontal="left"/>
    </xf>
    <xf numFmtId="0" fontId="183" fillId="168" borderId="119" xfId="0" applyFont="1" applyFill="1" applyBorder="1" applyAlignment="1">
      <alignment horizontal="left"/>
    </xf>
    <xf numFmtId="0" fontId="183" fillId="168" borderId="119" xfId="0" applyFont="1" applyFill="1" applyBorder="1" applyAlignment="1">
      <alignment horizontal="center"/>
    </xf>
    <xf numFmtId="0" fontId="183" fillId="0" borderId="119" xfId="0" applyFont="1" applyBorder="1" applyAlignment="1">
      <alignment horizontal="left" indent="1"/>
    </xf>
    <xf numFmtId="0" fontId="6" fillId="113" borderId="119" xfId="0" applyFont="1" applyFill="1" applyBorder="1" applyAlignment="1">
      <alignment horizontal="center"/>
    </xf>
    <xf numFmtId="0" fontId="21" fillId="113" borderId="119" xfId="0" applyFont="1" applyFill="1" applyBorder="1" applyAlignment="1">
      <alignment horizontal="center"/>
    </xf>
    <xf numFmtId="0" fontId="82" fillId="3" borderId="27" xfId="0" applyFont="1" applyFill="1" applyBorder="1" applyAlignment="1">
      <alignment horizontal="center" vertical="center"/>
    </xf>
    <xf numFmtId="0" fontId="82" fillId="3" borderId="119" xfId="0" applyFont="1" applyFill="1" applyBorder="1" applyAlignment="1">
      <alignment horizontal="center" vertical="center"/>
    </xf>
    <xf numFmtId="0" fontId="82" fillId="3" borderId="120" xfId="0" applyFont="1" applyFill="1" applyBorder="1" applyAlignment="1">
      <alignment horizontal="center" vertical="center"/>
    </xf>
    <xf numFmtId="0" fontId="21" fillId="84" borderId="119" xfId="0" applyFont="1" applyFill="1" applyBorder="1"/>
    <xf numFmtId="0" fontId="57" fillId="84" borderId="119" xfId="0" applyFont="1" applyFill="1" applyBorder="1" applyAlignment="1">
      <alignment horizontal="center" vertical="center"/>
    </xf>
    <xf numFmtId="0" fontId="6" fillId="84" borderId="119" xfId="0" applyFont="1" applyFill="1" applyBorder="1"/>
    <xf numFmtId="0" fontId="183" fillId="0" borderId="198" xfId="0" applyFont="1" applyBorder="1" applyAlignment="1">
      <alignment horizontal="center"/>
    </xf>
    <xf numFmtId="0" fontId="183" fillId="169" borderId="119" xfId="0" applyFont="1" applyFill="1" applyBorder="1" applyAlignment="1">
      <alignment horizontal="left"/>
    </xf>
    <xf numFmtId="0" fontId="183" fillId="169" borderId="119" xfId="0" applyFont="1" applyFill="1" applyBorder="1" applyAlignment="1">
      <alignment horizontal="center"/>
    </xf>
    <xf numFmtId="0" fontId="183" fillId="0" borderId="119" xfId="0" applyFont="1" applyBorder="1" applyAlignment="1">
      <alignment horizontal="left" indent="2"/>
    </xf>
    <xf numFmtId="167" fontId="183" fillId="0" borderId="119" xfId="0" applyNumberFormat="1" applyFont="1" applyBorder="1" applyAlignment="1">
      <alignment horizontal="center"/>
    </xf>
    <xf numFmtId="0" fontId="183" fillId="0" borderId="119" xfId="0" applyFont="1" applyBorder="1"/>
    <xf numFmtId="0" fontId="186" fillId="3" borderId="119" xfId="0" applyFont="1" applyFill="1" applyBorder="1" applyAlignment="1">
      <alignment horizontal="center"/>
    </xf>
    <xf numFmtId="0" fontId="183" fillId="3" borderId="119" xfId="0" applyFont="1" applyFill="1" applyBorder="1" applyAlignment="1">
      <alignment horizontal="center"/>
    </xf>
    <xf numFmtId="0" fontId="186" fillId="166" borderId="198" xfId="0" applyFont="1" applyFill="1" applyBorder="1" applyAlignment="1">
      <alignment horizontal="center"/>
    </xf>
    <xf numFmtId="0" fontId="183" fillId="168" borderId="198" xfId="0" applyFont="1" applyFill="1" applyBorder="1" applyAlignment="1">
      <alignment horizontal="center"/>
    </xf>
    <xf numFmtId="0" fontId="186" fillId="166" borderId="197" xfId="0" applyFont="1" applyFill="1" applyBorder="1" applyAlignment="1">
      <alignment horizontal="left"/>
    </xf>
    <xf numFmtId="0" fontId="183" fillId="0" borderId="197" xfId="0" applyFont="1" applyBorder="1" applyAlignment="1">
      <alignment horizontal="left" indent="1"/>
    </xf>
    <xf numFmtId="0" fontId="0" fillId="3" borderId="119" xfId="0" applyFill="1" applyBorder="1"/>
    <xf numFmtId="10" fontId="23" fillId="0" borderId="119" xfId="1" applyNumberFormat="1" applyFont="1" applyBorder="1" applyAlignment="1">
      <alignment horizontal="center" vertical="center"/>
    </xf>
    <xf numFmtId="0" fontId="187" fillId="0" borderId="0" xfId="0" applyFont="1"/>
    <xf numFmtId="0" fontId="188" fillId="113" borderId="91" xfId="0" applyFont="1" applyFill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/>
    </xf>
    <xf numFmtId="166" fontId="23" fillId="0" borderId="27" xfId="0" applyNumberFormat="1" applyFont="1" applyBorder="1" applyAlignment="1">
      <alignment horizontal="center" vertical="center"/>
    </xf>
    <xf numFmtId="2" fontId="23" fillId="0" borderId="27" xfId="0" applyNumberFormat="1" applyFont="1" applyBorder="1" applyAlignment="1">
      <alignment horizontal="center" vertical="center"/>
    </xf>
    <xf numFmtId="0" fontId="23" fillId="0" borderId="120" xfId="0" applyFont="1" applyBorder="1" applyAlignment="1">
      <alignment horizontal="center" vertical="center"/>
    </xf>
    <xf numFmtId="166" fontId="23" fillId="0" borderId="120" xfId="0" applyNumberFormat="1" applyFont="1" applyBorder="1" applyAlignment="1">
      <alignment horizontal="center" vertical="center"/>
    </xf>
    <xf numFmtId="10" fontId="23" fillId="0" borderId="27" xfId="1" applyNumberFormat="1" applyFont="1" applyBorder="1" applyAlignment="1">
      <alignment horizontal="center" vertical="center"/>
    </xf>
    <xf numFmtId="10" fontId="23" fillId="0" borderId="0" xfId="1" applyNumberFormat="1" applyFont="1" applyBorder="1" applyAlignment="1">
      <alignment horizontal="center" vertical="center"/>
    </xf>
    <xf numFmtId="0" fontId="189" fillId="113" borderId="119" xfId="0" applyFont="1" applyFill="1" applyBorder="1" applyAlignment="1">
      <alignment horizontal="left" vertical="center"/>
    </xf>
    <xf numFmtId="2" fontId="0" fillId="0" borderId="0" xfId="0" applyNumberFormat="1" applyAlignment="1">
      <alignment horizontal="center" vertical="center"/>
    </xf>
    <xf numFmtId="2" fontId="66" fillId="0" borderId="193" xfId="0" applyNumberFormat="1" applyFont="1" applyBorder="1" applyAlignment="1">
      <alignment horizontal="center"/>
    </xf>
    <xf numFmtId="2" fontId="66" fillId="0" borderId="119" xfId="0" applyNumberFormat="1" applyFont="1" applyBorder="1" applyAlignment="1">
      <alignment horizontal="center"/>
    </xf>
    <xf numFmtId="2" fontId="66" fillId="0" borderId="199" xfId="0" applyNumberFormat="1" applyFont="1" applyBorder="1" applyAlignment="1">
      <alignment horizontal="center" vertical="center"/>
    </xf>
    <xf numFmtId="2" fontId="66" fillId="0" borderId="203" xfId="0" applyNumberFormat="1" applyFont="1" applyBorder="1" applyAlignment="1">
      <alignment horizontal="center" vertical="center"/>
    </xf>
    <xf numFmtId="0" fontId="55" fillId="0" borderId="119" xfId="0" applyFont="1" applyBorder="1" applyAlignment="1">
      <alignment horizontal="center" vertical="center" textRotation="45"/>
    </xf>
    <xf numFmtId="0" fontId="55" fillId="0" borderId="0" xfId="0" applyFont="1" applyAlignment="1">
      <alignment textRotation="45"/>
    </xf>
    <xf numFmtId="0" fontId="55" fillId="0" borderId="119" xfId="0" applyFont="1" applyBorder="1" applyAlignment="1">
      <alignment textRotation="45"/>
    </xf>
    <xf numFmtId="2" fontId="69" fillId="0" borderId="0" xfId="0" applyNumberFormat="1" applyFont="1"/>
    <xf numFmtId="166" fontId="55" fillId="162" borderId="119" xfId="0" applyNumberFormat="1" applyFont="1" applyFill="1" applyBorder="1" applyAlignment="1">
      <alignment horizontal="center"/>
    </xf>
    <xf numFmtId="2" fontId="55" fillId="0" borderId="198" xfId="0" applyNumberFormat="1" applyFont="1" applyBorder="1" applyAlignment="1">
      <alignment horizontal="center"/>
    </xf>
    <xf numFmtId="0" fontId="55" fillId="0" borderId="120" xfId="0" applyFont="1" applyBorder="1"/>
    <xf numFmtId="2" fontId="185" fillId="0" borderId="4" xfId="0" applyNumberFormat="1" applyFont="1" applyBorder="1" applyAlignment="1">
      <alignment horizontal="center" vertical="center"/>
    </xf>
    <xf numFmtId="2" fontId="185" fillId="0" borderId="6" xfId="0" applyNumberFormat="1" applyFont="1" applyBorder="1" applyAlignment="1">
      <alignment horizontal="center" vertical="center"/>
    </xf>
    <xf numFmtId="2" fontId="185" fillId="0" borderId="199" xfId="0" applyNumberFormat="1" applyFont="1" applyBorder="1" applyAlignment="1">
      <alignment horizontal="center" vertical="center"/>
    </xf>
    <xf numFmtId="2" fontId="185" fillId="0" borderId="193" xfId="0" applyNumberFormat="1" applyFont="1" applyBorder="1" applyAlignment="1">
      <alignment horizontal="center" vertical="center"/>
    </xf>
    <xf numFmtId="2" fontId="185" fillId="0" borderId="8" xfId="0" applyNumberFormat="1" applyFont="1" applyBorder="1" applyAlignment="1">
      <alignment horizontal="center" vertical="center"/>
    </xf>
    <xf numFmtId="0" fontId="182" fillId="0" borderId="0" xfId="0" applyFont="1" applyAlignment="1">
      <alignment horizontal="left" vertical="center"/>
    </xf>
    <xf numFmtId="2" fontId="19" fillId="0" borderId="0" xfId="0" applyNumberFormat="1" applyFont="1" applyAlignment="1">
      <alignment horizontal="center"/>
    </xf>
    <xf numFmtId="166" fontId="23" fillId="162" borderId="119" xfId="0" applyNumberFormat="1" applyFont="1" applyFill="1" applyBorder="1" applyAlignment="1">
      <alignment horizontal="center" vertical="center"/>
    </xf>
    <xf numFmtId="0" fontId="55" fillId="0" borderId="197" xfId="0" applyFont="1" applyBorder="1"/>
    <xf numFmtId="167" fontId="55" fillId="162" borderId="119" xfId="0" applyNumberFormat="1" applyFont="1" applyFill="1" applyBorder="1"/>
    <xf numFmtId="167" fontId="55" fillId="162" borderId="119" xfId="0" applyNumberFormat="1" applyFont="1" applyFill="1" applyBorder="1" applyAlignment="1">
      <alignment horizontal="center" vertical="center"/>
    </xf>
    <xf numFmtId="166" fontId="55" fillId="162" borderId="119" xfId="0" applyNumberFormat="1" applyFont="1" applyFill="1" applyBorder="1"/>
    <xf numFmtId="1" fontId="55" fillId="0" borderId="0" xfId="1" applyNumberFormat="1" applyFont="1" applyFill="1" applyBorder="1" applyAlignment="1">
      <alignment horizontal="center" vertical="center"/>
    </xf>
    <xf numFmtId="0" fontId="82" fillId="0" borderId="0" xfId="0" applyFont="1" applyAlignment="1">
      <alignment horizontal="center" vertical="center"/>
    </xf>
    <xf numFmtId="2" fontId="55" fillId="162" borderId="0" xfId="0" applyNumberFormat="1" applyFont="1" applyFill="1" applyAlignment="1">
      <alignment horizontal="center"/>
    </xf>
    <xf numFmtId="1" fontId="55" fillId="0" borderId="119" xfId="0" applyNumberFormat="1" applyFont="1" applyBorder="1" applyAlignment="1">
      <alignment horizontal="center" vertical="center"/>
    </xf>
    <xf numFmtId="1" fontId="67" fillId="0" borderId="119" xfId="0" applyNumberFormat="1" applyFont="1" applyBorder="1" applyAlignment="1">
      <alignment horizontal="center" vertical="center"/>
    </xf>
    <xf numFmtId="2" fontId="55" fillId="3" borderId="119" xfId="0" applyNumberFormat="1" applyFont="1" applyFill="1" applyBorder="1" applyAlignment="1">
      <alignment horizontal="center" vertical="center"/>
    </xf>
    <xf numFmtId="0" fontId="57" fillId="84" borderId="119" xfId="0" applyFont="1" applyFill="1" applyBorder="1" applyAlignment="1">
      <alignment horizontal="center" vertical="center" textRotation="45"/>
    </xf>
    <xf numFmtId="0" fontId="66" fillId="3" borderId="119" xfId="0" applyFont="1" applyFill="1" applyBorder="1" applyAlignment="1">
      <alignment horizontal="center" vertical="center"/>
    </xf>
    <xf numFmtId="0" fontId="55" fillId="3" borderId="119" xfId="0" applyFont="1" applyFill="1" applyBorder="1" applyAlignment="1">
      <alignment horizontal="center" vertical="center"/>
    </xf>
    <xf numFmtId="167" fontId="55" fillId="3" borderId="119" xfId="0" applyNumberFormat="1" applyFont="1" applyFill="1" applyBorder="1" applyAlignment="1">
      <alignment horizontal="center" vertical="center"/>
    </xf>
    <xf numFmtId="2" fontId="55" fillId="3" borderId="198" xfId="0" applyNumberFormat="1" applyFont="1" applyFill="1" applyBorder="1" applyAlignment="1">
      <alignment horizontal="center" vertical="center"/>
    </xf>
    <xf numFmtId="0" fontId="55" fillId="3" borderId="198" xfId="0" applyFont="1" applyFill="1" applyBorder="1" applyAlignment="1">
      <alignment horizontal="center" vertical="center"/>
    </xf>
    <xf numFmtId="167" fontId="55" fillId="3" borderId="197" xfId="0" applyNumberFormat="1" applyFont="1" applyFill="1" applyBorder="1" applyAlignment="1">
      <alignment horizontal="center" vertical="center"/>
    </xf>
    <xf numFmtId="0" fontId="55" fillId="3" borderId="120" xfId="0" applyFont="1" applyFill="1" applyBorder="1" applyAlignment="1">
      <alignment horizontal="center" vertical="center"/>
    </xf>
    <xf numFmtId="167" fontId="55" fillId="3" borderId="27" xfId="0" applyNumberFormat="1" applyFont="1" applyFill="1" applyBorder="1" applyAlignment="1">
      <alignment horizontal="center" vertical="center"/>
    </xf>
    <xf numFmtId="167" fontId="55" fillId="3" borderId="26" xfId="0" applyNumberFormat="1" applyFont="1" applyFill="1" applyBorder="1" applyAlignment="1">
      <alignment horizontal="center" vertical="center"/>
    </xf>
    <xf numFmtId="2" fontId="55" fillId="3" borderId="197" xfId="0" applyNumberFormat="1" applyFont="1" applyFill="1" applyBorder="1" applyAlignment="1">
      <alignment horizontal="center" vertical="center"/>
    </xf>
    <xf numFmtId="2" fontId="55" fillId="3" borderId="120" xfId="0" applyNumberFormat="1" applyFont="1" applyFill="1" applyBorder="1" applyAlignment="1">
      <alignment horizontal="center" vertical="center"/>
    </xf>
    <xf numFmtId="2" fontId="55" fillId="3" borderId="27" xfId="0" applyNumberFormat="1" applyFont="1" applyFill="1" applyBorder="1" applyAlignment="1">
      <alignment horizontal="center" vertical="center"/>
    </xf>
    <xf numFmtId="2" fontId="66" fillId="3" borderId="26" xfId="0" applyNumberFormat="1" applyFont="1" applyFill="1" applyBorder="1" applyAlignment="1">
      <alignment horizontal="center" vertical="center"/>
    </xf>
    <xf numFmtId="2" fontId="23" fillId="162" borderId="119" xfId="0" applyNumberFormat="1" applyFont="1" applyFill="1" applyBorder="1" applyAlignment="1">
      <alignment horizontal="center" vertical="center"/>
    </xf>
    <xf numFmtId="0" fontId="23" fillId="162" borderId="119" xfId="0" applyFont="1" applyFill="1" applyBorder="1" applyAlignment="1">
      <alignment horizontal="center" vertical="center"/>
    </xf>
    <xf numFmtId="2" fontId="7" fillId="0" borderId="119" xfId="0" applyNumberFormat="1" applyFont="1" applyBorder="1" applyAlignment="1">
      <alignment horizontal="center" vertical="center"/>
    </xf>
    <xf numFmtId="0" fontId="57" fillId="113" borderId="119" xfId="0" applyFont="1" applyFill="1" applyBorder="1" applyAlignment="1">
      <alignment horizontal="center" vertical="center" textRotation="45"/>
    </xf>
    <xf numFmtId="0" fontId="0" fillId="3" borderId="0" xfId="0" applyFill="1" applyAlignment="1">
      <alignment horizontal="center" vertical="center"/>
    </xf>
    <xf numFmtId="2" fontId="66" fillId="3" borderId="119" xfId="0" applyNumberFormat="1" applyFont="1" applyFill="1" applyBorder="1" applyAlignment="1">
      <alignment horizontal="center" vertical="center"/>
    </xf>
    <xf numFmtId="0" fontId="0" fillId="3" borderId="0" xfId="0" applyFill="1"/>
    <xf numFmtId="0" fontId="188" fillId="113" borderId="119" xfId="0" applyFont="1" applyFill="1" applyBorder="1" applyAlignment="1">
      <alignment horizontal="center" vertical="center" wrapText="1"/>
    </xf>
    <xf numFmtId="0" fontId="6" fillId="113" borderId="0" xfId="0" applyFont="1" applyFill="1"/>
    <xf numFmtId="2" fontId="0" fillId="0" borderId="0" xfId="0" applyNumberFormat="1" applyAlignment="1">
      <alignment horizontal="center"/>
    </xf>
    <xf numFmtId="0" fontId="57" fillId="113" borderId="119" xfId="4" applyFont="1" applyFill="1" applyBorder="1" applyAlignment="1">
      <alignment horizontal="center" vertical="center"/>
    </xf>
    <xf numFmtId="0" fontId="57" fillId="113" borderId="119" xfId="0" applyFont="1" applyFill="1" applyBorder="1" applyAlignment="1">
      <alignment vertical="center"/>
    </xf>
    <xf numFmtId="0" fontId="57" fillId="0" borderId="0" xfId="0" applyFont="1" applyAlignment="1">
      <alignment vertical="center"/>
    </xf>
    <xf numFmtId="2" fontId="55" fillId="35" borderId="27" xfId="0" applyNumberFormat="1" applyFont="1" applyFill="1" applyBorder="1" applyAlignment="1">
      <alignment horizontal="center" vertical="center"/>
    </xf>
    <xf numFmtId="2" fontId="66" fillId="35" borderId="198" xfId="0" applyNumberFormat="1" applyFont="1" applyFill="1" applyBorder="1" applyAlignment="1">
      <alignment horizontal="center"/>
    </xf>
    <xf numFmtId="2" fontId="191" fillId="35" borderId="7" xfId="0" applyNumberFormat="1" applyFont="1" applyFill="1" applyBorder="1" applyAlignment="1">
      <alignment horizontal="center" vertical="center"/>
    </xf>
    <xf numFmtId="2" fontId="66" fillId="35" borderId="119" xfId="0" applyNumberFormat="1" applyFont="1" applyFill="1" applyBorder="1" applyAlignment="1">
      <alignment horizontal="center"/>
    </xf>
    <xf numFmtId="2" fontId="66" fillId="35" borderId="119" xfId="0" applyNumberFormat="1" applyFont="1" applyFill="1" applyBorder="1" applyAlignment="1">
      <alignment horizontal="center" vertical="center"/>
    </xf>
    <xf numFmtId="0" fontId="192" fillId="170" borderId="26" xfId="0" applyFont="1" applyFill="1" applyBorder="1" applyAlignment="1">
      <alignment horizontal="center" vertical="center" wrapText="1"/>
    </xf>
    <xf numFmtId="0" fontId="192" fillId="170" borderId="37" xfId="0" applyFont="1" applyFill="1" applyBorder="1" applyAlignment="1">
      <alignment horizontal="center" vertical="center" wrapText="1"/>
    </xf>
    <xf numFmtId="0" fontId="193" fillId="0" borderId="34" xfId="0" applyFont="1" applyBorder="1" applyAlignment="1">
      <alignment horizontal="center" vertical="center" wrapText="1"/>
    </xf>
    <xf numFmtId="14" fontId="193" fillId="0" borderId="34" xfId="0" applyNumberFormat="1" applyFont="1" applyBorder="1" applyAlignment="1">
      <alignment horizontal="center" vertical="center" wrapText="1"/>
    </xf>
    <xf numFmtId="0" fontId="194" fillId="0" borderId="34" xfId="0" applyFont="1" applyBorder="1" applyAlignment="1">
      <alignment horizontal="center" vertical="center" wrapText="1"/>
    </xf>
    <xf numFmtId="0" fontId="194" fillId="0" borderId="113" xfId="0" applyFont="1" applyBorder="1" applyAlignment="1">
      <alignment horizontal="center" vertical="center" wrapText="1"/>
    </xf>
    <xf numFmtId="0" fontId="85" fillId="0" borderId="91" xfId="0" applyFont="1" applyBorder="1" applyAlignment="1">
      <alignment horizontal="center" vertical="center" wrapText="1"/>
    </xf>
    <xf numFmtId="0" fontId="23" fillId="0" borderId="189" xfId="0" applyFont="1" applyBorder="1" applyAlignment="1">
      <alignment horizontal="center" vertical="center"/>
    </xf>
    <xf numFmtId="166" fontId="23" fillId="0" borderId="189" xfId="0" applyNumberFormat="1" applyFont="1" applyBorder="1" applyAlignment="1">
      <alignment horizontal="center" vertical="center"/>
    </xf>
    <xf numFmtId="2" fontId="23" fillId="0" borderId="189" xfId="0" applyNumberFormat="1" applyFont="1" applyBorder="1" applyAlignment="1">
      <alignment horizontal="center" vertical="center"/>
    </xf>
    <xf numFmtId="10" fontId="23" fillId="0" borderId="189" xfId="1" applyNumberFormat="1" applyFont="1" applyBorder="1" applyAlignment="1">
      <alignment horizontal="center" vertical="center"/>
    </xf>
    <xf numFmtId="0" fontId="85" fillId="0" borderId="27" xfId="0" applyFont="1" applyBorder="1" applyAlignment="1">
      <alignment horizontal="left" vertical="center"/>
    </xf>
    <xf numFmtId="167" fontId="23" fillId="0" borderId="27" xfId="0" applyNumberFormat="1" applyFont="1" applyBorder="1" applyAlignment="1">
      <alignment horizontal="center" vertical="center"/>
    </xf>
    <xf numFmtId="0" fontId="85" fillId="0" borderId="119" xfId="0" applyFont="1" applyBorder="1" applyAlignment="1">
      <alignment horizontal="left" vertical="center"/>
    </xf>
    <xf numFmtId="167" fontId="23" fillId="0" borderId="119" xfId="0" applyNumberFormat="1" applyFont="1" applyBorder="1" applyAlignment="1">
      <alignment horizontal="center" vertical="center"/>
    </xf>
    <xf numFmtId="0" fontId="85" fillId="0" borderId="189" xfId="0" applyFont="1" applyBorder="1" applyAlignment="1">
      <alignment horizontal="left" vertical="center"/>
    </xf>
    <xf numFmtId="167" fontId="23" fillId="0" borderId="189" xfId="0" applyNumberFormat="1" applyFont="1" applyBorder="1" applyAlignment="1">
      <alignment horizontal="center" vertical="center"/>
    </xf>
    <xf numFmtId="166" fontId="23" fillId="0" borderId="205" xfId="0" applyNumberFormat="1" applyFont="1" applyBorder="1" applyAlignment="1">
      <alignment horizontal="center" vertical="center"/>
    </xf>
    <xf numFmtId="166" fontId="23" fillId="0" borderId="194" xfId="0" applyNumberFormat="1" applyFont="1" applyBorder="1" applyAlignment="1">
      <alignment horizontal="center" vertical="center"/>
    </xf>
    <xf numFmtId="0" fontId="57" fillId="171" borderId="119" xfId="0" applyFont="1" applyFill="1" applyBorder="1" applyAlignment="1">
      <alignment horizontal="center" textRotation="45" wrapText="1"/>
    </xf>
    <xf numFmtId="0" fontId="66" fillId="3" borderId="119" xfId="0" applyFont="1" applyFill="1" applyBorder="1" applyAlignment="1">
      <alignment horizontal="center" wrapText="1"/>
    </xf>
    <xf numFmtId="0" fontId="55" fillId="3" borderId="119" xfId="0" applyFont="1" applyFill="1" applyBorder="1" applyAlignment="1">
      <alignment horizontal="center" wrapText="1"/>
    </xf>
    <xf numFmtId="2" fontId="55" fillId="3" borderId="119" xfId="0" applyNumberFormat="1" applyFont="1" applyFill="1" applyBorder="1" applyAlignment="1">
      <alignment horizontal="center" wrapText="1"/>
    </xf>
    <xf numFmtId="0" fontId="57" fillId="171" borderId="119" xfId="0" applyFont="1" applyFill="1" applyBorder="1" applyAlignment="1">
      <alignment horizontal="center" vertical="center"/>
    </xf>
    <xf numFmtId="2" fontId="185" fillId="0" borderId="7" xfId="0" applyNumberFormat="1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5" fillId="0" borderId="20" xfId="0" applyFont="1" applyBorder="1" applyAlignment="1">
      <alignment horizontal="center" vertical="center"/>
    </xf>
    <xf numFmtId="0" fontId="55" fillId="0" borderId="99" xfId="0" applyFont="1" applyBorder="1" applyAlignment="1">
      <alignment horizontal="center" vertical="center"/>
    </xf>
    <xf numFmtId="0" fontId="55" fillId="0" borderId="100" xfId="0" applyFont="1" applyBorder="1" applyAlignment="1">
      <alignment horizontal="center" vertical="center"/>
    </xf>
    <xf numFmtId="0" fontId="55" fillId="0" borderId="101" xfId="0" applyFont="1" applyBorder="1" applyAlignment="1">
      <alignment horizontal="center" vertical="center"/>
    </xf>
    <xf numFmtId="0" fontId="55" fillId="0" borderId="3" xfId="0" applyFont="1" applyBorder="1" applyAlignment="1">
      <alignment horizontal="center" vertical="center"/>
    </xf>
    <xf numFmtId="0" fontId="55" fillId="0" borderId="33" xfId="0" applyFont="1" applyBorder="1" applyAlignment="1">
      <alignment horizontal="center" vertical="center"/>
    </xf>
    <xf numFmtId="0" fontId="55" fillId="0" borderId="72" xfId="0" applyFont="1" applyBorder="1" applyAlignment="1">
      <alignment horizontal="center" vertical="center"/>
    </xf>
    <xf numFmtId="0" fontId="55" fillId="0" borderId="34" xfId="0" applyFont="1" applyBorder="1" applyAlignment="1">
      <alignment horizontal="center" vertical="center"/>
    </xf>
    <xf numFmtId="189" fontId="66" fillId="0" borderId="0" xfId="0" applyNumberFormat="1" applyFont="1" applyAlignment="1">
      <alignment horizontal="center"/>
    </xf>
    <xf numFmtId="0" fontId="66" fillId="163" borderId="0" xfId="0" applyFont="1" applyFill="1"/>
    <xf numFmtId="189" fontId="66" fillId="163" borderId="0" xfId="0" applyNumberFormat="1" applyFont="1" applyFill="1" applyAlignment="1">
      <alignment horizontal="center"/>
    </xf>
    <xf numFmtId="0" fontId="57" fillId="172" borderId="0" xfId="0" applyFont="1" applyFill="1"/>
    <xf numFmtId="167" fontId="57" fillId="172" borderId="0" xfId="0" applyNumberFormat="1" applyFont="1" applyFill="1" applyAlignment="1">
      <alignment horizontal="center" vertical="center"/>
    </xf>
    <xf numFmtId="9" fontId="55" fillId="0" borderId="0" xfId="1" applyFont="1" applyBorder="1" applyAlignment="1">
      <alignment horizontal="center" vertical="center"/>
    </xf>
    <xf numFmtId="0" fontId="55" fillId="0" borderId="199" xfId="0" applyFont="1" applyBorder="1" applyAlignment="1">
      <alignment horizontal="center" vertical="center"/>
    </xf>
    <xf numFmtId="0" fontId="55" fillId="162" borderId="119" xfId="0" applyFont="1" applyFill="1" applyBorder="1" applyAlignment="1">
      <alignment horizontal="center" vertical="center"/>
    </xf>
    <xf numFmtId="0" fontId="62" fillId="173" borderId="0" xfId="0" applyFont="1" applyFill="1"/>
    <xf numFmtId="9" fontId="55" fillId="0" borderId="0" xfId="1" applyFont="1" applyAlignment="1">
      <alignment horizontal="center" vertical="center"/>
    </xf>
    <xf numFmtId="177" fontId="57" fillId="172" borderId="0" xfId="0" applyNumberFormat="1" applyFont="1" applyFill="1" applyAlignment="1">
      <alignment horizontal="center" vertical="center"/>
    </xf>
    <xf numFmtId="0" fontId="55" fillId="174" borderId="0" xfId="0" applyFont="1" applyFill="1"/>
    <xf numFmtId="167" fontId="55" fillId="0" borderId="119" xfId="0" applyNumberFormat="1" applyFont="1" applyBorder="1" applyAlignment="1">
      <alignment horizontal="center" vertical="center"/>
    </xf>
    <xf numFmtId="0" fontId="57" fillId="113" borderId="118" xfId="0" applyFont="1" applyFill="1" applyBorder="1" applyAlignment="1">
      <alignment horizontal="center" vertical="center"/>
    </xf>
    <xf numFmtId="0" fontId="57" fillId="113" borderId="119" xfId="0" applyFont="1" applyFill="1" applyBorder="1"/>
    <xf numFmtId="0" fontId="57" fillId="113" borderId="120" xfId="0" applyFont="1" applyFill="1" applyBorder="1" applyAlignment="1">
      <alignment horizontal="center" vertical="center"/>
    </xf>
    <xf numFmtId="0" fontId="66" fillId="3" borderId="20" xfId="0" applyFont="1" applyFill="1" applyBorder="1" applyAlignment="1">
      <alignment horizontal="center" vertical="center"/>
    </xf>
    <xf numFmtId="0" fontId="66" fillId="3" borderId="99" xfId="0" applyFont="1" applyFill="1" applyBorder="1" applyAlignment="1">
      <alignment horizontal="center" vertical="center"/>
    </xf>
    <xf numFmtId="0" fontId="66" fillId="3" borderId="100" xfId="0" applyFont="1" applyFill="1" applyBorder="1" applyAlignment="1">
      <alignment horizontal="center" vertical="center"/>
    </xf>
    <xf numFmtId="0" fontId="62" fillId="113" borderId="115" xfId="0" applyFont="1" applyFill="1" applyBorder="1" applyAlignment="1">
      <alignment horizontal="center" vertical="center"/>
    </xf>
    <xf numFmtId="0" fontId="55" fillId="3" borderId="101" xfId="0" applyFont="1" applyFill="1" applyBorder="1" applyAlignment="1">
      <alignment horizontal="center" vertical="center"/>
    </xf>
    <xf numFmtId="0" fontId="55" fillId="3" borderId="0" xfId="0" applyFont="1" applyFill="1" applyAlignment="1">
      <alignment horizontal="center" vertical="center"/>
    </xf>
    <xf numFmtId="0" fontId="55" fillId="3" borderId="3" xfId="0" applyFont="1" applyFill="1" applyBorder="1" applyAlignment="1">
      <alignment horizontal="center" vertical="center"/>
    </xf>
    <xf numFmtId="0" fontId="62" fillId="113" borderId="113" xfId="0" applyFont="1" applyFill="1" applyBorder="1" applyAlignment="1">
      <alignment horizontal="center" vertical="center"/>
    </xf>
    <xf numFmtId="0" fontId="55" fillId="3" borderId="33" xfId="0" applyFont="1" applyFill="1" applyBorder="1" applyAlignment="1">
      <alignment horizontal="center" vertical="center"/>
    </xf>
    <xf numFmtId="0" fontId="55" fillId="3" borderId="72" xfId="0" applyFont="1" applyFill="1" applyBorder="1" applyAlignment="1">
      <alignment horizontal="center" vertical="center"/>
    </xf>
    <xf numFmtId="0" fontId="55" fillId="3" borderId="34" xfId="0" applyFont="1" applyFill="1" applyBorder="1" applyAlignment="1">
      <alignment horizontal="center" vertical="center"/>
    </xf>
    <xf numFmtId="0" fontId="66" fillId="3" borderId="3" xfId="0" applyFont="1" applyFill="1" applyBorder="1" applyAlignment="1">
      <alignment horizontal="center" vertical="center"/>
    </xf>
    <xf numFmtId="0" fontId="66" fillId="3" borderId="0" xfId="0" applyFont="1" applyFill="1" applyAlignment="1">
      <alignment horizontal="center" vertical="center"/>
    </xf>
    <xf numFmtId="0" fontId="57" fillId="113" borderId="115" xfId="0" applyFont="1" applyFill="1" applyBorder="1" applyAlignment="1">
      <alignment horizontal="center" vertical="center"/>
    </xf>
    <xf numFmtId="0" fontId="57" fillId="113" borderId="101" xfId="0" applyFont="1" applyFill="1" applyBorder="1" applyAlignment="1">
      <alignment horizontal="center" vertical="center"/>
    </xf>
    <xf numFmtId="9" fontId="55" fillId="3" borderId="0" xfId="1" applyFont="1" applyFill="1" applyBorder="1" applyAlignment="1">
      <alignment horizontal="center" vertical="center"/>
    </xf>
    <xf numFmtId="0" fontId="57" fillId="113" borderId="33" xfId="0" applyFont="1" applyFill="1" applyBorder="1" applyAlignment="1">
      <alignment horizontal="center" vertical="center"/>
    </xf>
    <xf numFmtId="0" fontId="55" fillId="84" borderId="33" xfId="0" applyFont="1" applyFill="1" applyBorder="1" applyAlignment="1">
      <alignment horizontal="center" vertical="center"/>
    </xf>
    <xf numFmtId="0" fontId="55" fillId="84" borderId="34" xfId="0" applyFont="1" applyFill="1" applyBorder="1" applyAlignment="1">
      <alignment horizontal="center" vertical="center"/>
    </xf>
    <xf numFmtId="2" fontId="55" fillId="3" borderId="0" xfId="0" applyNumberFormat="1" applyFont="1" applyFill="1" applyAlignment="1">
      <alignment horizontal="center" vertical="center"/>
    </xf>
    <xf numFmtId="2" fontId="55" fillId="3" borderId="3" xfId="0" applyNumberFormat="1" applyFont="1" applyFill="1" applyBorder="1" applyAlignment="1">
      <alignment horizontal="center" vertical="center"/>
    </xf>
    <xf numFmtId="2" fontId="55" fillId="3" borderId="0" xfId="1" applyNumberFormat="1" applyFont="1" applyFill="1" applyBorder="1" applyAlignment="1">
      <alignment horizontal="center" vertical="center"/>
    </xf>
    <xf numFmtId="2" fontId="55" fillId="3" borderId="3" xfId="1" applyNumberFormat="1" applyFont="1" applyFill="1" applyBorder="1" applyAlignment="1">
      <alignment horizontal="center" vertical="center"/>
    </xf>
    <xf numFmtId="2" fontId="55" fillId="3" borderId="72" xfId="0" applyNumberFormat="1" applyFont="1" applyFill="1" applyBorder="1" applyAlignment="1">
      <alignment horizontal="center" vertical="center"/>
    </xf>
    <xf numFmtId="2" fontId="55" fillId="3" borderId="34" xfId="0" applyNumberFormat="1" applyFont="1" applyFill="1" applyBorder="1" applyAlignment="1">
      <alignment horizontal="center" vertical="center"/>
    </xf>
    <xf numFmtId="0" fontId="55" fillId="3" borderId="99" xfId="0" applyFont="1" applyFill="1" applyBorder="1" applyAlignment="1">
      <alignment horizontal="center" vertical="center"/>
    </xf>
    <xf numFmtId="2" fontId="55" fillId="3" borderId="99" xfId="0" applyNumberFormat="1" applyFont="1" applyFill="1" applyBorder="1" applyAlignment="1">
      <alignment horizontal="center" vertical="center"/>
    </xf>
    <xf numFmtId="2" fontId="55" fillId="3" borderId="100" xfId="0" applyNumberFormat="1" applyFont="1" applyFill="1" applyBorder="1" applyAlignment="1">
      <alignment horizontal="center" vertical="center"/>
    </xf>
    <xf numFmtId="2" fontId="55" fillId="162" borderId="0" xfId="0" applyNumberFormat="1" applyFont="1" applyFill="1" applyAlignment="1">
      <alignment horizontal="center" vertical="center"/>
    </xf>
    <xf numFmtId="2" fontId="55" fillId="162" borderId="3" xfId="0" applyNumberFormat="1" applyFont="1" applyFill="1" applyBorder="1" applyAlignment="1">
      <alignment horizontal="center" vertical="center"/>
    </xf>
    <xf numFmtId="1" fontId="69" fillId="0" borderId="119" xfId="0" applyNumberFormat="1" applyFont="1" applyBorder="1" applyAlignment="1">
      <alignment horizontal="center" vertical="center"/>
    </xf>
    <xf numFmtId="166" fontId="55" fillId="162" borderId="119" xfId="0" applyNumberFormat="1" applyFont="1" applyFill="1" applyBorder="1" applyAlignment="1">
      <alignment horizontal="center" vertical="center"/>
    </xf>
    <xf numFmtId="2" fontId="55" fillId="162" borderId="119" xfId="0" applyNumberFormat="1" applyFont="1" applyFill="1" applyBorder="1" applyAlignment="1">
      <alignment horizontal="center" vertical="center"/>
    </xf>
    <xf numFmtId="0" fontId="82" fillId="162" borderId="119" xfId="0" applyFont="1" applyFill="1" applyBorder="1" applyAlignment="1">
      <alignment horizontal="center" vertical="center"/>
    </xf>
    <xf numFmtId="2" fontId="55" fillId="168" borderId="0" xfId="0" applyNumberFormat="1" applyFont="1" applyFill="1" applyAlignment="1">
      <alignment horizontal="center" vertical="center"/>
    </xf>
    <xf numFmtId="2" fontId="55" fillId="168" borderId="3" xfId="0" applyNumberFormat="1" applyFont="1" applyFill="1" applyBorder="1" applyAlignment="1">
      <alignment horizontal="center" vertical="center"/>
    </xf>
    <xf numFmtId="2" fontId="55" fillId="168" borderId="72" xfId="0" applyNumberFormat="1" applyFont="1" applyFill="1" applyBorder="1" applyAlignment="1">
      <alignment horizontal="center" vertical="center"/>
    </xf>
    <xf numFmtId="2" fontId="55" fillId="168" borderId="34" xfId="0" applyNumberFormat="1" applyFont="1" applyFill="1" applyBorder="1" applyAlignment="1">
      <alignment horizontal="center" vertical="center"/>
    </xf>
    <xf numFmtId="9" fontId="71" fillId="0" borderId="77" xfId="0" applyNumberFormat="1" applyFont="1" applyBorder="1" applyAlignment="1">
      <alignment horizontal="center" vertical="center" wrapText="1"/>
    </xf>
    <xf numFmtId="9" fontId="71" fillId="0" borderId="27" xfId="0" applyNumberFormat="1" applyFont="1" applyBorder="1" applyAlignment="1">
      <alignment horizontal="center" vertical="center" wrapText="1"/>
    </xf>
    <xf numFmtId="2" fontId="71" fillId="35" borderId="77" xfId="0" applyNumberFormat="1" applyFont="1" applyFill="1" applyBorder="1" applyAlignment="1">
      <alignment horizontal="center" vertical="center" wrapText="1"/>
    </xf>
    <xf numFmtId="0" fontId="71" fillId="35" borderId="27" xfId="0" applyFont="1" applyFill="1" applyBorder="1" applyAlignment="1">
      <alignment horizontal="center" vertical="center" wrapText="1"/>
    </xf>
    <xf numFmtId="9" fontId="71" fillId="0" borderId="2" xfId="1" applyFont="1" applyFill="1" applyBorder="1" applyAlignment="1">
      <alignment horizontal="center" vertical="center" wrapText="1"/>
    </xf>
    <xf numFmtId="9" fontId="71" fillId="0" borderId="27" xfId="1" applyFont="1" applyFill="1" applyBorder="1" applyAlignment="1">
      <alignment horizontal="center" vertical="center" wrapText="1"/>
    </xf>
    <xf numFmtId="0" fontId="71" fillId="0" borderId="2" xfId="0" applyFont="1" applyBorder="1" applyAlignment="1">
      <alignment horizontal="center" vertical="center" wrapText="1"/>
    </xf>
    <xf numFmtId="0" fontId="71" fillId="0" borderId="27" xfId="0" applyFont="1" applyBorder="1" applyAlignment="1">
      <alignment horizontal="center" vertical="center" wrapText="1"/>
    </xf>
    <xf numFmtId="0" fontId="79" fillId="35" borderId="56" xfId="0" applyFont="1" applyFill="1" applyBorder="1" applyAlignment="1">
      <alignment horizontal="center" vertical="center"/>
    </xf>
    <xf numFmtId="0" fontId="79" fillId="35" borderId="0" xfId="0" applyFont="1" applyFill="1" applyAlignment="1">
      <alignment horizontal="center" vertical="center"/>
    </xf>
    <xf numFmtId="0" fontId="57" fillId="113" borderId="186" xfId="0" applyFont="1" applyFill="1" applyBorder="1" applyAlignment="1">
      <alignment horizontal="center" vertical="center"/>
    </xf>
    <xf numFmtId="0" fontId="57" fillId="113" borderId="196" xfId="0" applyFont="1" applyFill="1" applyBorder="1" applyAlignment="1">
      <alignment horizontal="center" vertical="center"/>
    </xf>
    <xf numFmtId="0" fontId="57" fillId="113" borderId="137" xfId="0" applyFont="1" applyFill="1" applyBorder="1" applyAlignment="1">
      <alignment horizontal="center" vertical="center"/>
    </xf>
    <xf numFmtId="166" fontId="66" fillId="0" borderId="22" xfId="0" applyNumberFormat="1" applyFont="1" applyBorder="1" applyAlignment="1">
      <alignment horizontal="center" vertical="center"/>
    </xf>
    <xf numFmtId="166" fontId="66" fillId="0" borderId="187" xfId="0" applyNumberFormat="1" applyFont="1" applyBorder="1" applyAlignment="1">
      <alignment horizontal="center" vertical="center"/>
    </xf>
    <xf numFmtId="0" fontId="57" fillId="113" borderId="71" xfId="0" applyFont="1" applyFill="1" applyBorder="1" applyAlignment="1">
      <alignment horizontal="center" vertical="center"/>
    </xf>
    <xf numFmtId="0" fontId="57" fillId="113" borderId="76" xfId="0" applyFont="1" applyFill="1" applyBorder="1" applyAlignment="1">
      <alignment horizontal="center" vertical="center"/>
    </xf>
    <xf numFmtId="0" fontId="57" fillId="113" borderId="81" xfId="0" applyFont="1" applyFill="1" applyBorder="1" applyAlignment="1">
      <alignment horizontal="center" vertical="center"/>
    </xf>
    <xf numFmtId="0" fontId="57" fillId="113" borderId="56" xfId="0" applyFont="1" applyFill="1" applyBorder="1" applyAlignment="1">
      <alignment horizontal="center" vertical="center"/>
    </xf>
    <xf numFmtId="0" fontId="57" fillId="113" borderId="0" xfId="0" applyFont="1" applyFill="1" applyAlignment="1">
      <alignment horizontal="center" vertical="center"/>
    </xf>
    <xf numFmtId="0" fontId="57" fillId="113" borderId="22" xfId="0" applyFont="1" applyFill="1" applyBorder="1" applyAlignment="1">
      <alignment horizontal="center" vertical="center"/>
    </xf>
    <xf numFmtId="0" fontId="57" fillId="113" borderId="23" xfId="0" applyFont="1" applyFill="1" applyBorder="1" applyAlignment="1">
      <alignment horizontal="center" vertical="center"/>
    </xf>
    <xf numFmtId="0" fontId="57" fillId="113" borderId="162" xfId="0" applyFont="1" applyFill="1" applyBorder="1" applyAlignment="1">
      <alignment horizontal="center" vertical="center"/>
    </xf>
    <xf numFmtId="0" fontId="57" fillId="113" borderId="187" xfId="0" applyFont="1" applyFill="1" applyBorder="1" applyAlignment="1">
      <alignment horizontal="center" vertical="center"/>
    </xf>
    <xf numFmtId="0" fontId="57" fillId="113" borderId="186" xfId="4" applyFont="1" applyFill="1" applyBorder="1" applyAlignment="1">
      <alignment horizontal="center" vertical="center" wrapText="1"/>
    </xf>
    <xf numFmtId="0" fontId="57" fillId="113" borderId="196" xfId="4" applyFont="1" applyFill="1" applyBorder="1" applyAlignment="1">
      <alignment horizontal="center" vertical="center" wrapText="1"/>
    </xf>
    <xf numFmtId="0" fontId="57" fillId="113" borderId="56" xfId="4" applyFont="1" applyFill="1" applyBorder="1" applyAlignment="1">
      <alignment horizontal="center" vertical="center" wrapText="1"/>
    </xf>
    <xf numFmtId="0" fontId="57" fillId="113" borderId="0" xfId="4" applyFont="1" applyFill="1" applyAlignment="1">
      <alignment horizontal="center" vertical="center" wrapText="1"/>
    </xf>
    <xf numFmtId="0" fontId="66" fillId="0" borderId="71" xfId="0" applyFont="1" applyBorder="1" applyAlignment="1">
      <alignment horizontal="center" vertical="center"/>
    </xf>
    <xf numFmtId="0" fontId="66" fillId="0" borderId="76" xfId="0" applyFont="1" applyBorder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72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184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18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8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85" xfId="0" applyFont="1" applyBorder="1" applyAlignment="1">
      <alignment horizontal="center" vertical="center" wrapText="1"/>
    </xf>
    <xf numFmtId="0" fontId="3" fillId="0" borderId="11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124" xfId="0" applyFont="1" applyBorder="1" applyAlignment="1">
      <alignment horizontal="center" vertical="center" wrapText="1"/>
    </xf>
    <xf numFmtId="0" fontId="3" fillId="0" borderId="186" xfId="0" applyFont="1" applyBorder="1" applyAlignment="1">
      <alignment horizontal="center" vertical="center" wrapText="1"/>
    </xf>
    <xf numFmtId="1" fontId="55" fillId="0" borderId="26" xfId="0" applyNumberFormat="1" applyFont="1" applyBorder="1" applyAlignment="1">
      <alignment horizontal="center" vertical="center"/>
    </xf>
    <xf numFmtId="166" fontId="55" fillId="0" borderId="26" xfId="0" applyNumberFormat="1" applyFont="1" applyBorder="1" applyAlignment="1">
      <alignment horizontal="center" vertical="center"/>
    </xf>
    <xf numFmtId="2" fontId="55" fillId="0" borderId="28" xfId="0" applyNumberFormat="1" applyFont="1" applyBorder="1" applyAlignment="1">
      <alignment horizontal="center" vertical="center" wrapText="1"/>
    </xf>
    <xf numFmtId="2" fontId="55" fillId="0" borderId="29" xfId="0" applyNumberFormat="1" applyFont="1" applyBorder="1" applyAlignment="1">
      <alignment horizontal="center" vertical="center" wrapText="1"/>
    </xf>
    <xf numFmtId="2" fontId="55" fillId="0" borderId="37" xfId="0" applyNumberFormat="1" applyFont="1" applyBorder="1" applyAlignment="1">
      <alignment horizontal="center" vertical="center" wrapText="1"/>
    </xf>
    <xf numFmtId="0" fontId="55" fillId="0" borderId="3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12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1" fontId="55" fillId="0" borderId="25" xfId="0" applyNumberFormat="1" applyFont="1" applyBorder="1" applyAlignment="1">
      <alignment horizontal="center" vertical="center"/>
    </xf>
    <xf numFmtId="1" fontId="55" fillId="0" borderId="113" xfId="0" applyNumberFormat="1" applyFont="1" applyBorder="1" applyAlignment="1">
      <alignment horizontal="center" vertical="center"/>
    </xf>
    <xf numFmtId="166" fontId="55" fillId="0" borderId="25" xfId="0" applyNumberFormat="1" applyFont="1" applyBorder="1" applyAlignment="1">
      <alignment horizontal="center" vertical="center"/>
    </xf>
    <xf numFmtId="166" fontId="55" fillId="0" borderId="113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" fontId="55" fillId="0" borderId="0" xfId="0" applyNumberFormat="1" applyFont="1" applyAlignment="1">
      <alignment horizontal="center" vertical="center"/>
    </xf>
    <xf numFmtId="166" fontId="55" fillId="0" borderId="0" xfId="0" applyNumberFormat="1" applyFont="1" applyAlignment="1">
      <alignment horizontal="center" vertical="center"/>
    </xf>
    <xf numFmtId="0" fontId="55" fillId="0" borderId="25" xfId="0" applyFont="1" applyBorder="1" applyAlignment="1">
      <alignment horizontal="center" vertical="center" wrapText="1"/>
    </xf>
    <xf numFmtId="0" fontId="55" fillId="0" borderId="115" xfId="0" applyFont="1" applyBorder="1" applyAlignment="1">
      <alignment horizontal="center" vertical="center" wrapText="1"/>
    </xf>
    <xf numFmtId="0" fontId="55" fillId="0" borderId="113" xfId="0" applyFont="1" applyBorder="1" applyAlignment="1">
      <alignment horizontal="center" vertical="center" wrapText="1"/>
    </xf>
    <xf numFmtId="0" fontId="3" fillId="0" borderId="190" xfId="0" applyFont="1" applyBorder="1" applyAlignment="1">
      <alignment horizontal="center" vertical="center" wrapText="1"/>
    </xf>
    <xf numFmtId="0" fontId="3" fillId="0" borderId="137" xfId="0" applyFont="1" applyBorder="1" applyAlignment="1">
      <alignment horizontal="center" vertical="center" wrapText="1"/>
    </xf>
    <xf numFmtId="2" fontId="55" fillId="0" borderId="36" xfId="0" applyNumberFormat="1" applyFont="1" applyBorder="1" applyAlignment="1">
      <alignment horizontal="center" vertical="center" wrapText="1"/>
    </xf>
    <xf numFmtId="2" fontId="55" fillId="0" borderId="99" xfId="0" applyNumberFormat="1" applyFont="1" applyBorder="1" applyAlignment="1">
      <alignment horizontal="center" vertical="center" wrapText="1"/>
    </xf>
    <xf numFmtId="0" fontId="57" fillId="113" borderId="137" xfId="4" applyFont="1" applyFill="1" applyBorder="1" applyAlignment="1">
      <alignment horizontal="center" vertical="center" wrapText="1"/>
    </xf>
    <xf numFmtId="0" fontId="57" fillId="113" borderId="22" xfId="4" applyFont="1" applyFill="1" applyBorder="1" applyAlignment="1">
      <alignment horizontal="center" vertical="center" wrapText="1"/>
    </xf>
    <xf numFmtId="2" fontId="68" fillId="35" borderId="77" xfId="105" applyNumberFormat="1" applyFont="1" applyFill="1" applyBorder="1" applyAlignment="1">
      <alignment horizontal="center" vertical="center"/>
    </xf>
    <xf numFmtId="2" fontId="68" fillId="35" borderId="27" xfId="105" applyNumberFormat="1" applyFont="1" applyFill="1" applyBorder="1" applyAlignment="1">
      <alignment horizontal="center" vertical="center"/>
    </xf>
    <xf numFmtId="0" fontId="56" fillId="113" borderId="79" xfId="0" applyFont="1" applyFill="1" applyBorder="1" applyAlignment="1">
      <alignment horizontal="center" vertical="center" wrapText="1"/>
    </xf>
    <xf numFmtId="0" fontId="56" fillId="113" borderId="38" xfId="0" applyFont="1" applyFill="1" applyBorder="1" applyAlignment="1">
      <alignment horizontal="center" vertical="center" wrapText="1"/>
    </xf>
    <xf numFmtId="0" fontId="56" fillId="113" borderId="21" xfId="0" applyFont="1" applyFill="1" applyBorder="1" applyAlignment="1">
      <alignment horizontal="center" vertical="center" wrapText="1"/>
    </xf>
    <xf numFmtId="0" fontId="56" fillId="113" borderId="54" xfId="0" applyFont="1" applyFill="1" applyBorder="1" applyAlignment="1">
      <alignment horizontal="center" vertical="center" wrapText="1"/>
    </xf>
    <xf numFmtId="0" fontId="57" fillId="113" borderId="99" xfId="0" applyFont="1" applyFill="1" applyBorder="1" applyAlignment="1">
      <alignment horizontal="center" vertical="center"/>
    </xf>
    <xf numFmtId="0" fontId="57" fillId="113" borderId="96" xfId="0" applyFont="1" applyFill="1" applyBorder="1" applyAlignment="1">
      <alignment horizontal="center" vertical="center"/>
    </xf>
    <xf numFmtId="0" fontId="57" fillId="113" borderId="97" xfId="0" applyFont="1" applyFill="1" applyBorder="1" applyAlignment="1">
      <alignment horizontal="center" vertical="center"/>
    </xf>
    <xf numFmtId="0" fontId="57" fillId="113" borderId="98" xfId="0" applyFont="1" applyFill="1" applyBorder="1" applyAlignment="1">
      <alignment horizontal="center" vertical="center"/>
    </xf>
    <xf numFmtId="0" fontId="57" fillId="113" borderId="74" xfId="0" applyFont="1" applyFill="1" applyBorder="1" applyAlignment="1">
      <alignment horizontal="center" vertical="center"/>
    </xf>
    <xf numFmtId="0" fontId="57" fillId="113" borderId="74" xfId="0" applyFont="1" applyFill="1" applyBorder="1" applyAlignment="1">
      <alignment horizontal="center"/>
    </xf>
    <xf numFmtId="0" fontId="57" fillId="116" borderId="74" xfId="1625" applyNumberFormat="1" applyFont="1" applyFill="1" applyBorder="1" applyAlignment="1">
      <alignment horizontal="left" vertical="center"/>
    </xf>
    <xf numFmtId="0" fontId="57" fillId="116" borderId="74" xfId="1625" applyNumberFormat="1" applyFont="1" applyFill="1" applyBorder="1" applyAlignment="1">
      <alignment horizontal="center" vertical="center"/>
    </xf>
    <xf numFmtId="0" fontId="57" fillId="113" borderId="119" xfId="0" applyFont="1" applyFill="1" applyBorder="1" applyAlignment="1">
      <alignment horizontal="center" vertical="center"/>
    </xf>
    <xf numFmtId="0" fontId="57" fillId="113" borderId="35" xfId="4" applyFont="1" applyFill="1" applyBorder="1" applyAlignment="1">
      <alignment horizontal="center" vertical="center" wrapText="1"/>
    </xf>
    <xf numFmtId="0" fontId="57" fillId="113" borderId="36" xfId="4" applyFont="1" applyFill="1" applyBorder="1" applyAlignment="1">
      <alignment horizontal="center" vertical="center" wrapText="1"/>
    </xf>
    <xf numFmtId="0" fontId="57" fillId="113" borderId="37" xfId="4" applyFont="1" applyFill="1" applyBorder="1" applyAlignment="1">
      <alignment horizontal="center" vertical="center" wrapText="1"/>
    </xf>
    <xf numFmtId="0" fontId="104" fillId="113" borderId="25" xfId="2" applyFont="1" applyFill="1" applyBorder="1" applyAlignment="1">
      <alignment horizontal="center" vertical="center" wrapText="1"/>
    </xf>
    <xf numFmtId="0" fontId="104" fillId="113" borderId="32" xfId="2" applyFont="1" applyFill="1" applyBorder="1" applyAlignment="1">
      <alignment horizontal="center" vertical="center" wrapText="1"/>
    </xf>
    <xf numFmtId="0" fontId="104" fillId="113" borderId="64" xfId="2" applyFont="1" applyFill="1" applyBorder="1" applyAlignment="1">
      <alignment horizontal="center" vertical="center"/>
    </xf>
    <xf numFmtId="0" fontId="104" fillId="113" borderId="162" xfId="2" applyFont="1" applyFill="1" applyBorder="1" applyAlignment="1">
      <alignment horizontal="center" vertical="center"/>
    </xf>
    <xf numFmtId="0" fontId="104" fillId="113" borderId="55" xfId="2" applyFont="1" applyFill="1" applyBorder="1" applyAlignment="1">
      <alignment horizontal="center" vertical="center"/>
    </xf>
    <xf numFmtId="0" fontId="104" fillId="113" borderId="35" xfId="2" applyFont="1" applyFill="1" applyBorder="1" applyAlignment="1">
      <alignment horizontal="center" vertical="center"/>
    </xf>
    <xf numFmtId="0" fontId="104" fillId="113" borderId="37" xfId="2" applyFont="1" applyFill="1" applyBorder="1" applyAlignment="1">
      <alignment horizontal="center" vertical="center"/>
    </xf>
    <xf numFmtId="0" fontId="104" fillId="113" borderId="35" xfId="2" applyFont="1" applyFill="1" applyBorder="1" applyAlignment="1">
      <alignment horizontal="center" vertical="center" wrapText="1"/>
    </xf>
    <xf numFmtId="0" fontId="104" fillId="113" borderId="36" xfId="2" applyFont="1" applyFill="1" applyBorder="1" applyAlignment="1">
      <alignment horizontal="center" vertical="center" wrapText="1"/>
    </xf>
    <xf numFmtId="0" fontId="104" fillId="113" borderId="37" xfId="2" applyFont="1" applyFill="1" applyBorder="1" applyAlignment="1">
      <alignment horizontal="center" vertical="center" wrapText="1"/>
    </xf>
    <xf numFmtId="0" fontId="104" fillId="113" borderId="23" xfId="2" applyFont="1" applyFill="1" applyBorder="1" applyAlignment="1">
      <alignment horizontal="center" vertical="center" wrapText="1"/>
    </xf>
    <xf numFmtId="0" fontId="104" fillId="113" borderId="162" xfId="2" applyFont="1" applyFill="1" applyBorder="1" applyAlignment="1">
      <alignment horizontal="center" vertical="center" wrapText="1"/>
    </xf>
    <xf numFmtId="0" fontId="104" fillId="113" borderId="55" xfId="2" applyFont="1" applyFill="1" applyBorder="1" applyAlignment="1">
      <alignment horizontal="center" vertical="center" wrapText="1"/>
    </xf>
    <xf numFmtId="14" fontId="55" fillId="0" borderId="21" xfId="0" applyNumberFormat="1" applyFont="1" applyBorder="1" applyAlignment="1">
      <alignment horizontal="center" vertical="center"/>
    </xf>
    <xf numFmtId="14" fontId="55" fillId="0" borderId="118" xfId="0" applyNumberFormat="1" applyFont="1" applyBorder="1" applyAlignment="1">
      <alignment horizontal="center" vertical="center"/>
    </xf>
    <xf numFmtId="0" fontId="57" fillId="113" borderId="35" xfId="0" applyFont="1" applyFill="1" applyBorder="1" applyAlignment="1">
      <alignment horizontal="center" vertical="center"/>
    </xf>
    <xf numFmtId="0" fontId="57" fillId="113" borderId="37" xfId="0" applyFont="1" applyFill="1" applyBorder="1" applyAlignment="1">
      <alignment horizontal="center" vertical="center"/>
    </xf>
    <xf numFmtId="0" fontId="178" fillId="113" borderId="0" xfId="0" applyFont="1" applyFill="1" applyAlignment="1">
      <alignment horizontal="center" vertical="center"/>
    </xf>
    <xf numFmtId="0" fontId="55" fillId="0" borderId="0" xfId="0" applyFont="1" applyAlignment="1">
      <alignment horizontal="center"/>
    </xf>
    <xf numFmtId="0" fontId="57" fillId="113" borderId="36" xfId="0" applyFont="1" applyFill="1" applyBorder="1" applyAlignment="1">
      <alignment horizontal="center" vertical="center"/>
    </xf>
    <xf numFmtId="0" fontId="57" fillId="113" borderId="35" xfId="0" applyFont="1" applyFill="1" applyBorder="1" applyAlignment="1">
      <alignment horizontal="center" vertical="center" wrapText="1"/>
    </xf>
    <xf numFmtId="0" fontId="57" fillId="113" borderId="36" xfId="0" applyFont="1" applyFill="1" applyBorder="1" applyAlignment="1">
      <alignment horizontal="center" vertical="center" wrapText="1"/>
    </xf>
    <xf numFmtId="0" fontId="57" fillId="113" borderId="37" xfId="0" applyFont="1" applyFill="1" applyBorder="1" applyAlignment="1">
      <alignment horizontal="center" vertical="center" wrapText="1"/>
    </xf>
    <xf numFmtId="14" fontId="55" fillId="0" borderId="192" xfId="0" applyNumberFormat="1" applyFont="1" applyBorder="1" applyAlignment="1">
      <alignment horizontal="center" vertical="center" wrapText="1"/>
    </xf>
    <xf numFmtId="14" fontId="55" fillId="0" borderId="121" xfId="0" applyNumberFormat="1" applyFont="1" applyBorder="1" applyAlignment="1">
      <alignment horizontal="center" vertical="center" wrapText="1"/>
    </xf>
    <xf numFmtId="14" fontId="55" fillId="0" borderId="195" xfId="0" applyNumberFormat="1" applyFont="1" applyBorder="1" applyAlignment="1">
      <alignment horizontal="center" vertical="center" wrapText="1"/>
    </xf>
    <xf numFmtId="0" fontId="57" fillId="113" borderId="20" xfId="0" applyFont="1" applyFill="1" applyBorder="1" applyAlignment="1">
      <alignment horizontal="center" vertical="center"/>
    </xf>
    <xf numFmtId="0" fontId="57" fillId="113" borderId="100" xfId="0" applyFont="1" applyFill="1" applyBorder="1" applyAlignment="1">
      <alignment horizontal="center" vertical="center"/>
    </xf>
    <xf numFmtId="14" fontId="55" fillId="0" borderId="6" xfId="0" applyNumberFormat="1" applyFont="1" applyBorder="1" applyAlignment="1">
      <alignment horizontal="center" vertical="center" wrapText="1"/>
    </xf>
    <xf numFmtId="14" fontId="55" fillId="0" borderId="8" xfId="0" applyNumberFormat="1" applyFont="1" applyBorder="1" applyAlignment="1">
      <alignment horizontal="center" vertical="center" wrapText="1"/>
    </xf>
    <xf numFmtId="0" fontId="57" fillId="113" borderId="21" xfId="0" applyFont="1" applyFill="1" applyBorder="1" applyAlignment="1">
      <alignment horizontal="center" vertical="center"/>
    </xf>
    <xf numFmtId="0" fontId="57" fillId="113" borderId="54" xfId="0" applyFont="1" applyFill="1" applyBorder="1" applyAlignment="1">
      <alignment horizontal="center" vertical="center"/>
    </xf>
    <xf numFmtId="0" fontId="57" fillId="113" borderId="118" xfId="0" applyFont="1" applyFill="1" applyBorder="1" applyAlignment="1">
      <alignment horizontal="center" vertical="center"/>
    </xf>
    <xf numFmtId="0" fontId="57" fillId="113" borderId="74" xfId="4" applyFont="1" applyFill="1" applyBorder="1" applyAlignment="1">
      <alignment horizontal="center" vertical="center"/>
    </xf>
    <xf numFmtId="0" fontId="66" fillId="0" borderId="35" xfId="0" applyFont="1" applyBorder="1" applyAlignment="1">
      <alignment horizontal="center"/>
    </xf>
    <xf numFmtId="0" fontId="66" fillId="0" borderId="36" xfId="0" applyFont="1" applyBorder="1" applyAlignment="1">
      <alignment horizontal="center"/>
    </xf>
    <xf numFmtId="0" fontId="66" fillId="0" borderId="37" xfId="0" applyFont="1" applyBorder="1" applyAlignment="1">
      <alignment horizontal="center"/>
    </xf>
    <xf numFmtId="0" fontId="57" fillId="113" borderId="20" xfId="0" applyFont="1" applyFill="1" applyBorder="1" applyAlignment="1">
      <alignment horizontal="center" vertical="center" wrapText="1"/>
    </xf>
    <xf numFmtId="0" fontId="57" fillId="113" borderId="33" xfId="0" applyFont="1" applyFill="1" applyBorder="1" applyAlignment="1">
      <alignment horizontal="center" vertical="center" wrapText="1"/>
    </xf>
    <xf numFmtId="0" fontId="75" fillId="161" borderId="20" xfId="0" applyFont="1" applyFill="1" applyBorder="1" applyAlignment="1">
      <alignment horizontal="center" vertical="center"/>
    </xf>
    <xf numFmtId="0" fontId="75" fillId="161" borderId="100" xfId="0" applyFont="1" applyFill="1" applyBorder="1" applyAlignment="1">
      <alignment horizontal="center" vertical="center"/>
    </xf>
    <xf numFmtId="0" fontId="75" fillId="161" borderId="182" xfId="0" applyFont="1" applyFill="1" applyBorder="1" applyAlignment="1">
      <alignment horizontal="center" vertical="center"/>
    </xf>
    <xf numFmtId="0" fontId="75" fillId="161" borderId="183" xfId="0" applyFont="1" applyFill="1" applyBorder="1" applyAlignment="1">
      <alignment horizontal="center" vertical="center"/>
    </xf>
    <xf numFmtId="0" fontId="75" fillId="161" borderId="180" xfId="0" applyFont="1" applyFill="1" applyBorder="1" applyAlignment="1">
      <alignment horizontal="center" vertical="center"/>
    </xf>
    <xf numFmtId="0" fontId="75" fillId="161" borderId="181" xfId="0" applyFont="1" applyFill="1" applyBorder="1" applyAlignment="1">
      <alignment horizontal="center" vertical="center"/>
    </xf>
    <xf numFmtId="0" fontId="57" fillId="113" borderId="20" xfId="0" applyFont="1" applyFill="1" applyBorder="1" applyAlignment="1">
      <alignment horizontal="center"/>
    </xf>
    <xf numFmtId="0" fontId="57" fillId="113" borderId="100" xfId="0" applyFont="1" applyFill="1" applyBorder="1" applyAlignment="1">
      <alignment horizontal="center"/>
    </xf>
    <xf numFmtId="0" fontId="57" fillId="113" borderId="35" xfId="0" applyFont="1" applyFill="1" applyBorder="1" applyAlignment="1">
      <alignment horizontal="center"/>
    </xf>
    <xf numFmtId="0" fontId="57" fillId="113" borderId="37" xfId="0" applyFont="1" applyFill="1" applyBorder="1" applyAlignment="1">
      <alignment horizontal="center"/>
    </xf>
    <xf numFmtId="0" fontId="57" fillId="113" borderId="198" xfId="4" applyFont="1" applyFill="1" applyBorder="1" applyAlignment="1">
      <alignment horizontal="center" vertical="center"/>
    </xf>
    <xf numFmtId="0" fontId="57" fillId="113" borderId="173" xfId="4" applyFont="1" applyFill="1" applyBorder="1" applyAlignment="1">
      <alignment horizontal="center" vertical="center"/>
    </xf>
    <xf numFmtId="0" fontId="57" fillId="113" borderId="197" xfId="4" applyFont="1" applyFill="1" applyBorder="1" applyAlignment="1">
      <alignment horizontal="center" vertical="center"/>
    </xf>
    <xf numFmtId="0" fontId="57" fillId="113" borderId="198" xfId="0" applyFont="1" applyFill="1" applyBorder="1" applyAlignment="1">
      <alignment horizontal="center" vertical="center" wrapText="1"/>
    </xf>
    <xf numFmtId="0" fontId="57" fillId="113" borderId="197" xfId="0" applyFont="1" applyFill="1" applyBorder="1" applyAlignment="1">
      <alignment horizontal="center" vertical="center" wrapText="1"/>
    </xf>
    <xf numFmtId="0" fontId="58" fillId="113" borderId="85" xfId="0" applyFont="1" applyFill="1" applyBorder="1" applyAlignment="1">
      <alignment horizontal="center" vertical="center" wrapText="1"/>
    </xf>
    <xf numFmtId="0" fontId="58" fillId="113" borderId="55" xfId="0" applyFont="1" applyFill="1" applyBorder="1" applyAlignment="1">
      <alignment horizontal="center" vertical="center" wrapText="1"/>
    </xf>
    <xf numFmtId="0" fontId="57" fillId="113" borderId="83" xfId="0" applyFont="1" applyFill="1" applyBorder="1" applyAlignment="1">
      <alignment horizontal="center" vertical="center" wrapText="1"/>
    </xf>
    <xf numFmtId="0" fontId="57" fillId="113" borderId="84" xfId="0" applyFont="1" applyFill="1" applyBorder="1" applyAlignment="1">
      <alignment horizontal="center" vertical="center" wrapText="1"/>
    </xf>
    <xf numFmtId="0" fontId="57" fillId="113" borderId="76" xfId="0" applyFont="1" applyFill="1" applyBorder="1" applyAlignment="1">
      <alignment horizontal="center" vertical="center" wrapText="1"/>
    </xf>
    <xf numFmtId="0" fontId="57" fillId="113" borderId="71" xfId="0" applyFont="1" applyFill="1" applyBorder="1" applyAlignment="1">
      <alignment horizontal="center" vertical="center" wrapText="1"/>
    </xf>
    <xf numFmtId="0" fontId="81" fillId="0" borderId="72" xfId="0" applyFont="1" applyBorder="1" applyAlignment="1">
      <alignment horizontal="center" vertical="center"/>
    </xf>
    <xf numFmtId="0" fontId="55" fillId="0" borderId="162" xfId="0" applyFont="1" applyBorder="1" applyAlignment="1">
      <alignment horizontal="center"/>
    </xf>
    <xf numFmtId="0" fontId="6" fillId="113" borderId="119" xfId="0" applyFont="1" applyFill="1" applyBorder="1" applyAlignment="1">
      <alignment horizontal="center"/>
    </xf>
    <xf numFmtId="0" fontId="21" fillId="113" borderId="119" xfId="0" applyFont="1" applyFill="1" applyBorder="1" applyAlignment="1">
      <alignment horizontal="center"/>
    </xf>
    <xf numFmtId="14" fontId="0" fillId="0" borderId="119" xfId="0" applyNumberFormat="1" applyBorder="1" applyAlignment="1">
      <alignment horizontal="center" vertical="center"/>
    </xf>
    <xf numFmtId="0" fontId="6" fillId="113" borderId="198" xfId="0" applyFont="1" applyFill="1" applyBorder="1" applyAlignment="1">
      <alignment horizontal="center"/>
    </xf>
    <xf numFmtId="0" fontId="6" fillId="113" borderId="173" xfId="0" applyFont="1" applyFill="1" applyBorder="1" applyAlignment="1">
      <alignment horizontal="center"/>
    </xf>
    <xf numFmtId="0" fontId="6" fillId="113" borderId="197" xfId="0" applyFont="1" applyFill="1" applyBorder="1" applyAlignment="1">
      <alignment horizontal="center"/>
    </xf>
    <xf numFmtId="0" fontId="6" fillId="113" borderId="119" xfId="0" applyFont="1" applyFill="1" applyBorder="1" applyAlignment="1">
      <alignment horizontal="center" vertical="center"/>
    </xf>
    <xf numFmtId="0" fontId="6" fillId="113" borderId="198" xfId="0" applyFont="1" applyFill="1" applyBorder="1" applyAlignment="1">
      <alignment horizontal="center" vertical="center"/>
    </xf>
    <xf numFmtId="0" fontId="6" fillId="113" borderId="197" xfId="0" applyFont="1" applyFill="1" applyBorder="1" applyAlignment="1">
      <alignment horizontal="center" vertical="center"/>
    </xf>
    <xf numFmtId="0" fontId="190" fillId="113" borderId="0" xfId="0" applyFont="1" applyFill="1" applyAlignment="1">
      <alignment horizontal="center"/>
    </xf>
    <xf numFmtId="14" fontId="0" fillId="0" borderId="119" xfId="0" applyNumberFormat="1" applyBorder="1" applyAlignment="1">
      <alignment horizontal="center"/>
    </xf>
    <xf numFmtId="14" fontId="0" fillId="0" borderId="120" xfId="0" applyNumberFormat="1" applyBorder="1" applyAlignment="1">
      <alignment horizontal="center"/>
    </xf>
    <xf numFmtId="14" fontId="0" fillId="0" borderId="27" xfId="0" applyNumberFormat="1" applyBorder="1" applyAlignment="1">
      <alignment horizontal="center"/>
    </xf>
    <xf numFmtId="0" fontId="0" fillId="0" borderId="119" xfId="0" applyBorder="1" applyAlignment="1">
      <alignment horizontal="center"/>
    </xf>
    <xf numFmtId="0" fontId="6" fillId="113" borderId="23" xfId="0" applyFont="1" applyFill="1" applyBorder="1" applyAlignment="1">
      <alignment horizontal="center"/>
    </xf>
    <xf numFmtId="0" fontId="6" fillId="113" borderId="162" xfId="0" applyFont="1" applyFill="1" applyBorder="1" applyAlignment="1">
      <alignment horizontal="center"/>
    </xf>
    <xf numFmtId="0" fontId="0" fillId="0" borderId="173" xfId="0" applyBorder="1" applyAlignment="1">
      <alignment horizontal="center"/>
    </xf>
    <xf numFmtId="0" fontId="0" fillId="0" borderId="0" xfId="0" applyAlignment="1">
      <alignment horizontal="center"/>
    </xf>
    <xf numFmtId="0" fontId="6" fillId="113" borderId="56" xfId="0" applyFont="1" applyFill="1" applyBorder="1" applyAlignment="1">
      <alignment horizontal="center"/>
    </xf>
    <xf numFmtId="0" fontId="6" fillId="113" borderId="0" xfId="0" applyFont="1" applyFill="1" applyAlignment="1">
      <alignment horizontal="center"/>
    </xf>
    <xf numFmtId="0" fontId="6" fillId="113" borderId="187" xfId="0" applyFont="1" applyFill="1" applyBorder="1" applyAlignment="1">
      <alignment horizontal="center"/>
    </xf>
    <xf numFmtId="0" fontId="23" fillId="0" borderId="0" xfId="0" applyFont="1" applyAlignment="1">
      <alignment horizontal="left" vertical="center"/>
    </xf>
    <xf numFmtId="0" fontId="57" fillId="113" borderId="119" xfId="0" applyFont="1" applyFill="1" applyBorder="1" applyAlignment="1">
      <alignment horizontal="center"/>
    </xf>
    <xf numFmtId="0" fontId="57" fillId="113" borderId="162" xfId="0" applyFont="1" applyFill="1" applyBorder="1" applyAlignment="1">
      <alignment horizontal="center"/>
    </xf>
    <xf numFmtId="0" fontId="55" fillId="0" borderId="119" xfId="0" applyFont="1" applyBorder="1" applyAlignment="1">
      <alignment horizontal="center"/>
    </xf>
    <xf numFmtId="0" fontId="6" fillId="171" borderId="119" xfId="0" applyFont="1" applyFill="1" applyBorder="1" applyAlignment="1">
      <alignment horizontal="center" vertical="center"/>
    </xf>
    <xf numFmtId="0" fontId="6" fillId="171" borderId="198" xfId="0" applyFont="1" applyFill="1" applyBorder="1" applyAlignment="1">
      <alignment horizontal="center" vertical="center"/>
    </xf>
    <xf numFmtId="0" fontId="6" fillId="171" borderId="197" xfId="0" applyFont="1" applyFill="1" applyBorder="1" applyAlignment="1">
      <alignment horizontal="center" vertical="center"/>
    </xf>
    <xf numFmtId="0" fontId="194" fillId="0" borderId="25" xfId="0" applyFont="1" applyBorder="1" applyAlignment="1">
      <alignment horizontal="center" vertical="center" wrapText="1"/>
    </xf>
    <xf numFmtId="0" fontId="194" fillId="0" borderId="115" xfId="0" applyFont="1" applyBorder="1" applyAlignment="1">
      <alignment horizontal="center" vertical="center" wrapText="1"/>
    </xf>
    <xf numFmtId="0" fontId="194" fillId="0" borderId="113" xfId="0" applyFont="1" applyBorder="1" applyAlignment="1">
      <alignment horizontal="center" vertical="center" wrapText="1"/>
    </xf>
    <xf numFmtId="0" fontId="7" fillId="166" borderId="119" xfId="0" applyFont="1" applyFill="1" applyBorder="1" applyAlignment="1">
      <alignment horizontal="center" vertical="center"/>
    </xf>
    <xf numFmtId="0" fontId="7" fillId="166" borderId="120" xfId="0" applyFont="1" applyFill="1" applyBorder="1" applyAlignment="1">
      <alignment horizontal="center" vertical="center"/>
    </xf>
    <xf numFmtId="0" fontId="67" fillId="3" borderId="0" xfId="0" applyFont="1" applyFill="1" applyAlignment="1">
      <alignment horizontal="center" vertical="center"/>
    </xf>
    <xf numFmtId="0" fontId="67" fillId="3" borderId="3" xfId="0" applyFont="1" applyFill="1" applyBorder="1" applyAlignment="1">
      <alignment horizontal="center" vertical="center"/>
    </xf>
    <xf numFmtId="0" fontId="67" fillId="3" borderId="101" xfId="0" applyFont="1" applyFill="1" applyBorder="1" applyAlignment="1">
      <alignment horizontal="center" vertical="center"/>
    </xf>
    <xf numFmtId="1" fontId="61" fillId="0" borderId="119" xfId="0" applyNumberFormat="1" applyFont="1" applyBorder="1" applyAlignment="1">
      <alignment horizontal="center" vertical="center"/>
    </xf>
    <xf numFmtId="1" fontId="66" fillId="0" borderId="119" xfId="1" applyNumberFormat="1" applyFont="1" applyBorder="1" applyAlignment="1">
      <alignment horizontal="center" vertical="center"/>
    </xf>
    <xf numFmtId="166" fontId="55" fillId="0" borderId="198" xfId="0" applyNumberFormat="1" applyFont="1" applyBorder="1" applyAlignment="1">
      <alignment horizontal="center" vertical="center"/>
    </xf>
    <xf numFmtId="166" fontId="55" fillId="0" borderId="120" xfId="0" applyNumberFormat="1" applyFont="1" applyBorder="1" applyAlignment="1">
      <alignment horizontal="center" vertical="center"/>
    </xf>
    <xf numFmtId="166" fontId="55" fillId="162" borderId="27" xfId="0" applyNumberFormat="1" applyFont="1" applyFill="1" applyBorder="1" applyAlignment="1">
      <alignment horizontal="center" vertical="center"/>
    </xf>
    <xf numFmtId="2" fontId="55" fillId="168" borderId="0" xfId="0" applyNumberFormat="1" applyFont="1" applyFill="1" applyBorder="1" applyAlignment="1">
      <alignment horizontal="center" vertical="center"/>
    </xf>
    <xf numFmtId="0" fontId="57" fillId="113" borderId="6" xfId="0" applyFont="1" applyFill="1" applyBorder="1" applyAlignment="1">
      <alignment horizontal="center" vertical="center"/>
    </xf>
    <xf numFmtId="2" fontId="55" fillId="3" borderId="115" xfId="0" applyNumberFormat="1" applyFont="1" applyFill="1" applyBorder="1" applyAlignment="1">
      <alignment horizontal="center" vertical="center"/>
    </xf>
    <xf numFmtId="2" fontId="55" fillId="3" borderId="101" xfId="0" applyNumberFormat="1" applyFont="1" applyFill="1" applyBorder="1" applyAlignment="1">
      <alignment horizontal="center" vertical="center"/>
    </xf>
    <xf numFmtId="2" fontId="55" fillId="3" borderId="113" xfId="0" applyNumberFormat="1" applyFont="1" applyFill="1" applyBorder="1" applyAlignment="1">
      <alignment horizontal="center" vertical="center"/>
    </xf>
    <xf numFmtId="2" fontId="55" fillId="3" borderId="33" xfId="0" applyNumberFormat="1" applyFont="1" applyFill="1" applyBorder="1" applyAlignment="1">
      <alignment horizontal="center" vertical="center"/>
    </xf>
    <xf numFmtId="2" fontId="69" fillId="3" borderId="115" xfId="0" applyNumberFormat="1" applyFont="1" applyFill="1" applyBorder="1" applyAlignment="1">
      <alignment horizontal="center" vertical="center"/>
    </xf>
    <xf numFmtId="0" fontId="69" fillId="3" borderId="0" xfId="0" applyFont="1" applyFill="1" applyAlignment="1">
      <alignment horizontal="center" vertical="center"/>
    </xf>
    <xf numFmtId="0" fontId="55" fillId="3" borderId="0" xfId="0" applyFont="1" applyFill="1" applyBorder="1" applyAlignment="1">
      <alignment horizontal="center" vertical="center"/>
    </xf>
    <xf numFmtId="0" fontId="57" fillId="113" borderId="192" xfId="0" applyFont="1" applyFill="1" applyBorder="1" applyAlignment="1">
      <alignment horizontal="center" vertical="center"/>
    </xf>
    <xf numFmtId="2" fontId="55" fillId="3" borderId="0" xfId="0" applyNumberFormat="1" applyFont="1" applyFill="1" applyBorder="1" applyAlignment="1">
      <alignment horizontal="center" vertical="center"/>
    </xf>
    <xf numFmtId="0" fontId="55" fillId="3" borderId="20" xfId="0" applyFont="1" applyFill="1" applyBorder="1" applyAlignment="1">
      <alignment horizontal="center" vertical="center"/>
    </xf>
    <xf numFmtId="2" fontId="69" fillId="3" borderId="3" xfId="0" applyNumberFormat="1" applyFont="1" applyFill="1" applyBorder="1" applyAlignment="1">
      <alignment horizontal="center" vertical="center"/>
    </xf>
    <xf numFmtId="2" fontId="55" fillId="3" borderId="72" xfId="0" applyNumberFormat="1" applyFont="1" applyFill="1" applyBorder="1"/>
    <xf numFmtId="0" fontId="21" fillId="113" borderId="20" xfId="0" applyFont="1" applyFill="1" applyBorder="1"/>
    <xf numFmtId="0" fontId="21" fillId="113" borderId="100" xfId="0" applyFont="1" applyFill="1" applyBorder="1"/>
    <xf numFmtId="0" fontId="0" fillId="3" borderId="101" xfId="0" applyFill="1" applyBorder="1"/>
    <xf numFmtId="0" fontId="0" fillId="3" borderId="3" xfId="0" applyFill="1" applyBorder="1"/>
    <xf numFmtId="0" fontId="0" fillId="3" borderId="33" xfId="0" applyFill="1" applyBorder="1"/>
    <xf numFmtId="0" fontId="0" fillId="3" borderId="34" xfId="0" applyFill="1" applyBorder="1"/>
    <xf numFmtId="0" fontId="0" fillId="3" borderId="0" xfId="0" applyFill="1" applyBorder="1"/>
  </cellXfs>
  <cellStyles count="15717">
    <cellStyle name="_Amortización CB Ago-2009" xfId="1668" xr:uid="{15437A3E-B213-4726-9C9A-67F1F3F91E86}"/>
    <cellStyle name="_Column1" xfId="1669" xr:uid="{F7345F77-2CEB-4D3E-8EFC-F3486C72F7F2}"/>
    <cellStyle name="_Data" xfId="1670" xr:uid="{71AB23B6-FA1E-4300-946F-36E6AAFCD98E}"/>
    <cellStyle name="_Modelo predicción precios vs04" xfId="1671" xr:uid="{363F1E03-3109-45C8-AF1E-2C6D67824560}"/>
    <cellStyle name="_Plan minero CB2009" xfId="1672" xr:uid="{6390F434-D961-467C-AD55-608110965F92}"/>
    <cellStyle name="_Row1" xfId="1673" xr:uid="{387335F5-0856-4772-A73C-A3C67DB60C39}"/>
    <cellStyle name="_Row2" xfId="1674" xr:uid="{F473C920-2128-47CD-8995-A02B8888AEF1}"/>
    <cellStyle name="20% - Accent1" xfId="388" xr:uid="{1CB40DF8-808F-4A44-91FE-7B664072D39A}"/>
    <cellStyle name="20% - Accent1 2" xfId="1462" xr:uid="{C0E0F433-C34B-4CED-B3D7-87CB62152CF4}"/>
    <cellStyle name="20% - Accent1 2 2" xfId="1570" xr:uid="{539DCAF4-08C6-4535-A9F6-536EE897577D}"/>
    <cellStyle name="20% - Accent2" xfId="389" xr:uid="{6C7D3D41-5C4D-45DB-AE2C-BD25AC6156DD}"/>
    <cellStyle name="20% - Accent2 2" xfId="1463" xr:uid="{18B382D5-EB9A-4080-A440-9FCA79AEE18E}"/>
    <cellStyle name="20% - Accent2 2 2" xfId="1571" xr:uid="{2E57FD1B-0E68-49EB-8352-5AADA06C5B79}"/>
    <cellStyle name="20% - Accent3" xfId="390" xr:uid="{E50AAAB1-C0DE-48E3-BA58-0A12CB7FD830}"/>
    <cellStyle name="20% - Accent3 2" xfId="1464" xr:uid="{79EBAE37-17DF-4E00-A549-765F66FCF1EC}"/>
    <cellStyle name="20% - Accent3 2 2" xfId="1572" xr:uid="{33DDB774-F88C-4B1A-8956-D15D8DBE53B6}"/>
    <cellStyle name="20% - Accent4" xfId="391" xr:uid="{86EBA85D-C594-49FA-9402-880F39AB41EC}"/>
    <cellStyle name="20% - Accent4 2" xfId="1465" xr:uid="{33C1EB03-8395-4267-99A1-F106D70277C2}"/>
    <cellStyle name="20% - Accent4 2 2" xfId="1573" xr:uid="{08C37737-229B-4339-879F-018597950FB7}"/>
    <cellStyle name="20% - Accent5" xfId="392" xr:uid="{FC0D89E5-04DB-4728-8F11-F25B397790CF}"/>
    <cellStyle name="20% - Accent5 2" xfId="1466" xr:uid="{1BA52F5D-8FDF-4328-9088-ED4D51D3AD8E}"/>
    <cellStyle name="20% - Accent5 2 2" xfId="1574" xr:uid="{32ACFA13-99C2-4197-AC93-546A37387AEE}"/>
    <cellStyle name="20% - Accent6" xfId="393" xr:uid="{8DA135D7-0FBF-4F13-AAF0-1857DE280265}"/>
    <cellStyle name="20% - Accent6 2" xfId="1467" xr:uid="{ED735CEF-0256-4C94-BD70-9D35933099EE}"/>
    <cellStyle name="20% - Accent6 2 2" xfId="1575" xr:uid="{DDD5BBD1-7F6C-468B-823D-0537651F95F7}"/>
    <cellStyle name="20% - Énfasis1" xfId="24" builtinId="30" customBuiltin="1"/>
    <cellStyle name="20% - Énfasis1 2" xfId="238" xr:uid="{B8D8730F-66AA-4210-9418-F70367039063}"/>
    <cellStyle name="20% - Énfasis1 2 2" xfId="340" xr:uid="{BFE5688F-03BD-4D49-ADE4-8B80B713FB38}"/>
    <cellStyle name="20% - Énfasis1 2 2 2" xfId="4213" xr:uid="{604936A5-B968-486F-B365-1042A321F0E9}"/>
    <cellStyle name="20% - Énfasis1 2 2 3" xfId="1935" xr:uid="{502CA48D-20A6-44AA-876B-EB857CBDDBBF}"/>
    <cellStyle name="20% - Énfasis1 2 3" xfId="305" xr:uid="{D769C9D2-EC06-4032-969A-8907490C156E}"/>
    <cellStyle name="20% - Énfasis1 2 3 2" xfId="1676" xr:uid="{53D0D4E4-5455-4FDA-927E-08B276FFE4E0}"/>
    <cellStyle name="20% - Énfasis1 2 4" xfId="2059" xr:uid="{C831A57C-12EA-48F2-95CD-7327E2301C45}"/>
    <cellStyle name="20% - Énfasis1 3" xfId="1633" xr:uid="{B4A25A64-D918-4472-8BEF-9C77C2C93CDA}"/>
    <cellStyle name="20% - Énfasis1 4" xfId="1675" xr:uid="{1C16E20C-4DE8-4640-9EBC-5ED99DC8CBD3}"/>
    <cellStyle name="20% - Énfasis1 4 2" xfId="4310" xr:uid="{CC000513-DBF0-40B3-BC52-C34AF0EB508F}"/>
    <cellStyle name="20% - Énfasis2" xfId="28" builtinId="34" customBuiltin="1"/>
    <cellStyle name="20% - Énfasis2 2" xfId="239" xr:uid="{DAACED22-BCFD-4C1D-AF85-EB4615AEC5BB}"/>
    <cellStyle name="20% - Énfasis2 2 2" xfId="341" xr:uid="{B14736A7-2BBE-4917-BE61-BEC328FAFEE0}"/>
    <cellStyle name="20% - Énfasis2 2 2 2" xfId="4214" xr:uid="{447B7FA5-E044-4B05-8871-1ECC8063A18D}"/>
    <cellStyle name="20% - Énfasis2 2 2 3" xfId="1936" xr:uid="{40F39955-0298-4785-B50D-AF62E935E8B8}"/>
    <cellStyle name="20% - Énfasis2 2 3" xfId="306" xr:uid="{D56064A6-A323-4B69-84AC-FE953D4A2759}"/>
    <cellStyle name="20% - Énfasis2 2 3 2" xfId="1678" xr:uid="{7957A990-305A-492E-AC00-241EF34C8CE4}"/>
    <cellStyle name="20% - Énfasis2 2 4" xfId="2058" xr:uid="{CBF73A72-60CE-4A40-92CC-7E8E64591FD7}"/>
    <cellStyle name="20% - Énfasis2 3" xfId="1634" xr:uid="{BBC15DFB-8514-4464-8548-C33B6E30EB76}"/>
    <cellStyle name="20% - Énfasis2 4" xfId="1677" xr:uid="{8B80354D-D494-4970-B52E-DB24985E1BC8}"/>
    <cellStyle name="20% - Énfasis2 4 2" xfId="4311" xr:uid="{F19B3DF3-BE02-41A5-B3A6-A71CCFC28F81}"/>
    <cellStyle name="20% - Énfasis3" xfId="32" builtinId="38" customBuiltin="1"/>
    <cellStyle name="20% - Énfasis3 2" xfId="240" xr:uid="{71125B08-3A10-4816-A3BC-DCAE8FDA6B5A}"/>
    <cellStyle name="20% - Énfasis3 2 2" xfId="342" xr:uid="{7BE103F6-4EAD-4852-99D5-88EFB63904F9}"/>
    <cellStyle name="20% - Énfasis3 2 2 2" xfId="4215" xr:uid="{B2C4F12C-0F1B-430F-8E2C-645DD8DC9110}"/>
    <cellStyle name="20% - Énfasis3 2 2 3" xfId="1937" xr:uid="{FAC9CB06-C388-4A70-A3C1-A485D5C1D4F3}"/>
    <cellStyle name="20% - Énfasis3 2 3" xfId="307" xr:uid="{684FA0C2-FD33-4559-9353-BF157896B180}"/>
    <cellStyle name="20% - Énfasis3 2 3 2" xfId="1680" xr:uid="{5231267F-887D-46D1-89E4-8104D544AAAC}"/>
    <cellStyle name="20% - Énfasis3 2 4" xfId="2055" xr:uid="{10742582-B041-46E3-ABF2-6D9DE61EDD12}"/>
    <cellStyle name="20% - Énfasis3 3" xfId="1635" xr:uid="{04E05485-48A7-4B4E-84A0-BDF8FFE8D6DE}"/>
    <cellStyle name="20% - Énfasis3 4" xfId="1679" xr:uid="{3DA388F0-4077-4531-B89D-EC23AF9105A5}"/>
    <cellStyle name="20% - Énfasis3 4 2" xfId="4312" xr:uid="{7CBC8371-61F4-4284-A12C-8B380C0BBE09}"/>
    <cellStyle name="20% - Énfasis4" xfId="36" builtinId="42" customBuiltin="1"/>
    <cellStyle name="20% - Énfasis4 2" xfId="241" xr:uid="{00D3F226-748B-4281-9F78-DCBA067722DE}"/>
    <cellStyle name="20% - Énfasis4 2 2" xfId="343" xr:uid="{22BC0DBE-F22D-4BA2-BD7E-927BD4CE1F41}"/>
    <cellStyle name="20% - Énfasis4 2 2 2" xfId="4216" xr:uid="{5D215A58-7C42-4897-BE70-AD8D03AEF0E3}"/>
    <cellStyle name="20% - Énfasis4 2 2 3" xfId="1938" xr:uid="{C253ED61-9794-43B3-B105-FB16AF5139B8}"/>
    <cellStyle name="20% - Énfasis4 2 3" xfId="308" xr:uid="{32268877-9506-4ADC-A5A2-A516849A71A4}"/>
    <cellStyle name="20% - Énfasis4 2 3 2" xfId="1682" xr:uid="{6851AE92-B863-4EA7-AF47-4A5F23F8BAAD}"/>
    <cellStyle name="20% - Énfasis4 2 4" xfId="2057" xr:uid="{991E6186-11E2-4069-9C5B-9CAB475F0B0D}"/>
    <cellStyle name="20% - Énfasis4 3" xfId="1636" xr:uid="{ECD1D8E5-C9AB-48D0-8989-788D72AF6870}"/>
    <cellStyle name="20% - Énfasis4 4" xfId="1681" xr:uid="{64F4ABA9-C971-44CD-866A-FCC90A3EFBB9}"/>
    <cellStyle name="20% - Énfasis4 4 2" xfId="4313" xr:uid="{0665CBBA-4145-47D5-BB38-745EE664C8E6}"/>
    <cellStyle name="20% - Énfasis5" xfId="40" builtinId="46" customBuiltin="1"/>
    <cellStyle name="20% - Énfasis5 2" xfId="242" xr:uid="{F5E49AE9-D0D4-4882-B0D6-996273873ACF}"/>
    <cellStyle name="20% - Énfasis5 2 2" xfId="344" xr:uid="{51FD33C5-2452-4CAC-BFE4-173EB361A55B}"/>
    <cellStyle name="20% - Énfasis5 2 2 2" xfId="4217" xr:uid="{F8EE963B-FBE9-4820-8000-700F74507EF2}"/>
    <cellStyle name="20% - Énfasis5 2 3" xfId="309" xr:uid="{69244079-D3C9-4F6B-B171-D8D8197E14CB}"/>
    <cellStyle name="20% - Énfasis5 3" xfId="1683" xr:uid="{E76FBB8A-7E66-4A21-8D6E-7FE75EB5C77E}"/>
    <cellStyle name="20% - Énfasis5 3 2" xfId="4285" xr:uid="{5100043C-7525-4672-9BA4-164DD253CCF4}"/>
    <cellStyle name="20% - Énfasis5 4" xfId="4314" xr:uid="{F9A19707-8CEA-4B05-BD15-934C60385E87}"/>
    <cellStyle name="20% - Énfasis6" xfId="44" builtinId="50" customBuiltin="1"/>
    <cellStyle name="20% - Énfasis6 2" xfId="243" xr:uid="{9A8FE551-7A7E-4828-AEE6-33ED862BC2D3}"/>
    <cellStyle name="20% - Énfasis6 2 2" xfId="345" xr:uid="{ED65F13E-FB47-4EAB-91DE-9F6F7C7386EA}"/>
    <cellStyle name="20% - Énfasis6 2 2 2" xfId="4218" xr:uid="{885119AC-DF3C-4BB9-A0B7-5981F7E1EB62}"/>
    <cellStyle name="20% - Énfasis6 2 3" xfId="310" xr:uid="{84F877D4-5BAB-429A-B0B0-250601494487}"/>
    <cellStyle name="20% - Énfasis6 3" xfId="1684" xr:uid="{B3641597-D927-4C9C-A01B-5C4B83C4158B}"/>
    <cellStyle name="20% - Énfasis6 3 2" xfId="4286" xr:uid="{9E88A7B3-F9A6-4E0C-B3BB-5014BBA7B804}"/>
    <cellStyle name="20% - Énfasis6 4" xfId="4315" xr:uid="{56CAE7F4-A201-42F4-9568-0612E421D88D}"/>
    <cellStyle name="20% - アクセント 1" xfId="1685" xr:uid="{17A749A8-48D7-4E98-815A-06BFCA4E0D39}"/>
    <cellStyle name="20% - アクセント 2" xfId="1686" xr:uid="{3C064C63-2593-4014-A620-F3C33DDD7289}"/>
    <cellStyle name="20% - アクセント 3" xfId="1687" xr:uid="{FEE6AEE4-2B74-4DD2-8D10-9ACAC0FEF331}"/>
    <cellStyle name="20% - アクセント 4" xfId="1688" xr:uid="{46311F84-A334-4ED7-8DB4-590C2C1F7A7D}"/>
    <cellStyle name="20% - アクセント 5" xfId="1689" xr:uid="{E22FEE74-2826-4FF9-8FBA-A9396A3467C5}"/>
    <cellStyle name="20% - アクセント 6" xfId="1690" xr:uid="{9DD39C37-5248-46CA-BB5C-44056A7C52A1}"/>
    <cellStyle name="40% - Accent1" xfId="394" xr:uid="{BF4E6B5C-7DA5-4E60-8A44-9891D29F4783}"/>
    <cellStyle name="40% - Accent1 2" xfId="1468" xr:uid="{AEA359AA-A4A3-41C2-8BB7-1471FD30D6A7}"/>
    <cellStyle name="40% - Accent1 2 2" xfId="1576" xr:uid="{D2B8B2A3-E02F-4A14-98C1-D1FDAD8AE4C5}"/>
    <cellStyle name="40% - Accent2" xfId="395" xr:uid="{6CAAAB60-F961-48CC-B3A8-341CBCB4D132}"/>
    <cellStyle name="40% - Accent2 2" xfId="1469" xr:uid="{B8DEE790-D5F9-423F-A21D-D6401BE708F7}"/>
    <cellStyle name="40% - Accent2 2 2" xfId="1577" xr:uid="{77C1009A-2C0E-4B9C-96F8-B15EBE7E3319}"/>
    <cellStyle name="40% - Accent3" xfId="396" xr:uid="{42CF2E3F-DF39-4E94-9CF0-2F2D0654110D}"/>
    <cellStyle name="40% - Accent3 2" xfId="1470" xr:uid="{1A11705C-2070-4716-9DFA-D8303990A7E5}"/>
    <cellStyle name="40% - Accent3 2 2" xfId="1578" xr:uid="{226CCE41-1511-4B14-A8BB-C9155964D244}"/>
    <cellStyle name="40% - Accent4" xfId="397" xr:uid="{B15B3BA5-2AB5-49C1-91FA-BB6C6B6734CB}"/>
    <cellStyle name="40% - Accent4 2" xfId="1471" xr:uid="{B0FA0EEE-4D3E-459A-87E2-055C7D9262F9}"/>
    <cellStyle name="40% - Accent4 2 2" xfId="1579" xr:uid="{9F447AFC-E910-45BA-B9E6-1D74A9B77F95}"/>
    <cellStyle name="40% - Accent5" xfId="398" xr:uid="{5EA8EFD4-07D9-4F77-92A4-58D4640966B6}"/>
    <cellStyle name="40% - Accent5 2" xfId="1472" xr:uid="{ECE479D9-F8EA-4AF6-A8D1-9D333CBB517D}"/>
    <cellStyle name="40% - Accent5 2 2" xfId="1580" xr:uid="{95DAC4A7-EF44-4C09-9DE5-9769DDC7CABF}"/>
    <cellStyle name="40% - Accent6" xfId="399" xr:uid="{8AACD476-8E40-4EC3-812A-475C698BD49B}"/>
    <cellStyle name="40% - Accent6 2" xfId="1473" xr:uid="{122B63E8-32F1-4167-B979-D03B8EE014A9}"/>
    <cellStyle name="40% - Accent6 2 2" xfId="1581" xr:uid="{07C51614-2AD2-461E-92F7-8AB0616DF03D}"/>
    <cellStyle name="40% - Énfasis1" xfId="25" builtinId="31" customBuiltin="1"/>
    <cellStyle name="40% - Énfasis1 2" xfId="244" xr:uid="{894B64E3-169A-4580-B2C1-5F10790AA7BF}"/>
    <cellStyle name="40% - Énfasis1 2 2" xfId="346" xr:uid="{E27DBF1D-5B35-4986-B407-E5847303FC2E}"/>
    <cellStyle name="40% - Énfasis1 2 2 2" xfId="4219" xr:uid="{54130753-3B9A-40F9-85B7-44419DADDA23}"/>
    <cellStyle name="40% - Énfasis1 2 3" xfId="311" xr:uid="{353AD91D-D121-4C64-A358-4028D190C1F6}"/>
    <cellStyle name="40% - Énfasis1 3" xfId="1691" xr:uid="{B77BF48D-AE52-48C3-9EC4-C8D352B4896B}"/>
    <cellStyle name="40% - Énfasis1 3 2" xfId="4287" xr:uid="{977CD1BC-3963-4B62-8D92-730B9B80D705}"/>
    <cellStyle name="40% - Énfasis1 4" xfId="4316" xr:uid="{258614C8-B10E-4256-8888-F44842811F80}"/>
    <cellStyle name="40% - Énfasis2" xfId="29" builtinId="35" customBuiltin="1"/>
    <cellStyle name="40% - Énfasis2 2" xfId="245" xr:uid="{136D36B3-D3FD-4615-8ECE-F088585CEEA8}"/>
    <cellStyle name="40% - Énfasis2 2 2" xfId="347" xr:uid="{F5E6805D-D113-4713-B6A7-BDB0330E6536}"/>
    <cellStyle name="40% - Énfasis2 2 2 2" xfId="4220" xr:uid="{63D5C099-C625-4763-9507-B8BCC34DF898}"/>
    <cellStyle name="40% - Énfasis2 2 3" xfId="312" xr:uid="{B16B193F-8FC8-4A78-B4B1-758686384727}"/>
    <cellStyle name="40% - Énfasis2 3" xfId="1692" xr:uid="{6A99AAEF-8FC6-4954-8B79-FC89D63FBC2B}"/>
    <cellStyle name="40% - Énfasis2 3 2" xfId="4288" xr:uid="{D7BEB101-794C-4D2C-B847-EB30FC41FD94}"/>
    <cellStyle name="40% - Énfasis2 4" xfId="4317" xr:uid="{9E1742EA-0A89-4C2D-BF3F-91146794FB7E}"/>
    <cellStyle name="40% - Énfasis3" xfId="33" builtinId="39" customBuiltin="1"/>
    <cellStyle name="40% - Énfasis3 2" xfId="246" xr:uid="{41C38435-194F-4D81-B12B-37380C95633B}"/>
    <cellStyle name="40% - Énfasis3 2 2" xfId="348" xr:uid="{DFEE8E18-3120-403F-B5AC-DCA60DAF4D00}"/>
    <cellStyle name="40% - Énfasis3 2 2 2" xfId="4221" xr:uid="{6DA8D442-BF4E-4AE0-AD1D-A52FBCEB1FF7}"/>
    <cellStyle name="40% - Énfasis3 2 2 3" xfId="1939" xr:uid="{91398520-F42A-4C70-AC49-C2E893D16076}"/>
    <cellStyle name="40% - Énfasis3 2 3" xfId="313" xr:uid="{EB12DDAE-4E76-4EC3-B2C6-E7FA670148D0}"/>
    <cellStyle name="40% - Énfasis3 2 3 2" xfId="1694" xr:uid="{F9E494C9-2A9D-40B7-AD97-63C882A4A84B}"/>
    <cellStyle name="40% - Énfasis3 2 4" xfId="2067" xr:uid="{3AEC6B9F-E44B-4261-9830-BB5BB5BE7BB9}"/>
    <cellStyle name="40% - Énfasis3 3" xfId="1637" xr:uid="{C24ED6D0-FBE7-4203-B826-C7A6BE46E74F}"/>
    <cellStyle name="40% - Énfasis3 4" xfId="1693" xr:uid="{8A6BDF61-B045-44FB-9F9B-3FE12A4ADDF2}"/>
    <cellStyle name="40% - Énfasis3 4 2" xfId="4318" xr:uid="{6693A7B7-BC27-4D1E-9E18-097CD22224A8}"/>
    <cellStyle name="40% - Énfasis4" xfId="37" builtinId="43" customBuiltin="1"/>
    <cellStyle name="40% - Énfasis4 2" xfId="247" xr:uid="{30F359F8-90AF-4B87-9BBE-6F42B9BC0E51}"/>
    <cellStyle name="40% - Énfasis4 2 2" xfId="349" xr:uid="{513B35A5-294D-49C4-9B65-4400A0989A9E}"/>
    <cellStyle name="40% - Énfasis4 2 2 2" xfId="4222" xr:uid="{94F8D7EE-C239-4BD4-84BD-5476D2C03C22}"/>
    <cellStyle name="40% - Énfasis4 2 3" xfId="314" xr:uid="{16A620B5-A6E0-406A-BA6B-85FA55239B26}"/>
    <cellStyle name="40% - Énfasis4 3" xfId="1695" xr:uid="{898B3954-7584-4F22-BB8C-F55B60E87575}"/>
    <cellStyle name="40% - Énfasis4 3 2" xfId="4289" xr:uid="{6F8AF8F8-0DA4-4B2C-A4DF-20C18E9B0DEA}"/>
    <cellStyle name="40% - Énfasis4 4" xfId="4319" xr:uid="{04ADE2F3-5E86-4DE2-9A88-322D6689166B}"/>
    <cellStyle name="40% - Énfasis5" xfId="41" builtinId="47" customBuiltin="1"/>
    <cellStyle name="40% - Énfasis5 2" xfId="248" xr:uid="{3A476AFB-AB0D-472D-9BA0-90930BD48106}"/>
    <cellStyle name="40% - Énfasis5 2 2" xfId="350" xr:uid="{D85EA54B-1B55-4286-BC98-A6989D59AACE}"/>
    <cellStyle name="40% - Énfasis5 2 2 2" xfId="4223" xr:uid="{BF8A0E4F-9148-438C-9BB6-E35E673C7358}"/>
    <cellStyle name="40% - Énfasis5 2 3" xfId="315" xr:uid="{0358484B-3F44-4336-AC5F-E11070806E51}"/>
    <cellStyle name="40% - Énfasis5 3" xfId="1696" xr:uid="{8CA32081-6ADE-4981-8D74-63AC97B94EB3}"/>
    <cellStyle name="40% - Énfasis5 3 2" xfId="4290" xr:uid="{53EAA590-5A58-4DE3-B149-3F2516F0B1F6}"/>
    <cellStyle name="40% - Énfasis5 4" xfId="4320" xr:uid="{B3F73073-4161-448E-9810-6496F21C9C86}"/>
    <cellStyle name="40% - Énfasis6" xfId="45" builtinId="51" customBuiltin="1"/>
    <cellStyle name="40% - Énfasis6 2" xfId="249" xr:uid="{5484F90F-9C37-41DB-BB7B-66714966F4A6}"/>
    <cellStyle name="40% - Énfasis6 2 2" xfId="351" xr:uid="{AAAEA78E-5DF7-4322-BA18-53AD52E90D04}"/>
    <cellStyle name="40% - Énfasis6 2 2 2" xfId="4224" xr:uid="{6963302A-C644-4B95-A56E-33CCFC1957FF}"/>
    <cellStyle name="40% - Énfasis6 2 3" xfId="316" xr:uid="{B9DC8CD3-7AC0-446D-B732-8F9FBDA03BE3}"/>
    <cellStyle name="40% - Énfasis6 3" xfId="1697" xr:uid="{8AEAB979-EB29-420A-A8C4-1CF146513FE9}"/>
    <cellStyle name="40% - Énfasis6 3 2" xfId="4291" xr:uid="{D43D41FE-1624-494A-8A2D-CEC37EE8341A}"/>
    <cellStyle name="40% - Énfasis6 4" xfId="4321" xr:uid="{8DA436C4-D316-4D21-BC5F-4DE87AE95C55}"/>
    <cellStyle name="40% - アクセント 1" xfId="1698" xr:uid="{18B62BF4-742D-429B-978D-23ADC7ACD4ED}"/>
    <cellStyle name="40% - アクセント 2" xfId="1699" xr:uid="{4DE197E6-679A-4975-AB8A-52FA39FE4CD5}"/>
    <cellStyle name="40% - アクセント 3" xfId="1700" xr:uid="{76EFF7A9-E6E1-4E2E-8A5D-2A8F9D3BD05F}"/>
    <cellStyle name="40% - アクセント 4" xfId="1701" xr:uid="{6E4B0848-2BF5-4FA0-8BF8-9CAA8C00F9B1}"/>
    <cellStyle name="40% - アクセント 5" xfId="1702" xr:uid="{9A87ADC1-DC04-46D3-BFEC-5DB9E22F6703}"/>
    <cellStyle name="40% - アクセント 6" xfId="1703" xr:uid="{9C9C7F6D-C3C6-4542-A92D-21BF7455674C}"/>
    <cellStyle name="60% - Accent1" xfId="400" xr:uid="{743CA707-CFA9-4E56-A3B5-9FE58FEF79E2}"/>
    <cellStyle name="60% - Accent1 2" xfId="1474" xr:uid="{4602344F-FED2-431D-8DD8-0FCE5EC5CB61}"/>
    <cellStyle name="60% - Accent1 2 2" xfId="1582" xr:uid="{4C8709F3-4436-4F36-BADB-FA25CF840EDD}"/>
    <cellStyle name="60% - Accent2" xfId="401" xr:uid="{EA07F561-264B-4B57-8798-C6E0123A7062}"/>
    <cellStyle name="60% - Accent2 2" xfId="1475" xr:uid="{2A263C4B-3530-4566-9D59-E5A7FEDD2D8B}"/>
    <cellStyle name="60% - Accent2 2 2" xfId="1583" xr:uid="{190D901F-9506-4239-8B77-D0D40BA1477C}"/>
    <cellStyle name="60% - Accent3" xfId="402" xr:uid="{14F8B092-C53C-40A2-97D8-24EEF4532087}"/>
    <cellStyle name="60% - Accent3 2" xfId="1476" xr:uid="{D428678F-9D04-4B49-9D0F-4714D011A082}"/>
    <cellStyle name="60% - Accent3 2 2" xfId="1584" xr:uid="{78C8DF3F-4DE5-4E95-A4F9-D52C99A51B2C}"/>
    <cellStyle name="60% - Accent4" xfId="403" xr:uid="{655F4C2F-F800-4DB0-8C6A-7A3AC0CF3F87}"/>
    <cellStyle name="60% - Accent4 2" xfId="1477" xr:uid="{19415724-4A72-499D-8AB4-7C8B365F829B}"/>
    <cellStyle name="60% - Accent4 2 2" xfId="1585" xr:uid="{9C3F425E-AED6-4B8E-BEC5-91CF3F62C2E3}"/>
    <cellStyle name="60% - Accent5" xfId="404" xr:uid="{A6BBA6E8-A09A-4A27-96BE-A0E5F7325896}"/>
    <cellStyle name="60% - Accent5 2" xfId="1478" xr:uid="{D7C45ECE-F65E-4661-B0FA-DC8475ED55A9}"/>
    <cellStyle name="60% - Accent5 2 2" xfId="1586" xr:uid="{F737B332-D590-455E-8B3A-5558A5708C65}"/>
    <cellStyle name="60% - Accent6" xfId="405" xr:uid="{0AFD28E4-B431-42EC-9572-B1DEB390C665}"/>
    <cellStyle name="60% - Accent6 2" xfId="1479" xr:uid="{4DC6A74B-71E1-42C7-ACDF-8B3033A9BBB9}"/>
    <cellStyle name="60% - Accent6 2 2" xfId="1587" xr:uid="{8408EC31-6A7D-4761-8A08-DE1841551F47}"/>
    <cellStyle name="60% - Énfasis1" xfId="26" builtinId="32" customBuiltin="1"/>
    <cellStyle name="60% - Énfasis1 2" xfId="250" xr:uid="{7C2ED71C-0AA0-4737-BAF3-2C16ACD134F4}"/>
    <cellStyle name="60% - Énfasis1 2 2" xfId="352" xr:uid="{B02D76C7-9C81-4E4B-B706-504379585970}"/>
    <cellStyle name="60% - Énfasis1 2 3" xfId="377" xr:uid="{A1B9FD87-582D-44A8-ADDF-2B21DD12E603}"/>
    <cellStyle name="60% - Énfasis1 2 3 2" xfId="4225" xr:uid="{8EDDB074-FDC8-4531-B7C9-65737AE17586}"/>
    <cellStyle name="60% - Énfasis1 2 4" xfId="317" xr:uid="{BF5BEAAE-2210-4C69-9FE1-B4ADFCF6F34F}"/>
    <cellStyle name="60% - Énfasis1 2 4 2" xfId="2048" xr:uid="{2AF5013E-3328-4EAD-94DB-0459836FBDE7}"/>
    <cellStyle name="60% - Énfasis1 3" xfId="1704" xr:uid="{BD46B19E-FB17-404A-9DDC-C1FF7E46877A}"/>
    <cellStyle name="60% - Énfasis1 3 2" xfId="2077" xr:uid="{CAECC5A2-BDCA-4F1E-B02E-039E087242A4}"/>
    <cellStyle name="60% - Énfasis2" xfId="30" builtinId="36" customBuiltin="1"/>
    <cellStyle name="60% - Énfasis2 2" xfId="251" xr:uid="{51EE618A-3353-447B-9AB9-CBDC5F31F8BB}"/>
    <cellStyle name="60% - Énfasis2 2 2" xfId="353" xr:uid="{7A4794BD-144D-424C-BF21-0809746D618B}"/>
    <cellStyle name="60% - Énfasis2 2 3" xfId="378" xr:uid="{F943C326-8FAA-4AC9-9EFD-2E27479BD92E}"/>
    <cellStyle name="60% - Énfasis2 2 3 2" xfId="4226" xr:uid="{4D635A81-D91C-4DA5-87C5-15C488ECC8AD}"/>
    <cellStyle name="60% - Énfasis2 2 4" xfId="318" xr:uid="{2CD80A62-956F-43AB-8DF1-CD7328EDB660}"/>
    <cellStyle name="60% - Énfasis2 2 4 2" xfId="2049" xr:uid="{5F22C89A-02BA-4B49-913D-6E647BF6C24F}"/>
    <cellStyle name="60% - Énfasis2 3" xfId="1705" xr:uid="{8967EE99-7DCC-4D40-9623-AA3CBE0B673B}"/>
    <cellStyle name="60% - Énfasis2 3 2" xfId="2078" xr:uid="{4D0CD887-E4DB-4511-88AD-BD5E34DD3E57}"/>
    <cellStyle name="60% - Énfasis3" xfId="34" builtinId="40" customBuiltin="1"/>
    <cellStyle name="60% - Énfasis3 2" xfId="252" xr:uid="{7EFC972F-0998-476E-A940-C54ECD6C89A9}"/>
    <cellStyle name="60% - Énfasis3 2 2" xfId="354" xr:uid="{3A1FCFD2-A893-4B48-9739-2EEB82DC190F}"/>
    <cellStyle name="60% - Énfasis3 2 2 2" xfId="2064" xr:uid="{B6C4D850-C191-4055-BB0B-8C59ACFE0B60}"/>
    <cellStyle name="60% - Énfasis3 2 2 3" xfId="1940" xr:uid="{547C40EE-9C03-4814-BF6B-449CC4025851}"/>
    <cellStyle name="60% - Énfasis3 2 3" xfId="379" xr:uid="{62BAD8C9-CC96-4C0C-9F8F-06A2B3B18B9E}"/>
    <cellStyle name="60% - Énfasis3 2 3 2" xfId="4227" xr:uid="{B32642A5-B319-4BA5-8F21-E09AA0C22B04}"/>
    <cellStyle name="60% - Énfasis3 2 3 3" xfId="1707" xr:uid="{5AA0EA37-C8A2-4421-8A97-F95D13F19016}"/>
    <cellStyle name="60% - Énfasis3 2 4" xfId="319" xr:uid="{DFC6D2E1-D1D8-4311-9944-6CF27CE48850}"/>
    <cellStyle name="60% - Énfasis3 2 4 2" xfId="2050" xr:uid="{67DAE5DA-FD44-4C99-A641-8BC45A7E4194}"/>
    <cellStyle name="60% - Énfasis3 3" xfId="1638" xr:uid="{93707CEE-2731-4A7E-AF31-05445CBA1CEC}"/>
    <cellStyle name="60% - Énfasis3 4" xfId="1706" xr:uid="{1F15B7B8-2F7E-4B80-ADFB-7D3B2D8DCBBE}"/>
    <cellStyle name="60% - Énfasis4" xfId="38" builtinId="44" customBuiltin="1"/>
    <cellStyle name="60% - Énfasis4 2" xfId="253" xr:uid="{C3961077-4DD6-4386-B24B-D9F77BC998DC}"/>
    <cellStyle name="60% - Énfasis4 2 2" xfId="355" xr:uid="{BDDDEF2C-2816-4FC2-8621-10EB74556694}"/>
    <cellStyle name="60% - Énfasis4 2 2 2" xfId="2061" xr:uid="{1B497FF6-B651-48ED-BF77-1F1DA65AAF83}"/>
    <cellStyle name="60% - Énfasis4 2 2 3" xfId="1941" xr:uid="{128BDABC-BF6F-480D-80BE-3E6DCEB7D5E5}"/>
    <cellStyle name="60% - Énfasis4 2 3" xfId="380" xr:uid="{0CA37F04-B4D9-4A9F-BAA3-75EBDA83EC5D}"/>
    <cellStyle name="60% - Énfasis4 2 3 2" xfId="4228" xr:uid="{0BBBFE5D-B353-4F06-BE2A-CA9BD12EE53B}"/>
    <cellStyle name="60% - Énfasis4 2 3 3" xfId="1709" xr:uid="{5D7F01D7-B395-4ECD-9B44-E449F39CBF67}"/>
    <cellStyle name="60% - Énfasis4 2 4" xfId="320" xr:uid="{1EE7BC40-BE74-4C9C-88E7-4AD0F43A6A28}"/>
    <cellStyle name="60% - Énfasis4 2 4 2" xfId="2051" xr:uid="{2B8E0FC3-19E0-436C-A89B-DB7870C9D962}"/>
    <cellStyle name="60% - Énfasis4 3" xfId="1639" xr:uid="{C12D0BEC-37AA-4045-9F37-FFF9E0D761B7}"/>
    <cellStyle name="60% - Énfasis4 4" xfId="1708" xr:uid="{D7A76FD3-9435-4AE9-A953-A349D65F18DF}"/>
    <cellStyle name="60% - Énfasis5" xfId="42" builtinId="48" customBuiltin="1"/>
    <cellStyle name="60% - Énfasis5 2" xfId="254" xr:uid="{8BDF20AF-1396-4DBE-8B7D-60D690DB67BA}"/>
    <cellStyle name="60% - Énfasis5 2 2" xfId="356" xr:uid="{D2F5CE0D-B6F2-4111-912C-559D7410FAB5}"/>
    <cellStyle name="60% - Énfasis5 2 3" xfId="381" xr:uid="{02E54429-C013-44D5-8DA0-4DDA5DD2694D}"/>
    <cellStyle name="60% - Énfasis5 2 3 2" xfId="4229" xr:uid="{7C99CE26-8EC0-4BC0-B6C7-0E18F5983E57}"/>
    <cellStyle name="60% - Énfasis5 2 4" xfId="321" xr:uid="{34B76B12-7C3D-468E-9432-BDEA3A47322D}"/>
    <cellStyle name="60% - Énfasis5 2 4 2" xfId="2052" xr:uid="{58A4FD85-5323-4F17-9805-928D110C0FEF}"/>
    <cellStyle name="60% - Énfasis5 3" xfId="1710" xr:uid="{2C6C782A-4B95-4E2A-B019-F2C5EBD92465}"/>
    <cellStyle name="60% - Énfasis5 3 2" xfId="2080" xr:uid="{102B8C85-0D4A-4C83-83F9-837CDD793DCF}"/>
    <cellStyle name="60% - Énfasis6" xfId="46" builtinId="52" customBuiltin="1"/>
    <cellStyle name="60% - Énfasis6 2" xfId="255" xr:uid="{D2C15EF5-32C6-4C14-B6DB-EE1B591BD3C1}"/>
    <cellStyle name="60% - Énfasis6 2 2" xfId="357" xr:uid="{8BC8C1CE-B5CB-44D1-8978-830658252D32}"/>
    <cellStyle name="60% - Énfasis6 2 2 2" xfId="2060" xr:uid="{AB8F01AC-30FE-4FD9-A1F0-CA6A5CBC2CD1}"/>
    <cellStyle name="60% - Énfasis6 2 2 3" xfId="1942" xr:uid="{EC881E89-319E-40AF-B83F-D7A16314DD90}"/>
    <cellStyle name="60% - Énfasis6 2 3" xfId="382" xr:uid="{4AF981FC-DB14-4C97-A533-CF0C0DFEB613}"/>
    <cellStyle name="60% - Énfasis6 2 3 2" xfId="4230" xr:uid="{1C381980-5F29-4CC3-8865-707AE1C55A26}"/>
    <cellStyle name="60% - Énfasis6 2 3 3" xfId="1712" xr:uid="{6E7063AD-5A18-4A57-89C2-F7A55E17C60C}"/>
    <cellStyle name="60% - Énfasis6 2 4" xfId="322" xr:uid="{5ECAF10C-6479-43E6-AD53-E9DC62CB9C9A}"/>
    <cellStyle name="60% - Énfasis6 2 4 2" xfId="2053" xr:uid="{CA10814C-02E1-48C2-A005-BB64CF947A38}"/>
    <cellStyle name="60% - Énfasis6 3" xfId="1640" xr:uid="{6891108D-5714-4A6C-A50D-6E10215AD1CF}"/>
    <cellStyle name="60% - Énfasis6 4" xfId="1711" xr:uid="{C5FF8E7A-F405-42CF-8803-C7B287A29B95}"/>
    <cellStyle name="60% - アクセント 1" xfId="1713" xr:uid="{A06778CD-6F88-4BF7-A49F-608604566256}"/>
    <cellStyle name="60% - アクセント 2" xfId="1714" xr:uid="{F923DD54-BAA5-4A03-9507-E92373BD507A}"/>
    <cellStyle name="60% - アクセント 3" xfId="1715" xr:uid="{8762E2A6-C0F9-4F15-99AA-BA6D989D2307}"/>
    <cellStyle name="60% - アクセント 4" xfId="1716" xr:uid="{8C9E833A-692D-4D21-9CD5-F2F0A1B3C5F9}"/>
    <cellStyle name="60% - アクセント 5" xfId="1717" xr:uid="{3F262AC7-2354-4C37-9FD0-0FEE7D4545A4}"/>
    <cellStyle name="60% - アクセント 6" xfId="1718" xr:uid="{C470AFB9-555D-4024-9204-A2BD59D5516C}"/>
    <cellStyle name="8" xfId="1719" xr:uid="{612AEAE9-99BD-4812-9263-AAB43F8F9741}"/>
    <cellStyle name="Accent1" xfId="406" xr:uid="{E7610D60-44BA-454F-94AD-A88CA10DF8FF}"/>
    <cellStyle name="Accent1 2" xfId="1480" xr:uid="{F8F9F7B7-465B-4A97-AFBC-4ECBC016CC89}"/>
    <cellStyle name="Accent1 2 2" xfId="1588" xr:uid="{44229941-C10E-4AB1-850C-D398CAC926FC}"/>
    <cellStyle name="Accent2" xfId="407" xr:uid="{5FF5C6A6-D67D-446F-A455-01257947050F}"/>
    <cellStyle name="Accent2 2" xfId="1481" xr:uid="{E6812E80-8DEC-4CDA-BF87-FE9CFEAA1837}"/>
    <cellStyle name="Accent2 2 2" xfId="1589" xr:uid="{F3B71E29-11E7-4FD2-B5D3-68583CFBAD5D}"/>
    <cellStyle name="Accent3" xfId="408" xr:uid="{1CB21CFC-08B7-4CEE-B851-B54CBC3ED52F}"/>
    <cellStyle name="Accent3 2" xfId="1482" xr:uid="{5007C861-70FD-472C-87A2-23F2CFD618DC}"/>
    <cellStyle name="Accent3 2 2" xfId="1590" xr:uid="{1DFC23CC-BF29-42E2-81BD-9DE967E27A55}"/>
    <cellStyle name="Accent4" xfId="409" xr:uid="{C50D1A93-73DF-4156-949D-B5484BBEC2CD}"/>
    <cellStyle name="Accent4 2" xfId="1483" xr:uid="{26041451-C587-4A36-85C7-2E67E05422E2}"/>
    <cellStyle name="Accent4 2 2" xfId="1591" xr:uid="{E1DAC4C0-301F-4F98-8740-C4BE9C9645DA}"/>
    <cellStyle name="Accent5" xfId="410" xr:uid="{E2975A6C-B84F-4FF1-B1E1-B61B85A7999C}"/>
    <cellStyle name="Accent5 2" xfId="1484" xr:uid="{2C9F32D2-0949-4119-8C8A-DA21CCBC4058}"/>
    <cellStyle name="Accent5 2 2" xfId="1592" xr:uid="{2592E603-4E3D-4653-B117-1CF8076CFC55}"/>
    <cellStyle name="Accent6" xfId="411" xr:uid="{A35EC050-21A7-46D4-A250-DDDC80640A76}"/>
    <cellStyle name="Accent6 2" xfId="1485" xr:uid="{3040CBBB-2897-4262-B9AF-0B28AF245F37}"/>
    <cellStyle name="Accent6 2 2" xfId="1593" xr:uid="{2466FF55-2584-4FE9-B1D7-DEE4896DAF5A}"/>
    <cellStyle name="Bad" xfId="412" xr:uid="{12905D0F-DCD2-4754-B83F-EBA99123FF15}"/>
    <cellStyle name="Bad 2" xfId="1486" xr:uid="{77549381-E654-44DF-9A5F-6DF04B91771C}"/>
    <cellStyle name="Bad 2 2" xfId="1594" xr:uid="{EF228B7B-9F3E-4AFC-AA55-4384B1728855}"/>
    <cellStyle name="bstitutes]_x000d__x000a_; The following mappings take Word for MS-DOS names, PostScript names, and TrueType_x000d__x000a_; names into account" xfId="1720" xr:uid="{F45CA0E6-7416-49CD-94A8-DFC3BD176E27}"/>
    <cellStyle name="Buena" xfId="2046" xr:uid="{A14183D9-AFD2-4154-B989-46DAC6FF6473}"/>
    <cellStyle name="Buena 2" xfId="256" xr:uid="{F29F785D-D302-475A-B488-7E0EDF8A1293}"/>
    <cellStyle name="Buena 2 2" xfId="358" xr:uid="{F2C0C92E-C382-4AC5-8CA5-C40AE12EC70A}"/>
    <cellStyle name="Buena 2 2 2" xfId="4231" xr:uid="{2651FF46-0DAD-4263-900E-7594217476FA}"/>
    <cellStyle name="Buena 2 3" xfId="323" xr:uid="{D31E8CAD-4076-44E4-9860-855E48A9912D}"/>
    <cellStyle name="Bueno" xfId="11" builtinId="26" customBuiltin="1"/>
    <cellStyle name="Cabecera 1" xfId="1721" xr:uid="{4894284D-8D63-4FD5-AE59-6695041D81D2}"/>
    <cellStyle name="Cabecera 2" xfId="1722" xr:uid="{A9517771-AE30-405E-BDFF-4365607C19D1}"/>
    <cellStyle name="Calculation" xfId="413" xr:uid="{E98904F6-F46B-47C3-BB63-31CB8EC862F3}"/>
    <cellStyle name="Calculation 2" xfId="1487" xr:uid="{A8CF1DF5-2856-409E-BDB5-4D5CEF18978D}"/>
    <cellStyle name="Calculation 2 2" xfId="1595" xr:uid="{6798D8F0-B237-4A59-A82A-ED5E6B48CB88}"/>
    <cellStyle name="Calculation 3" xfId="1641" xr:uid="{0B71F6A0-6816-4B51-ADEC-A864848C955A}"/>
    <cellStyle name="Cálculo" xfId="16" builtinId="22" customBuiltin="1"/>
    <cellStyle name="Cálculo 2" xfId="257" xr:uid="{06E96DDE-6283-4853-98B4-5D7D194A6D5F}"/>
    <cellStyle name="Cálculo 2 2" xfId="359" xr:uid="{DD51CBC2-90DE-41BD-A5B2-03EF71E603E5}"/>
    <cellStyle name="Cálculo 2 2 2" xfId="1447" xr:uid="{998976AE-4EF7-429F-9D86-A0D13701346C}"/>
    <cellStyle name="Cálculo 2 2 2 2" xfId="1560" xr:uid="{1C7EE30C-5A4F-4C58-BF90-1D470596CA08}"/>
    <cellStyle name="Cálculo 2 2 2 2 10" xfId="4368" xr:uid="{260D1D2B-17CF-48B6-B344-C3C13A4E2039}"/>
    <cellStyle name="Cálculo 2 2 2 2 10 2" xfId="10328" xr:uid="{9C194160-F4A5-42B9-98DF-EC821D21698D}"/>
    <cellStyle name="Cálculo 2 2 2 2 11" xfId="4421" xr:uid="{13F32C92-6530-41D6-95BD-5DCC8E6C9BC3}"/>
    <cellStyle name="Cálculo 2 2 2 2 11 2" xfId="10367" xr:uid="{1B2A5AC0-9BE8-4C1B-8708-B78785B3C291}"/>
    <cellStyle name="Cálculo 2 2 2 2 12" xfId="5444" xr:uid="{E9A97089-2D67-40FF-A02A-D563E5190F0E}"/>
    <cellStyle name="Cálculo 2 2 2 2 12 2" xfId="11238" xr:uid="{2C83B90A-4270-41D6-8A58-EB2B5C72389C}"/>
    <cellStyle name="Cálculo 2 2 2 2 13" xfId="5612" xr:uid="{3DAFE115-CA8B-4457-A99D-EB6CA4D543C0}"/>
    <cellStyle name="Cálculo 2 2 2 2 13 2" xfId="11340" xr:uid="{A75ECF63-B41F-4F97-853D-38575E86E4D3}"/>
    <cellStyle name="Cálculo 2 2 2 2 14" xfId="5191" xr:uid="{8548323E-67FC-436A-8CE0-F58E0F9D42B7}"/>
    <cellStyle name="Cálculo 2 2 2 2 14 2" xfId="11037" xr:uid="{A9DDA220-11C0-45E9-B0F1-49A268EC6169}"/>
    <cellStyle name="Cálculo 2 2 2 2 15" xfId="6108" xr:uid="{F30A08F8-A7ED-4D41-90D0-855749958C82}"/>
    <cellStyle name="Cálculo 2 2 2 2 15 2" xfId="11820" xr:uid="{2D376592-2A47-4CCF-AEDE-000B326671DB}"/>
    <cellStyle name="Cálculo 2 2 2 2 16" xfId="5229" xr:uid="{4C329A4D-A332-4EBC-BF56-075CC1AE536E}"/>
    <cellStyle name="Cálculo 2 2 2 2 16 2" xfId="11075" xr:uid="{C42AE445-15FA-4A24-B6F6-7E502B9A0CF3}"/>
    <cellStyle name="Cálculo 2 2 2 2 17" xfId="6692" xr:uid="{45DC32FE-1C9E-46AD-AF1F-1C58247E0DBD}"/>
    <cellStyle name="Cálculo 2 2 2 2 17 2" xfId="12396" xr:uid="{8F0BB7BD-98D0-42CE-A92C-B89A8690D6A8}"/>
    <cellStyle name="Cálculo 2 2 2 2 18" xfId="6617" xr:uid="{756B5399-6F79-4533-B2FB-9A929167F862}"/>
    <cellStyle name="Cálculo 2 2 2 2 18 2" xfId="12321" xr:uid="{60931728-7481-4C87-AF7C-DC677BD2CC50}"/>
    <cellStyle name="Cálculo 2 2 2 2 19" xfId="8460" xr:uid="{4E5F685C-1E90-4087-9115-E55B5E6931AB}"/>
    <cellStyle name="Cálculo 2 2 2 2 19 2" xfId="13940" xr:uid="{2D0D4609-5893-4D3E-B41B-65B4A4C15A20}"/>
    <cellStyle name="Cálculo 2 2 2 2 2" xfId="2440" xr:uid="{9853DB71-67E1-432C-B0BA-A63E3239C90A}"/>
    <cellStyle name="Cálculo 2 2 2 2 2 10" xfId="5266" xr:uid="{6CDE1104-61E5-4ED4-B594-060444417463}"/>
    <cellStyle name="Cálculo 2 2 2 2 2 10 2" xfId="11112" xr:uid="{71EE2BE2-40DB-46E9-BF5C-645EC60233FD}"/>
    <cellStyle name="Cálculo 2 2 2 2 2 11" xfId="6313" xr:uid="{72B1BCA7-A8B7-4F22-AA8D-D1EE217B78EB}"/>
    <cellStyle name="Cálculo 2 2 2 2 2 11 2" xfId="12017" xr:uid="{A7842661-1E1C-4A38-90FB-AAEC5AE03FC8}"/>
    <cellStyle name="Cálculo 2 2 2 2 2 12" xfId="8654" xr:uid="{BFC32BEB-17BE-4B61-B857-F4B8BEE7CF7E}"/>
    <cellStyle name="Cálculo 2 2 2 2 2 12 2" xfId="14042" xr:uid="{212ABEEC-5A9F-4A7C-94D1-DFB508837B6B}"/>
    <cellStyle name="Cálculo 2 2 2 2 2 13" xfId="9002" xr:uid="{45151E8C-C694-416D-8F4A-E290C1A67134}"/>
    <cellStyle name="Cálculo 2 2 2 2 2 2" xfId="3028" xr:uid="{2AC63F8E-6D6F-4051-8279-06B3B732DD44}"/>
    <cellStyle name="Cálculo 2 2 2 2 2 2 2" xfId="3968" xr:uid="{5FFF014A-C5EE-4184-A9E0-01E6ED767A64}"/>
    <cellStyle name="Cálculo 2 2 2 2 2 2 2 2" xfId="10082" xr:uid="{46F70A88-F5D6-41F3-86FF-D361E1C35E39}"/>
    <cellStyle name="Cálculo 2 2 2 2 2 2 3" xfId="6939" xr:uid="{139C9C85-8D24-4E51-81B8-973B49AD4EDE}"/>
    <cellStyle name="Cálculo 2 2 2 2 2 2 3 2" xfId="12545" xr:uid="{1120B54D-3F26-4635-90F7-10FE0182DAE9}"/>
    <cellStyle name="Cálculo 2 2 2 2 2 2 4" xfId="7617" xr:uid="{36291D23-B753-4602-8ADD-177931601F93}"/>
    <cellStyle name="Cálculo 2 2 2 2 2 2 4 2" xfId="13189" xr:uid="{866DE948-38C6-466F-B393-82A0D8FF1664}"/>
    <cellStyle name="Cálculo 2 2 2 2 2 2 5" xfId="8110" xr:uid="{34BF50C8-0FA7-4965-9CB4-689775E42A8F}"/>
    <cellStyle name="Cálculo 2 2 2 2 2 2 5 2" xfId="13682" xr:uid="{B0B887C9-7A00-4EAD-B2C5-6D566261DB68}"/>
    <cellStyle name="Cálculo 2 2 2 2 2 2 6" xfId="9362" xr:uid="{233E0138-6074-4CC2-9090-041CD3628BF3}"/>
    <cellStyle name="Cálculo 2 2 2 2 2 3" xfId="3488" xr:uid="{45CE0FC6-3A11-4982-91A8-B85928A2E234}"/>
    <cellStyle name="Cálculo 2 2 2 2 2 3 2" xfId="9722" xr:uid="{277B29F8-5D9C-4063-921B-1DE2977029DC}"/>
    <cellStyle name="Cálculo 2 2 2 2 2 4" xfId="4681" xr:uid="{EF2361E4-C33A-4EE2-AC1E-1BE4B03836B2}"/>
    <cellStyle name="Cálculo 2 2 2 2 2 4 2" xfId="10545" xr:uid="{C248C77C-3F1F-4F02-807D-D5BFB0355E42}"/>
    <cellStyle name="Cálculo 2 2 2 2 2 5" xfId="4920" xr:uid="{E244E368-8B1F-4F1F-B753-7350B2B81F45}"/>
    <cellStyle name="Cálculo 2 2 2 2 2 5 2" xfId="10766" xr:uid="{6145CA63-4C22-4251-B564-8CE84C24742B}"/>
    <cellStyle name="Cálculo 2 2 2 2 2 6" xfId="5076" xr:uid="{AE297054-C7B4-4BE4-B231-58E16E736D64}"/>
    <cellStyle name="Cálculo 2 2 2 2 2 6 2" xfId="10922" xr:uid="{9B1BB97B-A0EA-4F36-985E-EE65D1E5C8E5}"/>
    <cellStyle name="Cálculo 2 2 2 2 2 7" xfId="5846" xr:uid="{AB95BAA6-5718-4EE5-BE99-12BD37CB9D70}"/>
    <cellStyle name="Cálculo 2 2 2 2 2 7 2" xfId="11574" xr:uid="{DF14CCAC-F292-41BC-A9BA-A50FDF3B79F2}"/>
    <cellStyle name="Cálculo 2 2 2 2 2 8" xfId="5189" xr:uid="{39E90F5D-8332-41D9-A0EF-E53712D0B3D6}"/>
    <cellStyle name="Cálculo 2 2 2 2 2 8 2" xfId="11035" xr:uid="{0C2C81BB-6035-43DE-AC4D-21A388E9A092}"/>
    <cellStyle name="Cálculo 2 2 2 2 2 9" xfId="6383" xr:uid="{DF61CD61-D600-460E-B459-3992FCCCC6A5}"/>
    <cellStyle name="Cálculo 2 2 2 2 2 9 2" xfId="12087" xr:uid="{7DDAAD7B-165B-4FCE-9A1D-9A40CD828973}"/>
    <cellStyle name="Cálculo 2 2 2 2 20" xfId="8900" xr:uid="{BFD5C378-D56F-4DAD-9320-1889671F681E}"/>
    <cellStyle name="Cálculo 2 2 2 2 21" xfId="2246" xr:uid="{75449014-CACD-49D9-9373-9077C03C3236}"/>
    <cellStyle name="Cálculo 2 2 2 2 3" xfId="2545" xr:uid="{9010EDB9-6141-4621-BD9C-CC8216968521}"/>
    <cellStyle name="Cálculo 2 2 2 2 3 10" xfId="7237" xr:uid="{95DCDFB7-01B8-4D58-9E08-88B356BF7326}"/>
    <cellStyle name="Cálculo 2 2 2 2 3 10 2" xfId="12809" xr:uid="{35EEA6C0-EDDA-4EED-AD75-85ED06A88391}"/>
    <cellStyle name="Cálculo 2 2 2 2 3 11" xfId="5693" xr:uid="{0C78D697-7D5C-4245-A1E7-BF6F7BD78E63}"/>
    <cellStyle name="Cálculo 2 2 2 2 3 11 2" xfId="11421" xr:uid="{DF49FE01-3749-421C-AA76-AF3034FBC12C}"/>
    <cellStyle name="Cálculo 2 2 2 2 3 12" xfId="8759" xr:uid="{7ABC4569-8A75-492D-91CB-0512BD8D09FF}"/>
    <cellStyle name="Cálculo 2 2 2 2 3 12 2" xfId="14115" xr:uid="{80552900-81C7-4EF2-ABCD-5D138B5925B5}"/>
    <cellStyle name="Cálculo 2 2 2 2 3 13" xfId="9075" xr:uid="{1C2AA814-C443-4844-8F3E-627AD1BE265D}"/>
    <cellStyle name="Cálculo 2 2 2 2 3 2" xfId="3101" xr:uid="{AC648A27-B390-45FA-828D-88E069455549}"/>
    <cellStyle name="Cálculo 2 2 2 2 3 2 2" xfId="4041" xr:uid="{281C6087-039A-41E8-85D8-EC3FBDBB4035}"/>
    <cellStyle name="Cálculo 2 2 2 2 3 2 2 2" xfId="10155" xr:uid="{BC785BA5-7959-4493-80A7-3FF2554E3985}"/>
    <cellStyle name="Cálculo 2 2 2 2 3 2 3" xfId="7012" xr:uid="{8D075AF6-107C-482E-AE4B-7F5B18614509}"/>
    <cellStyle name="Cálculo 2 2 2 2 3 2 3 2" xfId="12618" xr:uid="{92AF933E-11E0-4DA9-9F7E-2A05680918D2}"/>
    <cellStyle name="Cálculo 2 2 2 2 3 2 4" xfId="7690" xr:uid="{9DDAB77F-EB91-4508-8C5D-C715EA35B792}"/>
    <cellStyle name="Cálculo 2 2 2 2 3 2 4 2" xfId="13262" xr:uid="{98514DA1-9C42-4F11-BD9A-99267FEBE41E}"/>
    <cellStyle name="Cálculo 2 2 2 2 3 2 5" xfId="8183" xr:uid="{906B5E3D-8490-4FBF-A1B3-01961377C034}"/>
    <cellStyle name="Cálculo 2 2 2 2 3 2 5 2" xfId="13755" xr:uid="{910A62A3-6874-4347-A05A-5D1D3F2962EC}"/>
    <cellStyle name="Cálculo 2 2 2 2 3 2 6" xfId="9435" xr:uid="{F9B0D315-284A-48A5-B677-3744381ACE11}"/>
    <cellStyle name="Cálculo 2 2 2 2 3 3" xfId="3561" xr:uid="{3A71E12A-26C7-4CE4-AF59-1CEB33840DE6}"/>
    <cellStyle name="Cálculo 2 2 2 2 3 3 2" xfId="9795" xr:uid="{B152CC70-D8B1-4FC6-8541-5CD494C6CF28}"/>
    <cellStyle name="Cálculo 2 2 2 2 3 4" xfId="4758" xr:uid="{9E984568-C8A6-42E5-A08D-68FE2A61DCFE}"/>
    <cellStyle name="Cálculo 2 2 2 2 3 4 2" xfId="10622" xr:uid="{7B9C1191-6D58-492F-A01F-E4A4A15E1BE0}"/>
    <cellStyle name="Cálculo 2 2 2 2 3 5" xfId="5001" xr:uid="{37FEB3B7-3711-47B9-BDB2-34BEE73319FD}"/>
    <cellStyle name="Cálculo 2 2 2 2 3 5 2" xfId="10847" xr:uid="{9248EE17-D0B1-432A-B68E-EB68E7D9EF16}"/>
    <cellStyle name="Cálculo 2 2 2 2 3 6" xfId="5149" xr:uid="{89F1EE40-BACC-462A-ADA4-4B39A868BB42}"/>
    <cellStyle name="Cálculo 2 2 2 2 3 6 2" xfId="10995" xr:uid="{4A17D64A-1456-4602-A4CE-2ADD535EA71B}"/>
    <cellStyle name="Cálculo 2 2 2 2 3 7" xfId="5940" xr:uid="{403F0785-083C-462B-86A6-79184B526786}"/>
    <cellStyle name="Cálculo 2 2 2 2 3 7 2" xfId="11668" xr:uid="{28DA9741-7425-439C-92E7-A2A6141F7FE9}"/>
    <cellStyle name="Cálculo 2 2 2 2 3 8" xfId="6270" xr:uid="{B3B48D94-1DC8-4762-939B-D249D7147CFF}"/>
    <cellStyle name="Cálculo 2 2 2 2 3 8 2" xfId="11974" xr:uid="{96D151E1-E4B1-47BF-AEAC-0AABDC2D0988}"/>
    <cellStyle name="Cálculo 2 2 2 2 3 9" xfId="6472" xr:uid="{E6B93130-4486-403E-BCFC-B9F9821CF441}"/>
    <cellStyle name="Cálculo 2 2 2 2 3 9 2" xfId="12176" xr:uid="{63D80027-CFCA-4866-AA5E-58546A53DDE5}"/>
    <cellStyle name="Cálculo 2 2 2 2 4" xfId="2456" xr:uid="{4677BB46-73B7-4D6B-8D50-CA88DA583C09}"/>
    <cellStyle name="Cálculo 2 2 2 2 4 10" xfId="5980" xr:uid="{5EB85AB0-482B-4897-B6DE-81749F428E9E}"/>
    <cellStyle name="Cálculo 2 2 2 2 4 10 2" xfId="11692" xr:uid="{767C7AED-9518-4665-901A-20FCD936A5B0}"/>
    <cellStyle name="Cálculo 2 2 2 2 4 11" xfId="7294" xr:uid="{6B3FF4FA-C84D-4A4C-9945-7C8F5077E17C}"/>
    <cellStyle name="Cálculo 2 2 2 2 4 11 2" xfId="12866" xr:uid="{7753B063-87D3-4C88-84EF-39E0FD102E84}"/>
    <cellStyle name="Cálculo 2 2 2 2 4 12" xfId="8670" xr:uid="{15E61290-616F-4C43-9A8A-FF30A6C67FD1}"/>
    <cellStyle name="Cálculo 2 2 2 2 4 12 2" xfId="14058" xr:uid="{F43C617C-0D9E-4AD3-B5F3-6F75885FBC4F}"/>
    <cellStyle name="Cálculo 2 2 2 2 4 13" xfId="9018" xr:uid="{F69E4334-B7EC-48F4-8427-131CF588F439}"/>
    <cellStyle name="Cálculo 2 2 2 2 4 2" xfId="3044" xr:uid="{06A82264-AE44-4C0E-A22D-0BF806119261}"/>
    <cellStyle name="Cálculo 2 2 2 2 4 2 2" xfId="3984" xr:uid="{54DB56C5-7D8C-4BED-A55D-9D4A5A567491}"/>
    <cellStyle name="Cálculo 2 2 2 2 4 2 2 2" xfId="10098" xr:uid="{0C2CB4E1-4AAC-4EAE-91DE-F7CC31B82BE8}"/>
    <cellStyle name="Cálculo 2 2 2 2 4 2 3" xfId="6955" xr:uid="{5F58B04D-E542-47AF-B793-8F0D47A14761}"/>
    <cellStyle name="Cálculo 2 2 2 2 4 2 3 2" xfId="12561" xr:uid="{F3C958BA-F77A-432D-8F69-00C0FCC4514C}"/>
    <cellStyle name="Cálculo 2 2 2 2 4 2 4" xfId="7633" xr:uid="{519766E1-79E0-478A-A5ED-9FA9214AFB07}"/>
    <cellStyle name="Cálculo 2 2 2 2 4 2 4 2" xfId="13205" xr:uid="{D49337A7-7EC1-4C78-AD11-BC74A63A79F0}"/>
    <cellStyle name="Cálculo 2 2 2 2 4 2 5" xfId="8126" xr:uid="{D8982134-4777-42EA-A088-295ECB572F5F}"/>
    <cellStyle name="Cálculo 2 2 2 2 4 2 5 2" xfId="13698" xr:uid="{44597D36-1091-44B3-AE9F-8F53BDFD5796}"/>
    <cellStyle name="Cálculo 2 2 2 2 4 2 6" xfId="9378" xr:uid="{02AAEB95-6576-4BCA-90A3-EE6B79680617}"/>
    <cellStyle name="Cálculo 2 2 2 2 4 3" xfId="3504" xr:uid="{CB4ADB84-E125-4E56-BC61-92035010B112}"/>
    <cellStyle name="Cálculo 2 2 2 2 4 3 2" xfId="9738" xr:uid="{0CC4A3D8-FD18-4BEC-B5C1-61C5028DB968}"/>
    <cellStyle name="Cálculo 2 2 2 2 4 4" xfId="4697" xr:uid="{8C26A4E9-31EC-4379-954F-1645D32D07E7}"/>
    <cellStyle name="Cálculo 2 2 2 2 4 4 2" xfId="10561" xr:uid="{00F66D69-7BF1-44ED-A434-8D2C7C9E248E}"/>
    <cellStyle name="Cálculo 2 2 2 2 4 5" xfId="4936" xr:uid="{A44C43F2-ED91-4A3B-A510-5686B67A322A}"/>
    <cellStyle name="Cálculo 2 2 2 2 4 5 2" xfId="10782" xr:uid="{346AA77B-7883-4196-B24E-23D90FC3334C}"/>
    <cellStyle name="Cálculo 2 2 2 2 4 6" xfId="5092" xr:uid="{D21311C2-E520-4DB3-AD3B-5119849D44B1}"/>
    <cellStyle name="Cálculo 2 2 2 2 4 6 2" xfId="10938" xr:uid="{6109BC2F-EAF2-4829-967B-E36444F53A14}"/>
    <cellStyle name="Cálculo 2 2 2 2 4 7" xfId="5862" xr:uid="{B3397DE5-1EEC-4961-A545-CC6CB57CD0E2}"/>
    <cellStyle name="Cálculo 2 2 2 2 4 7 2" xfId="11590" xr:uid="{C0DEA423-362D-47CF-A193-760C2D343CEC}"/>
    <cellStyle name="Cálculo 2 2 2 2 4 8" xfId="6191" xr:uid="{6E413E24-A2CF-41F1-9F4B-E85E8549A89B}"/>
    <cellStyle name="Cálculo 2 2 2 2 4 8 2" xfId="11895" xr:uid="{06BDA895-7ECB-4C7A-9460-F6013A2CAF28}"/>
    <cellStyle name="Cálculo 2 2 2 2 4 9" xfId="6399" xr:uid="{678D8953-A9DC-4AA0-B5BC-1F4832D72A52}"/>
    <cellStyle name="Cálculo 2 2 2 2 4 9 2" xfId="12103" xr:uid="{DD6BB064-5E96-4696-858C-7F62BEC1D76C}"/>
    <cellStyle name="Cálculo 2 2 2 2 5" xfId="2702" xr:uid="{3195F2EB-A53C-4B79-8DFA-A969E65BCF43}"/>
    <cellStyle name="Cálculo 2 2 2 2 5 2" xfId="3166" xr:uid="{8109A21E-DDE4-4B0E-8E0C-916194C373C2}"/>
    <cellStyle name="Cálculo 2 2 2 2 5 2 2" xfId="4124" xr:uid="{345FFC15-547D-4E78-8D44-1AAAF5D4DB5C}"/>
    <cellStyle name="Cálculo 2 2 2 2 5 2 2 2" xfId="10220" xr:uid="{5DE81E81-AFA7-4A68-85B0-46DD8E8106EF}"/>
    <cellStyle name="Cálculo 2 2 2 2 5 2 3" xfId="7095" xr:uid="{044433EA-CF00-4612-87AA-97974E92B3A0}"/>
    <cellStyle name="Cálculo 2 2 2 2 5 2 3 2" xfId="12683" xr:uid="{0A07D830-57FD-4D35-B73B-DAB2747BE873}"/>
    <cellStyle name="Cálculo 2 2 2 2 5 2 4" xfId="7756" xr:uid="{F1E165FD-23C7-4530-85F0-0AD70DAC07CD}"/>
    <cellStyle name="Cálculo 2 2 2 2 5 2 4 2" xfId="13328" xr:uid="{19A87892-368F-4B95-A614-A987539B723A}"/>
    <cellStyle name="Cálculo 2 2 2 2 5 2 5" xfId="8248" xr:uid="{4C019AF9-01DE-4937-A5AD-7A7B1CE1DA9A}"/>
    <cellStyle name="Cálculo 2 2 2 2 5 2 5 2" xfId="13820" xr:uid="{EE63314C-69C4-402F-A53D-A00EB3E5CF2A}"/>
    <cellStyle name="Cálculo 2 2 2 2 5 2 6" xfId="9500" xr:uid="{97A203E4-C235-4F78-91DB-7F7396F46C98}"/>
    <cellStyle name="Cálculo 2 2 2 2 5 3" xfId="3644" xr:uid="{E2192DE3-7AC3-4136-A581-5E6D56A08E32}"/>
    <cellStyle name="Cálculo 2 2 2 2 5 3 2" xfId="9860" xr:uid="{EA6F3E77-0000-4749-8FF2-9ABAD2B3DB31}"/>
    <cellStyle name="Cálculo 2 2 2 2 5 4" xfId="6081" xr:uid="{9D1C4741-CEE6-4CBB-9BDC-AB7A0F31BB61}"/>
    <cellStyle name="Cálculo 2 2 2 2 5 4 2" xfId="11793" xr:uid="{E685FE45-7909-43D5-8C8D-80907CBB30E3}"/>
    <cellStyle name="Cálculo 2 2 2 2 5 5" xfId="6599" xr:uid="{683AD76A-5399-4497-8B56-BE95826CE737}"/>
    <cellStyle name="Cálculo 2 2 2 2 5 5 2" xfId="12303" xr:uid="{6033EE98-9ED4-4FDE-8778-65A4F0DAD46F}"/>
    <cellStyle name="Cálculo 2 2 2 2 5 6" xfId="7353" xr:uid="{1C0DAA34-9F28-4482-A99C-C1BC9D99DB52}"/>
    <cellStyle name="Cálculo 2 2 2 2 5 6 2" xfId="12925" xr:uid="{7361B8D9-1026-4C61-87F3-E694FB5111A6}"/>
    <cellStyle name="Cálculo 2 2 2 2 5 7" xfId="7888" xr:uid="{02C38099-5564-4D3B-BA87-EA05304D9156}"/>
    <cellStyle name="Cálculo 2 2 2 2 5 7 2" xfId="13460" xr:uid="{4C340109-8E44-406D-B1B5-D2D374D67BBF}"/>
    <cellStyle name="Cálculo 2 2 2 2 5 8" xfId="9140" xr:uid="{32CD1474-0020-4B6C-A5B1-7779B0731ACC}"/>
    <cellStyle name="Cálculo 2 2 2 2 6" xfId="2794" xr:uid="{940A46FA-DAF4-42C9-B5ED-DE9F43FB6E1E}"/>
    <cellStyle name="Cálculo 2 2 2 2 6 2" xfId="3226" xr:uid="{5F829DC1-AAD6-498E-BD29-51580CD2BC64}"/>
    <cellStyle name="Cálculo 2 2 2 2 6 2 2" xfId="4184" xr:uid="{CE5B0BEB-78BE-470E-A801-4811106AD82A}"/>
    <cellStyle name="Cálculo 2 2 2 2 6 2 2 2" xfId="10280" xr:uid="{1C65A1A6-B9FA-4E70-9B09-4EA4AC682D97}"/>
    <cellStyle name="Cálculo 2 2 2 2 6 2 3" xfId="7155" xr:uid="{7BC87DCC-B558-4DAC-90CD-6AEBB1285C58}"/>
    <cellStyle name="Cálculo 2 2 2 2 6 2 3 2" xfId="12743" xr:uid="{550B7097-4F7C-4B72-899F-2EE88A2E2A73}"/>
    <cellStyle name="Cálculo 2 2 2 2 6 2 4" xfId="7816" xr:uid="{F8B47BDF-067A-4BE1-B978-AD4AB5D14B55}"/>
    <cellStyle name="Cálculo 2 2 2 2 6 2 4 2" xfId="13388" xr:uid="{58346A9B-EB89-4421-8CF5-43325ED408FE}"/>
    <cellStyle name="Cálculo 2 2 2 2 6 2 5" xfId="8308" xr:uid="{5BAD65DC-0112-4616-AEC2-1CCC754EAEC0}"/>
    <cellStyle name="Cálculo 2 2 2 2 6 2 5 2" xfId="13880" xr:uid="{1139C700-B3C0-4151-B67F-4B4BF8E6888D}"/>
    <cellStyle name="Cálculo 2 2 2 2 6 2 6" xfId="9560" xr:uid="{054C3626-86B3-4F43-A536-E3A5F2A23576}"/>
    <cellStyle name="Cálculo 2 2 2 2 6 3" xfId="3704" xr:uid="{8E82D860-22A5-4ABF-9EC6-63BADC00433B}"/>
    <cellStyle name="Cálculo 2 2 2 2 6 3 2" xfId="9920" xr:uid="{0C21F48B-F5E6-42C1-93E7-524F5B175505}"/>
    <cellStyle name="Cálculo 2 2 2 2 6 4" xfId="6161" xr:uid="{2C92D3D8-8B4E-47DC-9781-F1DEEF529C7B}"/>
    <cellStyle name="Cálculo 2 2 2 2 6 4 2" xfId="11873" xr:uid="{03B586AB-7498-4DAB-8855-86A1CC093B43}"/>
    <cellStyle name="Cálculo 2 2 2 2 6 5" xfId="6671" xr:uid="{19CEE4F7-0AC1-4BFE-A5A7-2FB5370C8B50}"/>
    <cellStyle name="Cálculo 2 2 2 2 6 5 2" xfId="12375" xr:uid="{AD3A2ABA-3290-420E-B31B-5BE25BAEE797}"/>
    <cellStyle name="Cálculo 2 2 2 2 6 6" xfId="7415" xr:uid="{20A6B216-4318-4820-8043-18591A4A2932}"/>
    <cellStyle name="Cálculo 2 2 2 2 6 6 2" xfId="12987" xr:uid="{EBDA4D90-64B2-402F-AA1D-C07AE0AC3499}"/>
    <cellStyle name="Cálculo 2 2 2 2 6 7" xfId="7948" xr:uid="{D7FF1FFC-9195-47F2-A984-1AA7F8E57E97}"/>
    <cellStyle name="Cálculo 2 2 2 2 6 7 2" xfId="13520" xr:uid="{8D773EB5-1790-4036-B938-466A13CA7867}"/>
    <cellStyle name="Cálculo 2 2 2 2 6 8" xfId="9200" xr:uid="{CA26DD9D-999D-4E18-BC00-FB480ED8E636}"/>
    <cellStyle name="Cálculo 2 2 2 2 7" xfId="2894" xr:uid="{BAE7286C-6C6D-4DA0-9C02-80109B8EECFB}"/>
    <cellStyle name="Cálculo 2 2 2 2 7 2" xfId="3822" xr:uid="{FE3C012D-E912-420F-83DE-02D8699030C6}"/>
    <cellStyle name="Cálculo 2 2 2 2 7 2 2" xfId="9980" xr:uid="{63E1CD8F-54A7-45F3-9372-BBC90C90637A}"/>
    <cellStyle name="Cálculo 2 2 2 2 7 3" xfId="6793" xr:uid="{3A0E9781-D0DC-4957-8DC2-6A5517250C8E}"/>
    <cellStyle name="Cálculo 2 2 2 2 7 3 2" xfId="12443" xr:uid="{47CA363E-2868-49C9-9F5D-8E44E525B70E}"/>
    <cellStyle name="Cálculo 2 2 2 2 7 4" xfId="7500" xr:uid="{0BABA81B-2636-4844-AC44-6E0975309F47}"/>
    <cellStyle name="Cálculo 2 2 2 2 7 4 2" xfId="13072" xr:uid="{745BB772-1B56-4051-8C50-0639355AEBB3}"/>
    <cellStyle name="Cálculo 2 2 2 2 7 5" xfId="8008" xr:uid="{8CA1B400-89FB-4683-A468-2EFFACD03D92}"/>
    <cellStyle name="Cálculo 2 2 2 2 7 5 2" xfId="13580" xr:uid="{2396CB3E-8EF6-4EBD-9334-F71D068F35C0}"/>
    <cellStyle name="Cálculo 2 2 2 2 7 6" xfId="9260" xr:uid="{6C1DD63F-5FC2-4CF9-9338-1C58E578A50A}"/>
    <cellStyle name="Cálculo 2 2 2 2 8" xfId="3342" xr:uid="{AA528FFD-4191-4828-A77D-DD602133ADA4}"/>
    <cellStyle name="Cálculo 2 2 2 2 8 2" xfId="9620" xr:uid="{A2B8E1EC-8F71-45A0-8CD1-5BAE9544B35E}"/>
    <cellStyle name="Cálculo 2 2 2 2 9" xfId="4509" xr:uid="{3EDE3CEE-551C-491C-9BB9-8918F1FF0905}"/>
    <cellStyle name="Cálculo 2 2 2 2 9 2" xfId="10417" xr:uid="{FBFDE64A-184A-4157-B460-BB2084A414D8}"/>
    <cellStyle name="Cálculo 2 2 2 3" xfId="1613" xr:uid="{AEA69E31-850E-4C6C-8F99-D56E1130E334}"/>
    <cellStyle name="Cálculo 2 2 2 3 10" xfId="4613" xr:uid="{0F329BD6-B979-48EB-8568-0EB2F1EDB7D1}"/>
    <cellStyle name="Cálculo 2 2 2 3 10 2" xfId="10477" xr:uid="{A405DA73-D978-42C7-965B-8C5D48FB8352}"/>
    <cellStyle name="Cálculo 2 2 2 3 11" xfId="4797" xr:uid="{D7C8C736-C629-4C47-A379-F319A17A798A}"/>
    <cellStyle name="Cálculo 2 2 2 3 11 2" xfId="10643" xr:uid="{6D5DC4BD-F60A-4924-853F-D592A5BCE865}"/>
    <cellStyle name="Cálculo 2 2 2 3 12" xfId="5401" xr:uid="{3B803246-E8D1-42D2-8F89-3AB825106382}"/>
    <cellStyle name="Cálculo 2 2 2 3 12 2" xfId="11199" xr:uid="{1A11C357-3E62-4308-A7FA-18E4B2B8114D}"/>
    <cellStyle name="Cálculo 2 2 2 3 13" xfId="5569" xr:uid="{A3982C01-9EFD-4D67-BD0B-DE237CA2FB51}"/>
    <cellStyle name="Cálculo 2 2 2 3 13 2" xfId="11297" xr:uid="{450CDA32-527B-44ED-8ADB-14D5B068FFA0}"/>
    <cellStyle name="Cálculo 2 2 2 3 14" xfId="5231" xr:uid="{60CE3E90-BFE7-40B8-82C8-8B7BF3CDF703}"/>
    <cellStyle name="Cálculo 2 2 2 3 14 2" xfId="11077" xr:uid="{13687203-C610-40A4-BFED-A0EF85A044DF}"/>
    <cellStyle name="Cálculo 2 2 2 3 15" xfId="6011" xr:uid="{248FC823-BEBE-427F-812D-486476D3D811}"/>
    <cellStyle name="Cálculo 2 2 2 3 15 2" xfId="11723" xr:uid="{DF4033E2-729F-43EC-B9D9-F4236221090E}"/>
    <cellStyle name="Cálculo 2 2 2 3 16" xfId="5675" xr:uid="{8A462855-7A4A-4F20-A3E5-62D2FC7BB0C4}"/>
    <cellStyle name="Cálculo 2 2 2 3 16 2" xfId="11403" xr:uid="{55E29A2E-3C92-4ADB-BE5B-DE040BD387C7}"/>
    <cellStyle name="Cálculo 2 2 2 3 17" xfId="6528" xr:uid="{5F4C4DD8-6AE4-4BA1-A383-F23FD8B99DB7}"/>
    <cellStyle name="Cálculo 2 2 2 3 17 2" xfId="12232" xr:uid="{5FA4EC7B-3EAE-4DE3-BC40-80A1F0054F6D}"/>
    <cellStyle name="Cálculo 2 2 2 3 18" xfId="7443" xr:uid="{94CDB09A-61E1-474F-AC80-7EF4119C4F89}"/>
    <cellStyle name="Cálculo 2 2 2 3 18 2" xfId="13015" xr:uid="{A0371420-9516-4971-9162-C8A02E8B5782}"/>
    <cellStyle name="Cálculo 2 2 2 3 19" xfId="8421" xr:uid="{1070370D-0D3C-4100-809D-9151358C0F63}"/>
    <cellStyle name="Cálculo 2 2 2 3 19 2" xfId="13901" xr:uid="{7CEEFB6E-CA5C-41BE-8715-C2D91DE9C086}"/>
    <cellStyle name="Cálculo 2 2 2 3 2" xfId="2399" xr:uid="{920223ED-C48D-4B3D-9ABA-21EB70EDB8EE}"/>
    <cellStyle name="Cálculo 2 2 2 3 2 10" xfId="5776" xr:uid="{B3FFAFC4-A0BE-46A5-BDF9-BD33486F578D}"/>
    <cellStyle name="Cálculo 2 2 2 3 2 10 2" xfId="11504" xr:uid="{E29989EC-F46F-425C-BA9B-EB2D653A5C40}"/>
    <cellStyle name="Cálculo 2 2 2 3 2 11" xfId="6619" xr:uid="{EA76C695-38F3-48F3-99B8-CF480A8C727E}"/>
    <cellStyle name="Cálculo 2 2 2 3 2 11 2" xfId="12323" xr:uid="{9E1A3A2E-3684-4F1E-BE2F-CA4E9C523BDB}"/>
    <cellStyle name="Cálculo 2 2 2 3 2 12" xfId="8613" xr:uid="{C5240E01-1C41-4476-A06A-F0368173B8C4}"/>
    <cellStyle name="Cálculo 2 2 2 3 2 12 2" xfId="14001" xr:uid="{8EF7B77E-120A-4B8B-B92A-F6EF0EA27D7E}"/>
    <cellStyle name="Cálculo 2 2 2 3 2 13" xfId="8961" xr:uid="{14E0E507-AD97-462D-8E9E-0B6C9452B5E6}"/>
    <cellStyle name="Cálculo 2 2 2 3 2 2" xfId="2987" xr:uid="{22F5860D-8983-45C0-BE32-C98C34366912}"/>
    <cellStyle name="Cálculo 2 2 2 3 2 2 2" xfId="3927" xr:uid="{F92AEABD-20AE-4659-9805-65F1A0E7F534}"/>
    <cellStyle name="Cálculo 2 2 2 3 2 2 2 2" xfId="10041" xr:uid="{71875C88-E3FB-43B3-9480-7A13E7BD0F66}"/>
    <cellStyle name="Cálculo 2 2 2 3 2 2 3" xfId="6898" xr:uid="{53201FBF-29C5-4ACC-BBAD-C78DB45866DF}"/>
    <cellStyle name="Cálculo 2 2 2 3 2 2 3 2" xfId="12504" xr:uid="{EC2D0C27-756F-421A-B78D-873550195621}"/>
    <cellStyle name="Cálculo 2 2 2 3 2 2 4" xfId="7576" xr:uid="{12C13FE0-7498-4F86-A225-C7B1F631E293}"/>
    <cellStyle name="Cálculo 2 2 2 3 2 2 4 2" xfId="13148" xr:uid="{E7BD1394-BD69-4580-98A1-5842535F85DD}"/>
    <cellStyle name="Cálculo 2 2 2 3 2 2 5" xfId="8069" xr:uid="{96527FF3-E8B8-429B-905F-4B7E4CD4D35A}"/>
    <cellStyle name="Cálculo 2 2 2 3 2 2 5 2" xfId="13641" xr:uid="{72FA77E3-0715-4908-8EA1-CF4398E82093}"/>
    <cellStyle name="Cálculo 2 2 2 3 2 2 6" xfId="9321" xr:uid="{DDD5B0FA-EEEB-420D-894A-F504F75EF99A}"/>
    <cellStyle name="Cálculo 2 2 2 3 2 3" xfId="3447" xr:uid="{2BCF044A-ADF6-40E9-883C-C11ABF44451A}"/>
    <cellStyle name="Cálculo 2 2 2 3 2 3 2" xfId="9681" xr:uid="{E15BDE7D-693C-4D62-8BDB-EFA4BEDDEFF5}"/>
    <cellStyle name="Cálculo 2 2 2 3 2 4" xfId="4640" xr:uid="{01659260-32A7-48EB-9191-7087D45AB65F}"/>
    <cellStyle name="Cálculo 2 2 2 3 2 4 2" xfId="10504" xr:uid="{1B68DAE0-AA6C-4118-A470-4FB39ABB6E54}"/>
    <cellStyle name="Cálculo 2 2 2 3 2 5" xfId="4879" xr:uid="{4BC732AC-7572-4C6D-B97C-90AD30F4B2ED}"/>
    <cellStyle name="Cálculo 2 2 2 3 2 5 2" xfId="10725" xr:uid="{F67EEE98-E1BF-4CD5-85A5-E2F017473C3B}"/>
    <cellStyle name="Cálculo 2 2 2 3 2 6" xfId="5035" xr:uid="{04FF10A4-4E89-425D-8B80-66A456457F88}"/>
    <cellStyle name="Cálculo 2 2 2 3 2 6 2" xfId="10881" xr:uid="{239A8637-6109-4B53-9A4F-4E47EE7E84E0}"/>
    <cellStyle name="Cálculo 2 2 2 3 2 7" xfId="5805" xr:uid="{766E1FC1-EBBD-4854-8EFF-36226548FF33}"/>
    <cellStyle name="Cálculo 2 2 2 3 2 7 2" xfId="11533" xr:uid="{F64A5212-592B-45C3-A4DF-8AFCCA14BB05}"/>
    <cellStyle name="Cálculo 2 2 2 3 2 8" xfId="5549" xr:uid="{28C17088-C3A7-4FE0-9319-B57C4AA15CFD}"/>
    <cellStyle name="Cálculo 2 2 2 3 2 8 2" xfId="11277" xr:uid="{E08C6DE2-C7B4-4AEC-AA17-03900E5016B5}"/>
    <cellStyle name="Cálculo 2 2 2 3 2 9" xfId="6342" xr:uid="{C1512326-546D-42CB-8A95-CE90EBD54FB6}"/>
    <cellStyle name="Cálculo 2 2 2 3 2 9 2" xfId="12046" xr:uid="{A703F5B8-C746-4EDD-B468-74B610B3CEBB}"/>
    <cellStyle name="Cálculo 2 2 2 3 20" xfId="8861" xr:uid="{EFA2229E-16A5-400E-BF59-6B0A98F80C93}"/>
    <cellStyle name="Cálculo 2 2 2 3 21" xfId="2207" xr:uid="{6FCC7C61-5AF8-4A56-A888-63A0B56A4FA8}"/>
    <cellStyle name="Cálculo 2 2 2 3 3" xfId="2505" xr:uid="{EBF1FCCF-AC64-4436-8ED7-549DDD7BD6A4}"/>
    <cellStyle name="Cálculo 2 2 2 3 3 10" xfId="7197" xr:uid="{560E93D7-C0B2-42CB-A0DE-9708EFB2ADD1}"/>
    <cellStyle name="Cálculo 2 2 2 3 3 10 2" xfId="12769" xr:uid="{9001242F-36B8-4B85-B7E2-45C847022A82}"/>
    <cellStyle name="Cálculo 2 2 2 3 3 11" xfId="7286" xr:uid="{3746109E-E2CA-4622-8480-1F8FC38AC201}"/>
    <cellStyle name="Cálculo 2 2 2 3 3 11 2" xfId="12858" xr:uid="{5C3B6B91-3373-4C34-BC93-54EC8BF482E9}"/>
    <cellStyle name="Cálculo 2 2 2 3 3 12" xfId="8719" xr:uid="{1184E79B-C065-44F7-B0FE-644955E562EB}"/>
    <cellStyle name="Cálculo 2 2 2 3 3 12 2" xfId="14075" xr:uid="{3DEF3F0A-CB6E-4486-902C-536EFBF14503}"/>
    <cellStyle name="Cálculo 2 2 2 3 3 13" xfId="9035" xr:uid="{E3025084-9330-4772-B08D-7364E7D850AE}"/>
    <cellStyle name="Cálculo 2 2 2 3 3 2" xfId="3061" xr:uid="{DFFB5991-ED5C-48AD-864C-FC90F5B5FB4F}"/>
    <cellStyle name="Cálculo 2 2 2 3 3 2 2" xfId="4001" xr:uid="{AE435C02-8D10-4187-AE98-685A27999092}"/>
    <cellStyle name="Cálculo 2 2 2 3 3 2 2 2" xfId="10115" xr:uid="{47E1907F-A2F5-4F75-BCD7-C4E1B8024785}"/>
    <cellStyle name="Cálculo 2 2 2 3 3 2 3" xfId="6972" xr:uid="{173BFC41-A81F-44C3-88B4-5E45CFB4827F}"/>
    <cellStyle name="Cálculo 2 2 2 3 3 2 3 2" xfId="12578" xr:uid="{CD088A98-9498-4378-BAB3-8D8BFB297218}"/>
    <cellStyle name="Cálculo 2 2 2 3 3 2 4" xfId="7650" xr:uid="{0D764470-EB89-4498-9E4E-84E8FB505E47}"/>
    <cellStyle name="Cálculo 2 2 2 3 3 2 4 2" xfId="13222" xr:uid="{8FDBBDE4-F795-42D8-A2DB-FCD84564CD0A}"/>
    <cellStyle name="Cálculo 2 2 2 3 3 2 5" xfId="8143" xr:uid="{8360ED8A-BA2B-4695-8281-5130A5EA11E6}"/>
    <cellStyle name="Cálculo 2 2 2 3 3 2 5 2" xfId="13715" xr:uid="{743309DC-3064-4D0D-A320-FB343129FFAD}"/>
    <cellStyle name="Cálculo 2 2 2 3 3 2 6" xfId="9395" xr:uid="{03A87261-EB83-4509-965D-88456AA70170}"/>
    <cellStyle name="Cálculo 2 2 2 3 3 3" xfId="3521" xr:uid="{A7A2B0B8-4CC1-48CF-96B8-484D024160D6}"/>
    <cellStyle name="Cálculo 2 2 2 3 3 3 2" xfId="9755" xr:uid="{E4A2D5B1-137B-4A69-8D76-9EF2AECC2585}"/>
    <cellStyle name="Cálculo 2 2 2 3 3 4" xfId="4718" xr:uid="{8BDC20B0-2A64-4D41-8A55-4ADF9BAFE420}"/>
    <cellStyle name="Cálculo 2 2 2 3 3 4 2" xfId="10582" xr:uid="{E117D6CB-CF36-48AB-856D-CA048CB3CF19}"/>
    <cellStyle name="Cálculo 2 2 2 3 3 5" xfId="4961" xr:uid="{85CACFF7-AB5E-488E-B9BB-4F9AFC88FDC4}"/>
    <cellStyle name="Cálculo 2 2 2 3 3 5 2" xfId="10807" xr:uid="{D04DF3E6-7B37-4F37-83D8-0B9A50E27B22}"/>
    <cellStyle name="Cálculo 2 2 2 3 3 6" xfId="5109" xr:uid="{1D50604A-F688-4920-A52B-C20278A1DF89}"/>
    <cellStyle name="Cálculo 2 2 2 3 3 6 2" xfId="10955" xr:uid="{DE8DBF36-F913-40BD-85E9-F999E417B747}"/>
    <cellStyle name="Cálculo 2 2 2 3 3 7" xfId="5900" xr:uid="{842386A1-79A6-4FED-903A-B6BAA2C44328}"/>
    <cellStyle name="Cálculo 2 2 2 3 3 7 2" xfId="11628" xr:uid="{D8620300-0BD4-47CF-A2A7-A5217EB80AAC}"/>
    <cellStyle name="Cálculo 2 2 2 3 3 8" xfId="6230" xr:uid="{C7F2C239-6217-4DA1-BAD0-F445640EB5BF}"/>
    <cellStyle name="Cálculo 2 2 2 3 3 8 2" xfId="11934" xr:uid="{941C2D49-A1B5-4EF8-AD47-4D8FC06070E6}"/>
    <cellStyle name="Cálculo 2 2 2 3 3 9" xfId="6432" xr:uid="{58D53F28-1B33-44A4-8525-BF6FE4A62FA0}"/>
    <cellStyle name="Cálculo 2 2 2 3 3 9 2" xfId="12136" xr:uid="{7E0D66D2-BB75-41E7-A9A6-85124BFF4254}"/>
    <cellStyle name="Cálculo 2 2 2 3 4" xfId="2287" xr:uid="{645A0A12-8D40-4D8E-B6C8-DE879F54E536}"/>
    <cellStyle name="Cálculo 2 2 2 3 4 10" xfId="5684" xr:uid="{724C1746-8189-4085-8B8D-65BA3672BC08}"/>
    <cellStyle name="Cálculo 2 2 2 3 4 10 2" xfId="11412" xr:uid="{111C51F9-C023-4E87-949D-411A913F3573}"/>
    <cellStyle name="Cálculo 2 2 2 3 4 11" xfId="7831" xr:uid="{52ED87AC-A4DC-4010-819E-B48FF13EC16A}"/>
    <cellStyle name="Cálculo 2 2 2 3 4 11 2" xfId="13403" xr:uid="{CF8ACAAE-2739-40E2-BFCB-C25C222B8DCC}"/>
    <cellStyle name="Cálculo 2 2 2 3 4 12" xfId="8501" xr:uid="{60D7513F-B915-47F0-823C-1EA0105B6BBE}"/>
    <cellStyle name="Cálculo 2 2 2 3 4 12 2" xfId="13981" xr:uid="{1722336C-45AD-4F4A-A9D3-008E6D432E25}"/>
    <cellStyle name="Cálculo 2 2 2 3 4 13" xfId="8941" xr:uid="{DC03A301-9C96-434D-A7E6-69773B310E54}"/>
    <cellStyle name="Cálculo 2 2 2 3 4 2" xfId="2967" xr:uid="{C9B30B49-85E2-498D-A118-0DC2CF85D714}"/>
    <cellStyle name="Cálculo 2 2 2 3 4 2 2" xfId="3907" xr:uid="{5898A344-F2F1-4822-8F87-FBC92CB49B2E}"/>
    <cellStyle name="Cálculo 2 2 2 3 4 2 2 2" xfId="10021" xr:uid="{BCD6A6AD-23E0-4316-8CC8-54BE958CC0F6}"/>
    <cellStyle name="Cálculo 2 2 2 3 4 2 3" xfId="6878" xr:uid="{5F166D02-99DF-4EC2-ACF3-9D1BE1044522}"/>
    <cellStyle name="Cálculo 2 2 2 3 4 2 3 2" xfId="12484" xr:uid="{35DF69F9-665E-44ED-82CD-E51661C8783F}"/>
    <cellStyle name="Cálculo 2 2 2 3 4 2 4" xfId="7556" xr:uid="{FF0AFD31-1852-4EBC-8E8C-9F393AB400A5}"/>
    <cellStyle name="Cálculo 2 2 2 3 4 2 4 2" xfId="13128" xr:uid="{04FC7734-F482-4691-A96B-8C11C8A6A2C3}"/>
    <cellStyle name="Cálculo 2 2 2 3 4 2 5" xfId="8049" xr:uid="{2F866CF1-4F3A-4D00-B6F7-A49C8166A2CE}"/>
    <cellStyle name="Cálculo 2 2 2 3 4 2 5 2" xfId="13621" xr:uid="{8020F5A9-BE92-4270-B81B-C1C2FEEC61C2}"/>
    <cellStyle name="Cálculo 2 2 2 3 4 2 6" xfId="9301" xr:uid="{5057C184-347E-495F-BD24-93EDF38E6C45}"/>
    <cellStyle name="Cálculo 2 2 2 3 4 3" xfId="3427" xr:uid="{FE8E5457-F6C5-4777-9F17-F910FD7C3729}"/>
    <cellStyle name="Cálculo 2 2 2 3 4 3 2" xfId="9661" xr:uid="{36E27AA1-F8EB-4872-9C97-4E292CA96207}"/>
    <cellStyle name="Cálculo 2 2 2 3 4 4" xfId="4594" xr:uid="{EB7D0439-6DD5-4DCC-8736-BD6944E4C16C}"/>
    <cellStyle name="Cálculo 2 2 2 3 4 4 2" xfId="10458" xr:uid="{CB56720B-93E5-4629-89E3-D85D5516D491}"/>
    <cellStyle name="Cálculo 2 2 2 3 4 5" xfId="4839" xr:uid="{0183F486-FD93-4F3F-B62B-A7C2AEB6F807}"/>
    <cellStyle name="Cálculo 2 2 2 3 4 5 2" xfId="10685" xr:uid="{5872A0F6-3126-4992-93CF-DC01AA23D148}"/>
    <cellStyle name="Cálculo 2 2 2 3 4 6" xfId="4371" xr:uid="{1278F869-1C74-4541-B474-03BE2C0403C7}"/>
    <cellStyle name="Cálculo 2 2 2 3 4 6 2" xfId="10331" xr:uid="{91F42B43-1D0F-45A0-9279-539A13FAFC36}"/>
    <cellStyle name="Cálculo 2 2 2 3 4 7" xfId="5725" xr:uid="{78C46FB9-68D1-47BB-95E8-B5A797290AFF}"/>
    <cellStyle name="Cálculo 2 2 2 3 4 7 2" xfId="11453" xr:uid="{42137B83-85A9-43DF-A656-7CBD682D909D}"/>
    <cellStyle name="Cálculo 2 2 2 3 4 8" xfId="5594" xr:uid="{160DFF1F-8604-4F7E-ABAD-2911DDB75A43}"/>
    <cellStyle name="Cálculo 2 2 2 3 4 8 2" xfId="11322" xr:uid="{C180E207-D3C6-4870-A7F4-283C71D6CC13}"/>
    <cellStyle name="Cálculo 2 2 2 3 4 9" xfId="5666" xr:uid="{EADC7322-DEBA-48CF-B9EC-4DC0B2EBD720}"/>
    <cellStyle name="Cálculo 2 2 2 3 4 9 2" xfId="11394" xr:uid="{A2B69DD9-4370-4045-96E4-9825ADFED865}"/>
    <cellStyle name="Cálculo 2 2 2 3 5" xfId="2663" xr:uid="{16FB4E4B-90CC-467B-A93B-3532912F4C43}"/>
    <cellStyle name="Cálculo 2 2 2 3 5 2" xfId="3127" xr:uid="{51A51E1E-3B47-41FF-9C04-942AC46691C1}"/>
    <cellStyle name="Cálculo 2 2 2 3 5 2 2" xfId="4085" xr:uid="{FD48708D-8840-489D-9F09-B9BE851DA63A}"/>
    <cellStyle name="Cálculo 2 2 2 3 5 2 2 2" xfId="10181" xr:uid="{0EC4A36F-5F6A-4DAF-BCC9-B2333DB20F0A}"/>
    <cellStyle name="Cálculo 2 2 2 3 5 2 3" xfId="7056" xr:uid="{8DFB4772-1D89-4FDE-981E-2A2FEB4C9FEC}"/>
    <cellStyle name="Cálculo 2 2 2 3 5 2 3 2" xfId="12644" xr:uid="{BB17D750-095E-444F-824D-919A12FD9431}"/>
    <cellStyle name="Cálculo 2 2 2 3 5 2 4" xfId="7717" xr:uid="{925144A9-8EDC-4A93-AE27-E24AAADC45A5}"/>
    <cellStyle name="Cálculo 2 2 2 3 5 2 4 2" xfId="13289" xr:uid="{97F97697-BA1E-4FD6-A493-2BEA6E2628DD}"/>
    <cellStyle name="Cálculo 2 2 2 3 5 2 5" xfId="8209" xr:uid="{577EDFB6-6490-4418-999F-40E56933D63D}"/>
    <cellStyle name="Cálculo 2 2 2 3 5 2 5 2" xfId="13781" xr:uid="{A441CE46-CFFE-4627-9D51-45105271E4D6}"/>
    <cellStyle name="Cálculo 2 2 2 3 5 2 6" xfId="9461" xr:uid="{77B9C561-3BC9-4557-B034-6AD90E4212B1}"/>
    <cellStyle name="Cálculo 2 2 2 3 5 3" xfId="3605" xr:uid="{63307686-349C-4EE8-8F2D-599F906D786C}"/>
    <cellStyle name="Cálculo 2 2 2 3 5 3 2" xfId="9821" xr:uid="{1D8FB33C-68AB-4C22-A2AE-293D568A7D06}"/>
    <cellStyle name="Cálculo 2 2 2 3 5 4" xfId="6042" xr:uid="{1F1FE7F5-099E-4F12-9EE7-DD95FD3E6E9D}"/>
    <cellStyle name="Cálculo 2 2 2 3 5 4 2" xfId="11754" xr:uid="{50456A22-89BB-461F-AF71-5DA184767772}"/>
    <cellStyle name="Cálculo 2 2 2 3 5 5" xfId="6560" xr:uid="{4B42ED4E-289B-45C3-95FD-18C0535D4EC3}"/>
    <cellStyle name="Cálculo 2 2 2 3 5 5 2" xfId="12264" xr:uid="{4B0E775D-C80D-4F80-959A-470D525ACEE4}"/>
    <cellStyle name="Cálculo 2 2 2 3 5 6" xfId="7314" xr:uid="{7AD5C804-54D0-4FB1-B329-602A8B3494DF}"/>
    <cellStyle name="Cálculo 2 2 2 3 5 6 2" xfId="12886" xr:uid="{5758683C-C8D3-4A6D-AC42-E350BACB3324}"/>
    <cellStyle name="Cálculo 2 2 2 3 5 7" xfId="7849" xr:uid="{59D578D4-B969-4AEA-B618-57EC9887274F}"/>
    <cellStyle name="Cálculo 2 2 2 3 5 7 2" xfId="13421" xr:uid="{986355E7-08E9-461F-9529-0807879E9EDD}"/>
    <cellStyle name="Cálculo 2 2 2 3 5 8" xfId="9101" xr:uid="{757FACD3-FFAA-46E9-A4B8-241D57D3D258}"/>
    <cellStyle name="Cálculo 2 2 2 3 6" xfId="2755" xr:uid="{9B913BA3-B8A8-464C-81A7-DD7F964914B6}"/>
    <cellStyle name="Cálculo 2 2 2 3 6 2" xfId="3187" xr:uid="{DEA65F6F-2426-4CED-BC3A-C4E8FBE86B24}"/>
    <cellStyle name="Cálculo 2 2 2 3 6 2 2" xfId="4145" xr:uid="{3BA6925E-719B-442D-91FC-D836B200604F}"/>
    <cellStyle name="Cálculo 2 2 2 3 6 2 2 2" xfId="10241" xr:uid="{35E9833E-60A3-4E64-8936-816829A7125D}"/>
    <cellStyle name="Cálculo 2 2 2 3 6 2 3" xfId="7116" xr:uid="{791BAFC0-AC88-4C13-95A6-2859E49641F9}"/>
    <cellStyle name="Cálculo 2 2 2 3 6 2 3 2" xfId="12704" xr:uid="{28A12286-DF85-477F-9C93-C6E4EB124D06}"/>
    <cellStyle name="Cálculo 2 2 2 3 6 2 4" xfId="7777" xr:uid="{E16D42E2-9150-489D-9415-186999F20391}"/>
    <cellStyle name="Cálculo 2 2 2 3 6 2 4 2" xfId="13349" xr:uid="{C6E9ADE2-6437-43EA-BF82-3D6DF8B60BB8}"/>
    <cellStyle name="Cálculo 2 2 2 3 6 2 5" xfId="8269" xr:uid="{A29750BA-3887-4EB7-A50F-A0395D2717DA}"/>
    <cellStyle name="Cálculo 2 2 2 3 6 2 5 2" xfId="13841" xr:uid="{702B07CE-C6ED-4A03-9660-D27F9CDFF38C}"/>
    <cellStyle name="Cálculo 2 2 2 3 6 2 6" xfId="9521" xr:uid="{79B7BEE3-01C8-4E7E-B62F-8443AD1B52BA}"/>
    <cellStyle name="Cálculo 2 2 2 3 6 3" xfId="3665" xr:uid="{DE9E9E90-0B13-4300-97C3-F53AD6979A0D}"/>
    <cellStyle name="Cálculo 2 2 2 3 6 3 2" xfId="9881" xr:uid="{E4F72F75-82CC-492F-990F-3999125D38F4}"/>
    <cellStyle name="Cálculo 2 2 2 3 6 4" xfId="6122" xr:uid="{60143A98-4F07-4773-AAC6-E38845377AB5}"/>
    <cellStyle name="Cálculo 2 2 2 3 6 4 2" xfId="11834" xr:uid="{C886631B-4EA7-4579-AF59-E3E61065F598}"/>
    <cellStyle name="Cálculo 2 2 2 3 6 5" xfId="6632" xr:uid="{62C623F9-40C0-48B4-8F8A-13F2CCA56E93}"/>
    <cellStyle name="Cálculo 2 2 2 3 6 5 2" xfId="12336" xr:uid="{75F9D7E3-4725-4519-B810-3F154203895F}"/>
    <cellStyle name="Cálculo 2 2 2 3 6 6" xfId="7376" xr:uid="{EC8DF39A-6A1F-4EA9-B136-CAFC92E9C0A1}"/>
    <cellStyle name="Cálculo 2 2 2 3 6 6 2" xfId="12948" xr:uid="{D49DA438-6DCE-4352-B824-B3C72641E783}"/>
    <cellStyle name="Cálculo 2 2 2 3 6 7" xfId="7909" xr:uid="{A3F995C9-830C-4D6B-AAEC-0659093B8E54}"/>
    <cellStyle name="Cálculo 2 2 2 3 6 7 2" xfId="13481" xr:uid="{9C9B6AD9-4362-4C61-BAF4-A66112DA2CED}"/>
    <cellStyle name="Cálculo 2 2 2 3 6 8" xfId="9161" xr:uid="{52B34821-D59E-4A5A-AB5F-7DD59D8901FD}"/>
    <cellStyle name="Cálculo 2 2 2 3 7" xfId="2855" xr:uid="{E5F7DD43-2CCB-4468-BBB7-AB69629017FF}"/>
    <cellStyle name="Cálculo 2 2 2 3 7 2" xfId="3779" xr:uid="{2A12F1BE-A0C1-47C8-AFD1-098DA355C6F9}"/>
    <cellStyle name="Cálculo 2 2 2 3 7 2 2" xfId="9941" xr:uid="{BD15318F-D0E8-465D-91D3-2DDA43A4DD67}"/>
    <cellStyle name="Cálculo 2 2 2 3 7 3" xfId="6750" xr:uid="{C0112B08-E607-4CF8-9AD8-2FD2C2C70C1B}"/>
    <cellStyle name="Cálculo 2 2 2 3 7 3 2" xfId="12404" xr:uid="{2AABEC8F-6E14-4F7E-A9B5-BE0CFB75BAEC}"/>
    <cellStyle name="Cálculo 2 2 2 3 7 4" xfId="7460" xr:uid="{E1B0EB8E-FDCA-4325-AA6B-2CBEC0DCF282}"/>
    <cellStyle name="Cálculo 2 2 2 3 7 4 2" xfId="13032" xr:uid="{0E522F5A-20AB-4667-ABD6-1873B98F659B}"/>
    <cellStyle name="Cálculo 2 2 2 3 7 5" xfId="7969" xr:uid="{E0177306-E503-46FF-8B76-6D383AC4D088}"/>
    <cellStyle name="Cálculo 2 2 2 3 7 5 2" xfId="13541" xr:uid="{0D2BAC98-5329-404E-920F-8F708B5D018C}"/>
    <cellStyle name="Cálculo 2 2 2 3 7 6" xfId="9221" xr:uid="{2F8E4A2D-D0CA-4AD8-9874-4A8876E38C3A}"/>
    <cellStyle name="Cálculo 2 2 2 3 8" xfId="3299" xr:uid="{70B22D1A-4B76-4B9D-8FB6-536EA6EAF93D}"/>
    <cellStyle name="Cálculo 2 2 2 3 8 2" xfId="9581" xr:uid="{B1276DE7-02A1-4658-8EFB-71EDB444CBEC}"/>
    <cellStyle name="Cálculo 2 2 2 3 9" xfId="4466" xr:uid="{7DE12C66-87F1-4E9F-8F5C-2B3F05A58438}"/>
    <cellStyle name="Cálculo 2 2 2 3 9 2" xfId="10378" xr:uid="{8AEBEB41-33EB-4B3E-BA32-4979BA002BD1}"/>
    <cellStyle name="Cálculo 2 2 2 4" xfId="8847" xr:uid="{976BC4C0-0404-4C28-B6BA-623917708377}"/>
    <cellStyle name="Cálculo 2 2 2 5" xfId="2126" xr:uid="{9670F780-642E-47CD-8700-B2C7BF936613}"/>
    <cellStyle name="Cálculo 2 2 3" xfId="1524" xr:uid="{26CB0B4E-6887-42A9-A226-CBF041315A06}"/>
    <cellStyle name="Cálculo 2 2 3 10" xfId="4394" xr:uid="{1ABCC76E-96DA-4D75-B38C-FF331DC21807}"/>
    <cellStyle name="Cálculo 2 2 3 10 2" xfId="10352" xr:uid="{B3FC3242-C206-4117-B20C-171E22D6422B}"/>
    <cellStyle name="Cálculo 2 2 3 11" xfId="4604" xr:uid="{1EB90DE2-DA9E-45FB-854A-86EEF4DBCABC}"/>
    <cellStyle name="Cálculo 2 2 3 11 2" xfId="10468" xr:uid="{9340A4D9-4EC5-4EFF-B557-1ED5DC0A20AF}"/>
    <cellStyle name="Cálculo 2 2 3 12" xfId="5418" xr:uid="{016A3A30-06A4-49AA-ADDF-6D1C61CD55A8}"/>
    <cellStyle name="Cálculo 2 2 3 12 2" xfId="11216" xr:uid="{439FE521-0959-42FD-A8AE-33FCC1D29FCC}"/>
    <cellStyle name="Cálculo 2 2 3 13" xfId="5586" xr:uid="{7F152668-F392-4F44-B4F4-1FD23F22DC9D}"/>
    <cellStyle name="Cálculo 2 2 3 13 2" xfId="11314" xr:uid="{EECE9CE2-CF0A-4E75-87F1-ECF81A013F76}"/>
    <cellStyle name="Cálculo 2 2 3 14" xfId="5271" xr:uid="{185D8CBB-0503-4550-BBD2-F29FC600BB58}"/>
    <cellStyle name="Cálculo 2 2 3 14 2" xfId="11117" xr:uid="{3244D1D1-E782-4A2E-9990-BEAAA9EC6768}"/>
    <cellStyle name="Cálculo 2 2 3 15" xfId="6004" xr:uid="{7AAF8DFF-C108-4F13-9240-CEAFD65877CF}"/>
    <cellStyle name="Cálculo 2 2 3 15 2" xfId="11716" xr:uid="{0602EC65-92EF-4746-9910-4DC9DD6681A4}"/>
    <cellStyle name="Cálculo 2 2 3 16" xfId="5739" xr:uid="{821D1796-B18B-4BFD-9B36-DF1CF5ABF1E1}"/>
    <cellStyle name="Cálculo 2 2 3 16 2" xfId="11467" xr:uid="{B3FB5DA7-5B27-4225-8E9A-0BDEA8447F34}"/>
    <cellStyle name="Cálculo 2 2 3 17" xfId="5626" xr:uid="{E1B12746-8F62-4A73-8836-1A2859AA3FCA}"/>
    <cellStyle name="Cálculo 2 2 3 17 2" xfId="11354" xr:uid="{CA555E00-4D58-4C23-81E4-4FBFCC531F69}"/>
    <cellStyle name="Cálculo 2 2 3 18" xfId="6504" xr:uid="{14D4E1DC-0A1E-4889-A717-E5E3347BC06C}"/>
    <cellStyle name="Cálculo 2 2 3 18 2" xfId="12208" xr:uid="{30CC9361-D02D-435D-9356-1B6B296B2CE5}"/>
    <cellStyle name="Cálculo 2 2 3 19" xfId="8438" xr:uid="{618F55C2-D188-4327-A91E-04914AE3872C}"/>
    <cellStyle name="Cálculo 2 2 3 19 2" xfId="13918" xr:uid="{DEF462AA-6668-4D79-8ED1-34F1758DBA68}"/>
    <cellStyle name="Cálculo 2 2 3 2" xfId="2416" xr:uid="{D85BD1FF-1D6E-44DD-992A-6B19E7B35B50}"/>
    <cellStyle name="Cálculo 2 2 3 2 10" xfId="5341" xr:uid="{344A688D-E422-4147-BEB2-E29BA57D079D}"/>
    <cellStyle name="Cálculo 2 2 3 2 10 2" xfId="11173" xr:uid="{14BEA8F2-DC2E-447B-89BB-DE970A178F0F}"/>
    <cellStyle name="Cálculo 2 2 3 2 11" xfId="6005" xr:uid="{A1E29F9B-4D51-426F-B91E-BA3F328EDEA5}"/>
    <cellStyle name="Cálculo 2 2 3 2 11 2" xfId="11717" xr:uid="{F6C4F7CE-0045-494A-8C1F-CE04A8C7D96A}"/>
    <cellStyle name="Cálculo 2 2 3 2 12" xfId="8630" xr:uid="{8822F6D1-7ADB-47FE-82F4-7A192FB3D2B3}"/>
    <cellStyle name="Cálculo 2 2 3 2 12 2" xfId="14018" xr:uid="{E41AD4FA-D6D3-4951-8C34-8166350A0AE9}"/>
    <cellStyle name="Cálculo 2 2 3 2 13" xfId="8978" xr:uid="{61DB7131-A897-477E-B5FF-8928624A0039}"/>
    <cellStyle name="Cálculo 2 2 3 2 2" xfId="3004" xr:uid="{15E1AE21-6FA7-40A0-8E83-BE1F626F6765}"/>
    <cellStyle name="Cálculo 2 2 3 2 2 2" xfId="3944" xr:uid="{1F03A3B0-4384-4F22-95D6-857CB1CE5D5C}"/>
    <cellStyle name="Cálculo 2 2 3 2 2 2 2" xfId="10058" xr:uid="{ECEF8A91-D778-42F5-BC5A-C6497C498EC3}"/>
    <cellStyle name="Cálculo 2 2 3 2 2 3" xfId="6915" xr:uid="{71B873EC-72D9-48DE-8649-3C2ED694534F}"/>
    <cellStyle name="Cálculo 2 2 3 2 2 3 2" xfId="12521" xr:uid="{8A599460-3213-4844-BF70-A3021E3CC3C9}"/>
    <cellStyle name="Cálculo 2 2 3 2 2 4" xfId="7593" xr:uid="{75880BB7-747E-4E55-A680-186B1E8978BD}"/>
    <cellStyle name="Cálculo 2 2 3 2 2 4 2" xfId="13165" xr:uid="{BBD3149A-18DF-4AE1-B1E6-28997D6349E6}"/>
    <cellStyle name="Cálculo 2 2 3 2 2 5" xfId="8086" xr:uid="{1A8CDFB0-17B8-4A06-AF76-7C10D3639CCA}"/>
    <cellStyle name="Cálculo 2 2 3 2 2 5 2" xfId="13658" xr:uid="{9A63DB64-1B8E-45FF-AD9E-BDD7B99EF7E4}"/>
    <cellStyle name="Cálculo 2 2 3 2 2 6" xfId="9338" xr:uid="{1B4DA0F0-03E1-4025-AEBA-69CCB55B8AEF}"/>
    <cellStyle name="Cálculo 2 2 3 2 3" xfId="3464" xr:uid="{BA57DCA1-C9CA-494A-8A30-DA2476F6DA04}"/>
    <cellStyle name="Cálculo 2 2 3 2 3 2" xfId="9698" xr:uid="{44CCC3DF-4BD3-41F3-A1B9-D37FA5F88767}"/>
    <cellStyle name="Cálculo 2 2 3 2 4" xfId="4657" xr:uid="{D710FF17-03F7-46B5-968F-A6B1BAFF82EC}"/>
    <cellStyle name="Cálculo 2 2 3 2 4 2" xfId="10521" xr:uid="{4EE99435-6058-4C9A-A982-48CC5971BCA1}"/>
    <cellStyle name="Cálculo 2 2 3 2 5" xfId="4896" xr:uid="{D9357A0A-7936-4288-B22A-729D6D322321}"/>
    <cellStyle name="Cálculo 2 2 3 2 5 2" xfId="10742" xr:uid="{0A85FAFB-DD9E-44A4-8EAD-7B34D3E36FD9}"/>
    <cellStyle name="Cálculo 2 2 3 2 6" xfId="5052" xr:uid="{9C4F82E1-017B-4C6A-8931-D2B0B46B5628}"/>
    <cellStyle name="Cálculo 2 2 3 2 6 2" xfId="10898" xr:uid="{0563B943-B56F-456D-B4E1-F57D247D98D9}"/>
    <cellStyle name="Cálculo 2 2 3 2 7" xfId="5822" xr:uid="{F82613EE-847F-4F45-AD36-13EFEFAA2E70}"/>
    <cellStyle name="Cálculo 2 2 3 2 7 2" xfId="11550" xr:uid="{5E8EB7C8-AA40-4841-9344-EF5EB552BB8E}"/>
    <cellStyle name="Cálculo 2 2 3 2 8" xfId="5279" xr:uid="{ADBEDDBC-FDC7-449D-A93C-39F513EBBAC6}"/>
    <cellStyle name="Cálculo 2 2 3 2 8 2" xfId="11123" xr:uid="{D7D9F3F5-90AB-4CB7-BCAE-DCE6A477AD1B}"/>
    <cellStyle name="Cálculo 2 2 3 2 9" xfId="6359" xr:uid="{9B7EEE7E-8EFE-48BB-B574-3A82D4776C70}"/>
    <cellStyle name="Cálculo 2 2 3 2 9 2" xfId="12063" xr:uid="{A5D01282-8779-4967-93AF-DCDFAFC78C14}"/>
    <cellStyle name="Cálculo 2 2 3 20" xfId="8878" xr:uid="{A197EB0C-49CF-476C-80B3-C971FF774232}"/>
    <cellStyle name="Cálculo 2 2 3 21" xfId="2224" xr:uid="{D2C0F471-8524-4E97-8865-D4E536E412A2}"/>
    <cellStyle name="Cálculo 2 2 3 3" xfId="2522" xr:uid="{71D6A7E0-DDBF-46CC-9DDB-28E166E96C06}"/>
    <cellStyle name="Cálculo 2 2 3 3 10" xfId="7214" xr:uid="{E043400C-7CA4-4D6A-906F-757EB0188BF1}"/>
    <cellStyle name="Cálculo 2 2 3 3 10 2" xfId="12786" xr:uid="{3862D3C4-47EE-4346-ACF0-88E6A73FECB6}"/>
    <cellStyle name="Cálculo 2 2 3 3 11" xfId="5880" xr:uid="{6BB62226-CAB6-4BE6-9BD4-7EF5C3689554}"/>
    <cellStyle name="Cálculo 2 2 3 3 11 2" xfId="11608" xr:uid="{74BE05F6-DC43-486E-8F3B-D602F0DE1F25}"/>
    <cellStyle name="Cálculo 2 2 3 3 12" xfId="8736" xr:uid="{E9F8EBBE-9064-4908-AF73-06056EA200EE}"/>
    <cellStyle name="Cálculo 2 2 3 3 12 2" xfId="14092" xr:uid="{ABDB8F50-CD41-4B8B-9778-3944A3028441}"/>
    <cellStyle name="Cálculo 2 2 3 3 13" xfId="9052" xr:uid="{CDCF6F26-9BA2-4967-BAB7-615395DD2B38}"/>
    <cellStyle name="Cálculo 2 2 3 3 2" xfId="3078" xr:uid="{BDFFD892-9E4A-47D6-90F5-F8409359FAF5}"/>
    <cellStyle name="Cálculo 2 2 3 3 2 2" xfId="4018" xr:uid="{E6F3D9B4-81A5-492A-9F2B-874F1CF9FC2E}"/>
    <cellStyle name="Cálculo 2 2 3 3 2 2 2" xfId="10132" xr:uid="{94D22EDC-62C3-457E-9892-F119F9F37FDE}"/>
    <cellStyle name="Cálculo 2 2 3 3 2 3" xfId="6989" xr:uid="{77AD7CFA-EA60-4215-A79B-DC4275D591E3}"/>
    <cellStyle name="Cálculo 2 2 3 3 2 3 2" xfId="12595" xr:uid="{0F080FB9-D68D-4651-B193-959AEB7521DA}"/>
    <cellStyle name="Cálculo 2 2 3 3 2 4" xfId="7667" xr:uid="{368769E4-C6C6-42C6-9D61-DFC1CFC50A51}"/>
    <cellStyle name="Cálculo 2 2 3 3 2 4 2" xfId="13239" xr:uid="{2B0269EC-954F-41A7-8053-3EA5C5524124}"/>
    <cellStyle name="Cálculo 2 2 3 3 2 5" xfId="8160" xr:uid="{5AE4DEFF-875B-46DB-BEF3-022EB78A9DEB}"/>
    <cellStyle name="Cálculo 2 2 3 3 2 5 2" xfId="13732" xr:uid="{B1310990-EFE1-4864-8571-386DA9FBD9A8}"/>
    <cellStyle name="Cálculo 2 2 3 3 2 6" xfId="9412" xr:uid="{64581A95-AF9D-441F-AAFA-F6EE1D1C9623}"/>
    <cellStyle name="Cálculo 2 2 3 3 3" xfId="3538" xr:uid="{8A8FE2BE-AC98-4529-A6F5-BE1BC9138C16}"/>
    <cellStyle name="Cálculo 2 2 3 3 3 2" xfId="9772" xr:uid="{E8869E47-4A0B-4248-AFF1-8DF235415DB7}"/>
    <cellStyle name="Cálculo 2 2 3 3 4" xfId="4735" xr:uid="{0789DAA5-4F7E-4EA6-A58F-DB8D39D16AB6}"/>
    <cellStyle name="Cálculo 2 2 3 3 4 2" xfId="10599" xr:uid="{EA987B5F-289B-4EC3-B932-BF5BA158B5B0}"/>
    <cellStyle name="Cálculo 2 2 3 3 5" xfId="4978" xr:uid="{066AB0FA-C0D9-4A2D-8363-C481E5B5DA1E}"/>
    <cellStyle name="Cálculo 2 2 3 3 5 2" xfId="10824" xr:uid="{7F4DF690-8471-434E-85D2-859688C212CB}"/>
    <cellStyle name="Cálculo 2 2 3 3 6" xfId="5126" xr:uid="{437B0DA9-B70D-4A23-A5B2-5B0639473C57}"/>
    <cellStyle name="Cálculo 2 2 3 3 6 2" xfId="10972" xr:uid="{3F274351-B6DA-4723-80AA-B055D68789F3}"/>
    <cellStyle name="Cálculo 2 2 3 3 7" xfId="5917" xr:uid="{021CCC20-1F4A-4CB6-B74C-AB0773F2F1B6}"/>
    <cellStyle name="Cálculo 2 2 3 3 7 2" xfId="11645" xr:uid="{3F762DAB-C808-4001-9237-144E6C42F50A}"/>
    <cellStyle name="Cálculo 2 2 3 3 8" xfId="6247" xr:uid="{42E399B7-7B9C-4941-93AE-7B882AE8C6C8}"/>
    <cellStyle name="Cálculo 2 2 3 3 8 2" xfId="11951" xr:uid="{F424E3AD-D639-4E27-BB6E-879CA6615EC8}"/>
    <cellStyle name="Cálculo 2 2 3 3 9" xfId="6449" xr:uid="{65BDC64E-A3A8-47CF-9AE3-467CAF783234}"/>
    <cellStyle name="Cálculo 2 2 3 3 9 2" xfId="12153" xr:uid="{FDD43AA0-4DEF-4166-B67C-FB16E2FB919B}"/>
    <cellStyle name="Cálculo 2 2 3 4" xfId="2354" xr:uid="{721514E8-4ABF-49F0-A698-7C2F6DF205AE}"/>
    <cellStyle name="Cálculo 2 2 3 4 10" xfId="5648" xr:uid="{C97319DC-E9B7-46B8-A6A0-14D2F56512DC}"/>
    <cellStyle name="Cálculo 2 2 3 4 10 2" xfId="11376" xr:uid="{417746FD-97DA-47EB-A0F1-D5953C238AFE}"/>
    <cellStyle name="Cálculo 2 2 3 4 11" xfId="5788" xr:uid="{F0FB6C1F-C04F-4D3A-8D83-051D99DADB15}"/>
    <cellStyle name="Cálculo 2 2 3 4 11 2" xfId="11516" xr:uid="{713FFD7B-11E4-4401-B556-B30C2C78D267}"/>
    <cellStyle name="Cálculo 2 2 3 4 12" xfId="8568" xr:uid="{070A02AD-94B0-48EB-B4D5-4F03DE70941E}"/>
    <cellStyle name="Cálculo 2 2 3 4 12 2" xfId="13988" xr:uid="{9E02860D-1FC8-4437-9F3F-E922ABE70A4B}"/>
    <cellStyle name="Cálculo 2 2 3 4 13" xfId="8948" xr:uid="{911E61C7-62E1-4C5C-B9E7-A4474F172F1D}"/>
    <cellStyle name="Cálculo 2 2 3 4 2" xfId="2974" xr:uid="{8AE6F74E-B69A-4D8B-864D-DDECECB3F005}"/>
    <cellStyle name="Cálculo 2 2 3 4 2 2" xfId="3914" xr:uid="{C19E8FD6-1F40-43B0-ABC8-F6F46B7D8460}"/>
    <cellStyle name="Cálculo 2 2 3 4 2 2 2" xfId="10028" xr:uid="{1A69369A-E711-49F9-B4F6-030FD24D1112}"/>
    <cellStyle name="Cálculo 2 2 3 4 2 3" xfId="6885" xr:uid="{776C91F1-1C82-4248-ADAA-3E45D0C0C111}"/>
    <cellStyle name="Cálculo 2 2 3 4 2 3 2" xfId="12491" xr:uid="{8266421F-70D9-4CED-A6BB-752BD6299D28}"/>
    <cellStyle name="Cálculo 2 2 3 4 2 4" xfId="7563" xr:uid="{05B4E5B7-2713-4026-839F-6EB493E4707A}"/>
    <cellStyle name="Cálculo 2 2 3 4 2 4 2" xfId="13135" xr:uid="{1BC3A804-AB32-40CC-8582-66FA1E986F34}"/>
    <cellStyle name="Cálculo 2 2 3 4 2 5" xfId="8056" xr:uid="{D5447DB3-A7FA-48AF-80CB-5BDB0D74666E}"/>
    <cellStyle name="Cálculo 2 2 3 4 2 5 2" xfId="13628" xr:uid="{5364C000-9EDD-40E3-A211-EEAF07E86F81}"/>
    <cellStyle name="Cálculo 2 2 3 4 2 6" xfId="9308" xr:uid="{90D13EA5-23F2-4BC8-A73D-EFDAD6645933}"/>
    <cellStyle name="Cálculo 2 2 3 4 3" xfId="3434" xr:uid="{B46D9AB7-0418-43A2-B34C-9AF33CB32019}"/>
    <cellStyle name="Cálculo 2 2 3 4 3 2" xfId="9668" xr:uid="{FAFEBFCC-C58E-4378-B1EE-A31ECB047C02}"/>
    <cellStyle name="Cálculo 2 2 3 4 4" xfId="4617" xr:uid="{8E86BAFF-FFD6-42B3-BB77-5462C2BE43F0}"/>
    <cellStyle name="Cálculo 2 2 3 4 4 2" xfId="10481" xr:uid="{AF91EA73-360B-442F-A46F-982348EF23B1}"/>
    <cellStyle name="Cálculo 2 2 3 4 5" xfId="4856" xr:uid="{DC0FF6D7-990D-4AAA-8E09-C40425DAEF11}"/>
    <cellStyle name="Cálculo 2 2 3 4 5 2" xfId="10702" xr:uid="{5665320A-9EED-45B3-AFA0-32416C4BB9D2}"/>
    <cellStyle name="Cálculo 2 2 3 4 6" xfId="5022" xr:uid="{3F301386-0F71-4560-B0A9-41A95ACA5239}"/>
    <cellStyle name="Cálculo 2 2 3 4 6 2" xfId="10868" xr:uid="{8EBECD7A-CB64-4D42-8B41-4E27C190E57A}"/>
    <cellStyle name="Cálculo 2 2 3 4 7" xfId="5771" xr:uid="{A9BC5BAB-FD23-4D01-9496-5C7CCB97E645}"/>
    <cellStyle name="Cálculo 2 2 3 4 7 2" xfId="11499" xr:uid="{076CCA6F-DCD8-452F-A1B4-8DFA9664E17D}"/>
    <cellStyle name="Cálculo 2 2 3 4 8" xfId="5282" xr:uid="{49373101-BDD3-49DE-971B-5DC3E8E6E11F}"/>
    <cellStyle name="Cálculo 2 2 3 4 8 2" xfId="11126" xr:uid="{987F46E1-278D-4A9B-B617-9C3C15A5A32B}"/>
    <cellStyle name="Cálculo 2 2 3 4 9" xfId="6307" xr:uid="{3020C11A-F6BE-4931-876C-2787C7658176}"/>
    <cellStyle name="Cálculo 2 2 3 4 9 2" xfId="12011" xr:uid="{75028BDE-3E00-4D11-86E5-324179A14128}"/>
    <cellStyle name="Cálculo 2 2 3 5" xfId="2680" xr:uid="{94E3DB0F-7E5C-4E27-B20B-18CE1C467B54}"/>
    <cellStyle name="Cálculo 2 2 3 5 2" xfId="3144" xr:uid="{A10D45ED-6DF3-4616-9792-31ABEC2E241C}"/>
    <cellStyle name="Cálculo 2 2 3 5 2 2" xfId="4102" xr:uid="{B607826B-637B-47A5-87A9-0F789AC819C2}"/>
    <cellStyle name="Cálculo 2 2 3 5 2 2 2" xfId="10198" xr:uid="{D6306CAB-EEF0-4A14-990A-DA4FB89CAEA8}"/>
    <cellStyle name="Cálculo 2 2 3 5 2 3" xfId="7073" xr:uid="{AB6DCFF9-909B-4624-A67B-3554F7ADFC37}"/>
    <cellStyle name="Cálculo 2 2 3 5 2 3 2" xfId="12661" xr:uid="{392A3E32-53A3-491D-A4AC-A6D386A00F20}"/>
    <cellStyle name="Cálculo 2 2 3 5 2 4" xfId="7734" xr:uid="{7E1B5A77-710E-4EBB-BA71-A806BB91B01A}"/>
    <cellStyle name="Cálculo 2 2 3 5 2 4 2" xfId="13306" xr:uid="{8CF2FB77-DEC8-467D-9274-CE3F89C85D75}"/>
    <cellStyle name="Cálculo 2 2 3 5 2 5" xfId="8226" xr:uid="{8F9555BF-7493-4A10-B385-DB2529FD02A0}"/>
    <cellStyle name="Cálculo 2 2 3 5 2 5 2" xfId="13798" xr:uid="{DEB61007-E574-4AB1-9B86-1B636442DEA5}"/>
    <cellStyle name="Cálculo 2 2 3 5 2 6" xfId="9478" xr:uid="{D29A5BFC-68E0-4242-9A71-218A920BC6AE}"/>
    <cellStyle name="Cálculo 2 2 3 5 3" xfId="3622" xr:uid="{98490332-F2A3-4048-B65C-94EE7FE7A2EE}"/>
    <cellStyle name="Cálculo 2 2 3 5 3 2" xfId="9838" xr:uid="{DC3C654F-4A3E-4503-A456-2036C62F1C73}"/>
    <cellStyle name="Cálculo 2 2 3 5 4" xfId="6059" xr:uid="{3B477BBB-9A41-49FC-80ED-8A97D3124A6F}"/>
    <cellStyle name="Cálculo 2 2 3 5 4 2" xfId="11771" xr:uid="{DE8ED1DE-D982-485F-934A-58A3FD16728A}"/>
    <cellStyle name="Cálculo 2 2 3 5 5" xfId="6577" xr:uid="{604E72C8-E057-4D50-A497-CB24B6CD7DAC}"/>
    <cellStyle name="Cálculo 2 2 3 5 5 2" xfId="12281" xr:uid="{24189E55-E8E0-4FA7-A492-AC3950531A77}"/>
    <cellStyle name="Cálculo 2 2 3 5 6" xfId="7331" xr:uid="{55DC01C9-2D63-4E21-9793-2B5644321ACB}"/>
    <cellStyle name="Cálculo 2 2 3 5 6 2" xfId="12903" xr:uid="{E314CDB5-898E-4FFA-8C40-FC20B6565AEB}"/>
    <cellStyle name="Cálculo 2 2 3 5 7" xfId="7866" xr:uid="{CA30AFEF-B69F-422E-BFCA-5711CA73B2C1}"/>
    <cellStyle name="Cálculo 2 2 3 5 7 2" xfId="13438" xr:uid="{82B45E0A-351C-4E44-A7B7-65023FBCDA76}"/>
    <cellStyle name="Cálculo 2 2 3 5 8" xfId="9118" xr:uid="{4A1BB992-F756-44F4-AC13-F0285822FA53}"/>
    <cellStyle name="Cálculo 2 2 3 6" xfId="2772" xr:uid="{04DFBF84-EAF0-425E-98AE-2D086EC0032A}"/>
    <cellStyle name="Cálculo 2 2 3 6 2" xfId="3204" xr:uid="{14679EBB-B0D7-4DB7-AF13-BB45E15792A4}"/>
    <cellStyle name="Cálculo 2 2 3 6 2 2" xfId="4162" xr:uid="{656CAD68-D7A9-4DAB-886D-0F37626DE556}"/>
    <cellStyle name="Cálculo 2 2 3 6 2 2 2" xfId="10258" xr:uid="{04737E78-47B0-4D34-865C-26AFABD6AD4C}"/>
    <cellStyle name="Cálculo 2 2 3 6 2 3" xfId="7133" xr:uid="{050F0ACC-E26C-42AD-B2BA-6010B5ED21F1}"/>
    <cellStyle name="Cálculo 2 2 3 6 2 3 2" xfId="12721" xr:uid="{1454DAD8-9397-4085-A9D1-F8CFF057EA02}"/>
    <cellStyle name="Cálculo 2 2 3 6 2 4" xfId="7794" xr:uid="{6DAF0C12-63A5-4419-AA07-FF6DC9CFE9FC}"/>
    <cellStyle name="Cálculo 2 2 3 6 2 4 2" xfId="13366" xr:uid="{60A11249-32CE-4F64-82D4-0A64D631D596}"/>
    <cellStyle name="Cálculo 2 2 3 6 2 5" xfId="8286" xr:uid="{20C089FB-43BB-419D-A03C-4285C12CDD6B}"/>
    <cellStyle name="Cálculo 2 2 3 6 2 5 2" xfId="13858" xr:uid="{2E4705C8-31EB-44D3-A0A7-78C986D60994}"/>
    <cellStyle name="Cálculo 2 2 3 6 2 6" xfId="9538" xr:uid="{6E089475-AF35-45B7-AB79-F81760FBC198}"/>
    <cellStyle name="Cálculo 2 2 3 6 3" xfId="3682" xr:uid="{E368D1E3-FE78-4665-BD81-48F560B3DC67}"/>
    <cellStyle name="Cálculo 2 2 3 6 3 2" xfId="9898" xr:uid="{3E7790DF-794D-4E5C-8507-9B310E00AF7A}"/>
    <cellStyle name="Cálculo 2 2 3 6 4" xfId="6139" xr:uid="{101D004E-D5EC-492C-9E5B-55BC6B1CE932}"/>
    <cellStyle name="Cálculo 2 2 3 6 4 2" xfId="11851" xr:uid="{66F1FAB0-89A5-4C41-9517-73BE6937E191}"/>
    <cellStyle name="Cálculo 2 2 3 6 5" xfId="6649" xr:uid="{3ED89BA7-A7DE-4525-B811-340A2CEE86ED}"/>
    <cellStyle name="Cálculo 2 2 3 6 5 2" xfId="12353" xr:uid="{19B50D79-764F-4A3C-B3E8-E1B25DB07FB6}"/>
    <cellStyle name="Cálculo 2 2 3 6 6" xfId="7393" xr:uid="{68F8E3FF-10D7-450F-8891-EDAE1A45DCB4}"/>
    <cellStyle name="Cálculo 2 2 3 6 6 2" xfId="12965" xr:uid="{04A0FAE5-670B-4878-B1E9-DFA746A14763}"/>
    <cellStyle name="Cálculo 2 2 3 6 7" xfId="7926" xr:uid="{A31219AE-702B-4EF9-9928-A3D4B516F221}"/>
    <cellStyle name="Cálculo 2 2 3 6 7 2" xfId="13498" xr:uid="{3809B93E-35D5-4087-B472-1644CE480FDF}"/>
    <cellStyle name="Cálculo 2 2 3 6 8" xfId="9178" xr:uid="{A4C0FCE4-3F4C-45CE-AB4A-A01343B07A5C}"/>
    <cellStyle name="Cálculo 2 2 3 7" xfId="2872" xr:uid="{3F49D8DD-8F84-4870-A82C-FB6A6612B23B}"/>
    <cellStyle name="Cálculo 2 2 3 7 2" xfId="3796" xr:uid="{CF62D2B0-398B-4FDC-96B2-73652C359DF7}"/>
    <cellStyle name="Cálculo 2 2 3 7 2 2" xfId="9958" xr:uid="{D4C10A19-F5C8-492E-AC21-91B167088EC2}"/>
    <cellStyle name="Cálculo 2 2 3 7 3" xfId="6767" xr:uid="{155DDF7C-3992-4871-A7EF-686D03090F2A}"/>
    <cellStyle name="Cálculo 2 2 3 7 3 2" xfId="12421" xr:uid="{0650F73B-47D5-4087-B129-B47F272F13D5}"/>
    <cellStyle name="Cálculo 2 2 3 7 4" xfId="7477" xr:uid="{E83A5540-9D33-4441-9E74-D3FAE3A05720}"/>
    <cellStyle name="Cálculo 2 2 3 7 4 2" xfId="13049" xr:uid="{09A80A2E-62AF-4C86-B9F7-8527A33A8A25}"/>
    <cellStyle name="Cálculo 2 2 3 7 5" xfId="7986" xr:uid="{03814D57-FE6C-479C-B812-53CBC14F6103}"/>
    <cellStyle name="Cálculo 2 2 3 7 5 2" xfId="13558" xr:uid="{20E6A6CB-AE69-4D40-9267-CB8F86DE2CCF}"/>
    <cellStyle name="Cálculo 2 2 3 7 6" xfId="9238" xr:uid="{2DCA5AE0-F694-4B24-AA75-78C356AA3C2B}"/>
    <cellStyle name="Cálculo 2 2 3 8" xfId="3316" xr:uid="{0CE4CC71-6AD7-4B62-926D-F19877139846}"/>
    <cellStyle name="Cálculo 2 2 3 8 2" xfId="9598" xr:uid="{C3C56A60-4CBA-4158-889A-6969F9F29B39}"/>
    <cellStyle name="Cálculo 2 2 3 9" xfId="4483" xr:uid="{A5232B59-6067-40E0-BDA1-7CCDF5B375BC}"/>
    <cellStyle name="Cálculo 2 2 3 9 2" xfId="10395" xr:uid="{906FCBD5-BAB1-4092-B43A-A484B372FB3A}"/>
    <cellStyle name="Cálculo 2 2 4" xfId="1539" xr:uid="{A7CB6458-C5F6-4EB5-8B53-42CBD6604FFA}"/>
    <cellStyle name="Cálculo 2 2 4 10" xfId="4364" xr:uid="{6ECF5AB6-0FD8-4C60-85F9-F475D3059A0D}"/>
    <cellStyle name="Cálculo 2 2 4 10 2" xfId="10324" xr:uid="{F01EE547-620B-4D74-81EE-99FA368E4A14}"/>
    <cellStyle name="Cálculo 2 2 4 11" xfId="4800" xr:uid="{F6A54027-5865-48E0-9FC8-A8EA058F62A1}"/>
    <cellStyle name="Cálculo 2 2 4 11 2" xfId="10646" xr:uid="{3CD0F0D6-3F1D-478A-84DA-D13FF77251F0}"/>
    <cellStyle name="Cálculo 2 2 4 12" xfId="5433" xr:uid="{9E1B2F74-4A14-436B-89F9-54B9D7BB5EDF}"/>
    <cellStyle name="Cálculo 2 2 4 12 2" xfId="11227" xr:uid="{A067ED17-FC7A-476E-A518-81F5481BFB4A}"/>
    <cellStyle name="Cálculo 2 2 4 13" xfId="5601" xr:uid="{A527E217-F264-40D6-92FB-1F3B182E2B19}"/>
    <cellStyle name="Cálculo 2 2 4 13 2" xfId="11329" xr:uid="{0A88312D-E2AE-457E-A82F-4B1EFE32C6FC}"/>
    <cellStyle name="Cálculo 2 2 4 14" xfId="5228" xr:uid="{7D177989-D1E2-4F3D-BAAF-46EF31F55450}"/>
    <cellStyle name="Cálculo 2 2 4 14 2" xfId="11074" xr:uid="{FA3EDD6E-A575-49FE-AEE5-B6EC53F8545C}"/>
    <cellStyle name="Cálculo 2 2 4 15" xfId="5528" xr:uid="{EA55D9D6-072E-46F8-AF94-A7E7D926FFE1}"/>
    <cellStyle name="Cálculo 2 2 4 15 2" xfId="11256" xr:uid="{39F4AE89-F220-4F98-893A-AADEB4ACBD5D}"/>
    <cellStyle name="Cálculo 2 2 4 16" xfId="5556" xr:uid="{FB8FCD32-C2D9-4A17-9EF5-BB596FEBFF07}"/>
    <cellStyle name="Cálculo 2 2 4 16 2" xfId="11284" xr:uid="{12765AA1-DDA4-4B20-BA9E-E44DE0F3B068}"/>
    <cellStyle name="Cálculo 2 2 4 17" xfId="5887" xr:uid="{903F2331-C1BC-4F95-989F-A630534B5E66}"/>
    <cellStyle name="Cálculo 2 2 4 17 2" xfId="11615" xr:uid="{A853FDC9-699E-4598-BECA-F21D51FD15F1}"/>
    <cellStyle name="Cálculo 2 2 4 18" xfId="7269" xr:uid="{2A90212F-B8F8-4A7B-9947-AC7A55037C51}"/>
    <cellStyle name="Cálculo 2 2 4 18 2" xfId="12841" xr:uid="{D3A24E83-7239-4B98-A030-62FA17F14A7C}"/>
    <cellStyle name="Cálculo 2 2 4 19" xfId="8449" xr:uid="{51AB2F80-9051-458C-8427-ADBC18C94905}"/>
    <cellStyle name="Cálculo 2 2 4 19 2" xfId="13929" xr:uid="{F386FCB5-534A-46B3-B21E-A6BF6B9839BD}"/>
    <cellStyle name="Cálculo 2 2 4 2" xfId="2429" xr:uid="{0310E61B-FA8E-4C09-90DC-1F54924AF447}"/>
    <cellStyle name="Cálculo 2 2 4 2 10" xfId="5206" xr:uid="{8892EACE-079F-43C4-BD35-0058E53D41E0}"/>
    <cellStyle name="Cálculo 2 2 4 2 10 2" xfId="11052" xr:uid="{DAE7258B-DB03-46A8-AE40-24EFA7C69552}"/>
    <cellStyle name="Cálculo 2 2 4 2 11" xfId="7302" xr:uid="{78029CB3-080A-4A52-AD47-A510A13F1E62}"/>
    <cellStyle name="Cálculo 2 2 4 2 11 2" xfId="12874" xr:uid="{9842A882-9150-478F-A0E2-0871452C5479}"/>
    <cellStyle name="Cálculo 2 2 4 2 12" xfId="8643" xr:uid="{1E6E1D61-71AB-42E9-BA9A-6C01DB09D1F8}"/>
    <cellStyle name="Cálculo 2 2 4 2 12 2" xfId="14031" xr:uid="{6A6D5FFF-A682-47CD-8F9A-F29CB3C32193}"/>
    <cellStyle name="Cálculo 2 2 4 2 13" xfId="8991" xr:uid="{A9ABFF0D-08E9-4095-A6B9-547CB9921165}"/>
    <cellStyle name="Cálculo 2 2 4 2 2" xfId="3017" xr:uid="{A5F538B7-B00F-4838-A4F5-CBB335CAAF0F}"/>
    <cellStyle name="Cálculo 2 2 4 2 2 2" xfId="3957" xr:uid="{247E761A-1C89-4578-BC9F-243A085B28BA}"/>
    <cellStyle name="Cálculo 2 2 4 2 2 2 2" xfId="10071" xr:uid="{1D90A279-A6BB-4F5E-9B49-18F511FE7447}"/>
    <cellStyle name="Cálculo 2 2 4 2 2 3" xfId="6928" xr:uid="{F441A48F-9BB3-4042-A1F3-D11012AD56FA}"/>
    <cellStyle name="Cálculo 2 2 4 2 2 3 2" xfId="12534" xr:uid="{02B47DEC-8D89-4A65-95A2-751BACF2308F}"/>
    <cellStyle name="Cálculo 2 2 4 2 2 4" xfId="7606" xr:uid="{DF893CAF-E2AA-4CF8-9FF9-D110E1668F2C}"/>
    <cellStyle name="Cálculo 2 2 4 2 2 4 2" xfId="13178" xr:uid="{3547E584-E45E-44BE-8D89-A37F9EB0F125}"/>
    <cellStyle name="Cálculo 2 2 4 2 2 5" xfId="8099" xr:uid="{78E1835A-A6D7-4350-86A0-7F28BB4E6684}"/>
    <cellStyle name="Cálculo 2 2 4 2 2 5 2" xfId="13671" xr:uid="{23B9681C-E0FD-4CE9-BCBE-418D26032404}"/>
    <cellStyle name="Cálculo 2 2 4 2 2 6" xfId="9351" xr:uid="{E9949479-5CCC-46D4-AF1B-41A65D1111F7}"/>
    <cellStyle name="Cálculo 2 2 4 2 3" xfId="3477" xr:uid="{0C60D2CA-6C01-41D6-A646-C4DAF1227B2C}"/>
    <cellStyle name="Cálculo 2 2 4 2 3 2" xfId="9711" xr:uid="{FF1D86A5-96A6-44ED-A574-FDC39CF95974}"/>
    <cellStyle name="Cálculo 2 2 4 2 4" xfId="4670" xr:uid="{56D4AA19-E7E7-4B33-9110-6EB2C562FD84}"/>
    <cellStyle name="Cálculo 2 2 4 2 4 2" xfId="10534" xr:uid="{E7470F8C-B991-415C-9BFD-1B7BC71F36D5}"/>
    <cellStyle name="Cálculo 2 2 4 2 5" xfId="4909" xr:uid="{A5678887-AA6D-4D2E-BFAF-29B808F33C84}"/>
    <cellStyle name="Cálculo 2 2 4 2 5 2" xfId="10755" xr:uid="{FAD65F84-BF46-41D3-BE55-1BD4D4754451}"/>
    <cellStyle name="Cálculo 2 2 4 2 6" xfId="5065" xr:uid="{80C1210A-1D23-41D1-9B62-D91C9EA3EB17}"/>
    <cellStyle name="Cálculo 2 2 4 2 6 2" xfId="10911" xr:uid="{DE8F52B2-83F4-4070-9A8F-5D863067A29C}"/>
    <cellStyle name="Cálculo 2 2 4 2 7" xfId="5835" xr:uid="{FF648293-72BE-4820-BE39-839D8C86B6AF}"/>
    <cellStyle name="Cálculo 2 2 4 2 7 2" xfId="11563" xr:uid="{A534B398-904A-404E-A493-06C00C7B258B}"/>
    <cellStyle name="Cálculo 2 2 4 2 8" xfId="5180" xr:uid="{FCFF7120-89F0-478D-A34B-B4E1609BFC20}"/>
    <cellStyle name="Cálculo 2 2 4 2 8 2" xfId="11026" xr:uid="{E134953F-74A0-4170-8796-BA9A6FDCF532}"/>
    <cellStyle name="Cálculo 2 2 4 2 9" xfId="6372" xr:uid="{0A3C0F05-61F6-4AB3-8535-992C3966B202}"/>
    <cellStyle name="Cálculo 2 2 4 2 9 2" xfId="12076" xr:uid="{F031A564-3C3B-470F-8B36-9EBCB0D89D33}"/>
    <cellStyle name="Cálculo 2 2 4 20" xfId="8889" xr:uid="{CEE2F912-8C84-44DE-A068-DF284BF2F72F}"/>
    <cellStyle name="Cálculo 2 2 4 21" xfId="2235" xr:uid="{A7683F48-AEFB-4794-96A1-39728E5365AD}"/>
    <cellStyle name="Cálculo 2 2 4 3" xfId="2534" xr:uid="{C56A9A2D-D2FC-4D9A-AC2A-7541306B5B08}"/>
    <cellStyle name="Cálculo 2 2 4 3 10" xfId="7226" xr:uid="{D6EB9E35-E5E7-407D-BF63-6ED8601E1F5D}"/>
    <cellStyle name="Cálculo 2 2 4 3 10 2" xfId="12798" xr:uid="{FB8A81AC-A12A-4724-BBB7-F2CE1A0B229F}"/>
    <cellStyle name="Cálculo 2 2 4 3 11" xfId="7527" xr:uid="{DAB92B67-FC2D-45F5-8E12-918834ACC2AB}"/>
    <cellStyle name="Cálculo 2 2 4 3 11 2" xfId="13099" xr:uid="{8A5C147D-C9F2-4B60-AECE-D2510663398B}"/>
    <cellStyle name="Cálculo 2 2 4 3 12" xfId="8748" xr:uid="{B75DF31D-A5A0-489A-BAD1-0A530C7A3DFA}"/>
    <cellStyle name="Cálculo 2 2 4 3 12 2" xfId="14104" xr:uid="{FF98EEC9-3BDF-4E02-AFFD-976CA9B97926}"/>
    <cellStyle name="Cálculo 2 2 4 3 13" xfId="9064" xr:uid="{71741416-7E0D-4658-9E2F-5D183E941D0C}"/>
    <cellStyle name="Cálculo 2 2 4 3 2" xfId="3090" xr:uid="{65AB591C-BAE9-41A8-943C-E4F3F745C9C4}"/>
    <cellStyle name="Cálculo 2 2 4 3 2 2" xfId="4030" xr:uid="{07A7B3F6-7A81-4AA2-9423-7685161E4004}"/>
    <cellStyle name="Cálculo 2 2 4 3 2 2 2" xfId="10144" xr:uid="{4067AFF8-6F29-4A06-9BA5-5E6E5C280C41}"/>
    <cellStyle name="Cálculo 2 2 4 3 2 3" xfId="7001" xr:uid="{0E4AC3E6-5E56-4B1C-9568-B87CBD63390C}"/>
    <cellStyle name="Cálculo 2 2 4 3 2 3 2" xfId="12607" xr:uid="{C3A22C89-2AC7-4A70-B368-BE30C0DF05E4}"/>
    <cellStyle name="Cálculo 2 2 4 3 2 4" xfId="7679" xr:uid="{03EA8F29-312D-4457-A4E6-8C3D6B5CC020}"/>
    <cellStyle name="Cálculo 2 2 4 3 2 4 2" xfId="13251" xr:uid="{9E01B4FA-3C3D-424D-8A46-C6BE32E798BE}"/>
    <cellStyle name="Cálculo 2 2 4 3 2 5" xfId="8172" xr:uid="{84637A21-4382-4510-AE49-D28D7BC90E91}"/>
    <cellStyle name="Cálculo 2 2 4 3 2 5 2" xfId="13744" xr:uid="{8F92FC1E-9776-4334-A9A1-74F43532AC57}"/>
    <cellStyle name="Cálculo 2 2 4 3 2 6" xfId="9424" xr:uid="{9799A35A-D2F0-42A0-AB1A-033CBC8FE36A}"/>
    <cellStyle name="Cálculo 2 2 4 3 3" xfId="3550" xr:uid="{2192F7F6-E80D-41EB-926B-05D32D75E42A}"/>
    <cellStyle name="Cálculo 2 2 4 3 3 2" xfId="9784" xr:uid="{355C7C25-76A5-4A75-BE7D-F9E121B57249}"/>
    <cellStyle name="Cálculo 2 2 4 3 4" xfId="4747" xr:uid="{DC205A00-7843-4129-A6E8-104A4FCE376C}"/>
    <cellStyle name="Cálculo 2 2 4 3 4 2" xfId="10611" xr:uid="{43681974-1A09-47A1-86DD-B015378F57AB}"/>
    <cellStyle name="Cálculo 2 2 4 3 5" xfId="4990" xr:uid="{23D3168A-F0E0-41E4-B4EB-7CADFCC95D04}"/>
    <cellStyle name="Cálculo 2 2 4 3 5 2" xfId="10836" xr:uid="{BADB3906-B95D-4213-B4A6-42468007B286}"/>
    <cellStyle name="Cálculo 2 2 4 3 6" xfId="5138" xr:uid="{380936E7-5AD4-419B-88A5-CB9D3C0CEA92}"/>
    <cellStyle name="Cálculo 2 2 4 3 6 2" xfId="10984" xr:uid="{7CF4B71C-3085-41A0-BE5B-3BBFB600E83E}"/>
    <cellStyle name="Cálculo 2 2 4 3 7" xfId="5929" xr:uid="{A22C7F8D-EC8F-476B-A253-AE4DA3297A25}"/>
    <cellStyle name="Cálculo 2 2 4 3 7 2" xfId="11657" xr:uid="{34EA74EF-F84B-4748-9E85-3B597CD5487B}"/>
    <cellStyle name="Cálculo 2 2 4 3 8" xfId="6259" xr:uid="{372F86F0-A812-4588-B2B5-1D760BA82AE5}"/>
    <cellStyle name="Cálculo 2 2 4 3 8 2" xfId="11963" xr:uid="{53931A02-0C62-4B86-89E4-AFDF66AEBF98}"/>
    <cellStyle name="Cálculo 2 2 4 3 9" xfId="6461" xr:uid="{127CF014-A7B4-4941-9FB8-DECAB942E0D5}"/>
    <cellStyle name="Cálculo 2 2 4 3 9 2" xfId="12165" xr:uid="{A16D1AE7-6731-469B-8F46-4B7056374291}"/>
    <cellStyle name="Cálculo 2 2 4 4" xfId="2353" xr:uid="{3EC80AE9-CE9E-4ED2-8B34-4441E6B8A92B}"/>
    <cellStyle name="Cálculo 2 2 4 4 10" xfId="5218" xr:uid="{5D050C8E-6CD3-46B0-A75D-8C340431FB21}"/>
    <cellStyle name="Cálculo 2 2 4 4 10 2" xfId="11064" xr:uid="{8E0F72DE-DAFF-4076-ABB9-BCE2FEEF27CC}"/>
    <cellStyle name="Cálculo 2 2 4 4 11" xfId="7276" xr:uid="{33F2DA5B-AF32-4C1F-B3AE-F577A08FFE2B}"/>
    <cellStyle name="Cálculo 2 2 4 4 11 2" xfId="12848" xr:uid="{A8D0E6B2-A971-4584-8FD0-C238D6CA26C9}"/>
    <cellStyle name="Cálculo 2 2 4 4 12" xfId="8567" xr:uid="{12007775-2959-4136-AD55-668E322EC936}"/>
    <cellStyle name="Cálculo 2 2 4 4 12 2" xfId="13987" xr:uid="{D225F0B1-4BD1-451A-8405-812E4B566B6D}"/>
    <cellStyle name="Cálculo 2 2 4 4 13" xfId="8947" xr:uid="{3414D145-1713-4EEC-9A9E-E04C0FF3AF35}"/>
    <cellStyle name="Cálculo 2 2 4 4 2" xfId="2973" xr:uid="{2D8AEEAA-7367-473F-B919-E0643503FE9A}"/>
    <cellStyle name="Cálculo 2 2 4 4 2 2" xfId="3913" xr:uid="{3B2DD6FE-8A29-47E1-8556-686059ACD890}"/>
    <cellStyle name="Cálculo 2 2 4 4 2 2 2" xfId="10027" xr:uid="{582D4AAC-44B2-48B2-B111-9ED556349218}"/>
    <cellStyle name="Cálculo 2 2 4 4 2 3" xfId="6884" xr:uid="{803D6BA5-C429-40F6-BC36-988AE764684E}"/>
    <cellStyle name="Cálculo 2 2 4 4 2 3 2" xfId="12490" xr:uid="{143E1332-1306-4366-A246-A8261116D21A}"/>
    <cellStyle name="Cálculo 2 2 4 4 2 4" xfId="7562" xr:uid="{2614A111-214B-4543-94B9-847A9B5E2543}"/>
    <cellStyle name="Cálculo 2 2 4 4 2 4 2" xfId="13134" xr:uid="{C44B1D90-5969-4993-9ACC-B1DF0A49C264}"/>
    <cellStyle name="Cálculo 2 2 4 4 2 5" xfId="8055" xr:uid="{603DBB47-5E20-410D-9652-849877D7AA5C}"/>
    <cellStyle name="Cálculo 2 2 4 4 2 5 2" xfId="13627" xr:uid="{03DE2989-0897-44E1-BE84-2A614CD26CFB}"/>
    <cellStyle name="Cálculo 2 2 4 4 2 6" xfId="9307" xr:uid="{B70F168C-98DC-4F2C-8890-B5156C2C29BF}"/>
    <cellStyle name="Cálculo 2 2 4 4 3" xfId="3433" xr:uid="{53A12B99-7A6E-425F-8C2C-CBCF26361F52}"/>
    <cellStyle name="Cálculo 2 2 4 4 3 2" xfId="9667" xr:uid="{7D47DE67-F546-4449-9B3C-209362494822}"/>
    <cellStyle name="Cálculo 2 2 4 4 4" xfId="4616" xr:uid="{A6CFA85A-AA5A-4C70-B985-3F33E4908BF3}"/>
    <cellStyle name="Cálculo 2 2 4 4 4 2" xfId="10480" xr:uid="{B153E45B-5DB0-4C0B-8B5E-96A78F206E13}"/>
    <cellStyle name="Cálculo 2 2 4 4 5" xfId="4855" xr:uid="{60769874-909B-44E7-89F2-06E52BC17382}"/>
    <cellStyle name="Cálculo 2 2 4 4 5 2" xfId="10701" xr:uid="{7B00093F-FF27-4F9D-952F-CCFA5D4547DC}"/>
    <cellStyle name="Cálculo 2 2 4 4 6" xfId="5021" xr:uid="{FEC49A18-A687-4F4A-AA21-73816BB19A7C}"/>
    <cellStyle name="Cálculo 2 2 4 4 6 2" xfId="10867" xr:uid="{C7E8F5F8-6DD9-4493-B650-ABF98A9D2C04}"/>
    <cellStyle name="Cálculo 2 2 4 4 7" xfId="5770" xr:uid="{DABA1BF2-1AEA-4F56-9ECD-800AACA3E048}"/>
    <cellStyle name="Cálculo 2 2 4 4 7 2" xfId="11498" xr:uid="{1419376B-0D5A-41A9-87A0-3131B80B607B}"/>
    <cellStyle name="Cálculo 2 2 4 4 8" xfId="5767" xr:uid="{9C7F0BD0-FF0C-4567-84C1-1E641B99EC05}"/>
    <cellStyle name="Cálculo 2 2 4 4 8 2" xfId="11495" xr:uid="{7976E98C-1705-4352-8D50-F615D4D949D4}"/>
    <cellStyle name="Cálculo 2 2 4 4 9" xfId="6306" xr:uid="{B05E9CBD-D8DB-483A-850C-0583B5070F08}"/>
    <cellStyle name="Cálculo 2 2 4 4 9 2" xfId="12010" xr:uid="{7A7F24B5-32C3-4BF0-8228-6A2473E93856}"/>
    <cellStyle name="Cálculo 2 2 4 5" xfId="2691" xr:uid="{DC4673D2-3E88-46DF-A9BF-3E88DECE26C6}"/>
    <cellStyle name="Cálculo 2 2 4 5 2" xfId="3155" xr:uid="{F2213176-EC45-4322-A4C5-0EE1B64F73FE}"/>
    <cellStyle name="Cálculo 2 2 4 5 2 2" xfId="4113" xr:uid="{193DE398-6D26-41D1-A3B5-E7A4D17630F8}"/>
    <cellStyle name="Cálculo 2 2 4 5 2 2 2" xfId="10209" xr:uid="{B89A3335-C0BF-4C2A-9410-4F85B12AFBB1}"/>
    <cellStyle name="Cálculo 2 2 4 5 2 3" xfId="7084" xr:uid="{F13C638B-F030-4B84-B5D1-32734300EA27}"/>
    <cellStyle name="Cálculo 2 2 4 5 2 3 2" xfId="12672" xr:uid="{FAD6E7A1-70AE-43E4-B461-BB2FFB562F22}"/>
    <cellStyle name="Cálculo 2 2 4 5 2 4" xfId="7745" xr:uid="{4D12B4B8-6AF7-4F55-BCF6-C59642F1CF0C}"/>
    <cellStyle name="Cálculo 2 2 4 5 2 4 2" xfId="13317" xr:uid="{B10E9B49-5432-4F06-BAAF-7209C84C58BD}"/>
    <cellStyle name="Cálculo 2 2 4 5 2 5" xfId="8237" xr:uid="{5E9AA8D8-DCDF-404F-8C88-ECEEB55C7967}"/>
    <cellStyle name="Cálculo 2 2 4 5 2 5 2" xfId="13809" xr:uid="{F6CCE1F7-0731-43B1-8F3E-1A6E7A29266E}"/>
    <cellStyle name="Cálculo 2 2 4 5 2 6" xfId="9489" xr:uid="{21B08810-B9A1-4EA0-B519-B66008738143}"/>
    <cellStyle name="Cálculo 2 2 4 5 3" xfId="3633" xr:uid="{AE692C8D-DE46-4752-9914-ACEF5FEB97BE}"/>
    <cellStyle name="Cálculo 2 2 4 5 3 2" xfId="9849" xr:uid="{9FE419F1-E762-4A77-BD63-C30B5461C2D8}"/>
    <cellStyle name="Cálculo 2 2 4 5 4" xfId="6070" xr:uid="{6E4835F1-E651-4F05-9CB6-8031488A34A5}"/>
    <cellStyle name="Cálculo 2 2 4 5 4 2" xfId="11782" xr:uid="{A80935A7-BD54-49AB-A2B0-9E5B56B2A1B5}"/>
    <cellStyle name="Cálculo 2 2 4 5 5" xfId="6588" xr:uid="{9A3C21E2-9135-4DEC-87A4-0F7ED00B5BE5}"/>
    <cellStyle name="Cálculo 2 2 4 5 5 2" xfId="12292" xr:uid="{08B6BE4E-1399-42EE-AE24-85761C95E7FE}"/>
    <cellStyle name="Cálculo 2 2 4 5 6" xfId="7342" xr:uid="{A96AB2F8-4EB6-4F6A-AA8C-496AE41B024A}"/>
    <cellStyle name="Cálculo 2 2 4 5 6 2" xfId="12914" xr:uid="{EA4559D2-2014-4393-A81F-420A3A435BE9}"/>
    <cellStyle name="Cálculo 2 2 4 5 7" xfId="7877" xr:uid="{2A0CCF55-CF20-4866-B19C-E735D49399D0}"/>
    <cellStyle name="Cálculo 2 2 4 5 7 2" xfId="13449" xr:uid="{B420FD23-58EE-417A-BD41-1D07E0159307}"/>
    <cellStyle name="Cálculo 2 2 4 5 8" xfId="9129" xr:uid="{E7654110-1FF7-485E-88C8-3A1679CE6098}"/>
    <cellStyle name="Cálculo 2 2 4 6" xfId="2783" xr:uid="{E6224B4E-B9DA-43D7-A5BB-BA7B5BE27352}"/>
    <cellStyle name="Cálculo 2 2 4 6 2" xfId="3215" xr:uid="{EB9363B5-77D1-4E92-929A-A71FC7B26C18}"/>
    <cellStyle name="Cálculo 2 2 4 6 2 2" xfId="4173" xr:uid="{FD0B3182-3970-4394-A153-8CBF83228D3A}"/>
    <cellStyle name="Cálculo 2 2 4 6 2 2 2" xfId="10269" xr:uid="{C4AA2DA5-5438-4CA8-9D7C-A0B3FA75082C}"/>
    <cellStyle name="Cálculo 2 2 4 6 2 3" xfId="7144" xr:uid="{39B70F04-D4A3-48DF-9F88-AC8BA46F6271}"/>
    <cellStyle name="Cálculo 2 2 4 6 2 3 2" xfId="12732" xr:uid="{58A45176-D003-4301-B6F2-762754EDE829}"/>
    <cellStyle name="Cálculo 2 2 4 6 2 4" xfId="7805" xr:uid="{630E2B8F-4086-4E1C-8C0F-0B23F7ADF8D9}"/>
    <cellStyle name="Cálculo 2 2 4 6 2 4 2" xfId="13377" xr:uid="{BA41D388-4B74-4F95-AA6A-2426798F9D05}"/>
    <cellStyle name="Cálculo 2 2 4 6 2 5" xfId="8297" xr:uid="{741320ED-5C11-4588-8B2E-D5765E83EAA4}"/>
    <cellStyle name="Cálculo 2 2 4 6 2 5 2" xfId="13869" xr:uid="{25CF5D3C-4406-4D85-96A4-BBD4561D9018}"/>
    <cellStyle name="Cálculo 2 2 4 6 2 6" xfId="9549" xr:uid="{AEB0B48F-1D6E-4DBB-B8DC-E877F7F2BC81}"/>
    <cellStyle name="Cálculo 2 2 4 6 3" xfId="3693" xr:uid="{1A69F65A-060E-4386-807F-868CB999AA1E}"/>
    <cellStyle name="Cálculo 2 2 4 6 3 2" xfId="9909" xr:uid="{AE373BF3-4593-4512-B4C2-148E1E81B3B2}"/>
    <cellStyle name="Cálculo 2 2 4 6 4" xfId="6150" xr:uid="{E94C14FE-1F80-48F6-B8BA-DD079BDAA538}"/>
    <cellStyle name="Cálculo 2 2 4 6 4 2" xfId="11862" xr:uid="{7B500B9D-B0CD-41D5-BEC9-80B15E39226D}"/>
    <cellStyle name="Cálculo 2 2 4 6 5" xfId="6660" xr:uid="{B59B0BF7-DE38-4444-AF32-4B5BFD045D04}"/>
    <cellStyle name="Cálculo 2 2 4 6 5 2" xfId="12364" xr:uid="{BE0A8B01-BD18-4347-9F2E-88E652027314}"/>
    <cellStyle name="Cálculo 2 2 4 6 6" xfId="7404" xr:uid="{7E06C17C-5A0E-4BF8-9374-FD5824DB9BCD}"/>
    <cellStyle name="Cálculo 2 2 4 6 6 2" xfId="12976" xr:uid="{52DE58A2-203F-4CB7-B054-06262628E8E2}"/>
    <cellStyle name="Cálculo 2 2 4 6 7" xfId="7937" xr:uid="{8F15DCE9-E693-41CC-9550-076ECC1F793F}"/>
    <cellStyle name="Cálculo 2 2 4 6 7 2" xfId="13509" xr:uid="{13FF32C2-26D7-48F9-AB7D-5743A76F7F8C}"/>
    <cellStyle name="Cálculo 2 2 4 6 8" xfId="9189" xr:uid="{2F69C376-7461-4883-82E1-DB574456C71E}"/>
    <cellStyle name="Cálculo 2 2 4 7" xfId="2883" xr:uid="{D10CC153-3AD2-4F11-938E-59CD3B6C58CB}"/>
    <cellStyle name="Cálculo 2 2 4 7 2" xfId="3811" xr:uid="{E853C5E8-3474-422B-9935-7AB3BA340DD0}"/>
    <cellStyle name="Cálculo 2 2 4 7 2 2" xfId="9969" xr:uid="{F1F2CAF5-4E20-47EA-819A-79C095ADE8D7}"/>
    <cellStyle name="Cálculo 2 2 4 7 3" xfId="6782" xr:uid="{A7703DBF-13BB-4241-A362-BB60EA563CCF}"/>
    <cellStyle name="Cálculo 2 2 4 7 3 2" xfId="12432" xr:uid="{D9F47A1B-0623-4710-9169-FF88725F969D}"/>
    <cellStyle name="Cálculo 2 2 4 7 4" xfId="7489" xr:uid="{1CC35D6C-332E-4C8A-8A62-7D9A7CE35E20}"/>
    <cellStyle name="Cálculo 2 2 4 7 4 2" xfId="13061" xr:uid="{488961D2-2977-402B-B9FA-FDF2D2155EE0}"/>
    <cellStyle name="Cálculo 2 2 4 7 5" xfId="7997" xr:uid="{6E14B17E-4170-422A-BBCB-0FA81378F9A1}"/>
    <cellStyle name="Cálculo 2 2 4 7 5 2" xfId="13569" xr:uid="{BE4E8C31-B9CE-43EF-AD4C-C2C9BB0DB36D}"/>
    <cellStyle name="Cálculo 2 2 4 7 6" xfId="9249" xr:uid="{A99B5563-3773-4043-9C4B-0DB7421912E9}"/>
    <cellStyle name="Cálculo 2 2 4 8" xfId="3331" xr:uid="{7F5878BB-6A76-4D16-B206-63FED82258F7}"/>
    <cellStyle name="Cálculo 2 2 4 8 2" xfId="9609" xr:uid="{384615A8-8654-4B5F-A8DD-8856117D69E9}"/>
    <cellStyle name="Cálculo 2 2 4 9" xfId="4498" xr:uid="{09957F1A-AE5E-43DE-BF50-8C08C1186FED}"/>
    <cellStyle name="Cálculo 2 2 4 9 2" xfId="10406" xr:uid="{D0933BE3-C154-40D6-BBB9-F467B64F5192}"/>
    <cellStyle name="Cálculo 2 2 5" xfId="8832" xr:uid="{FC109033-1FB5-405B-BA66-C34BA9FD63E4}"/>
    <cellStyle name="Cálculo 2 2 6" xfId="1943" xr:uid="{F945E293-D780-46BC-A91A-46412396CF02}"/>
    <cellStyle name="Cálculo 2 3" xfId="374" xr:uid="{99774822-67E8-43A9-B685-ACDBE2A6F99C}"/>
    <cellStyle name="Cálculo 2 3 2" xfId="1451" xr:uid="{5A5B2BCC-374A-4C31-BFBF-E3D9F1EFACEA}"/>
    <cellStyle name="Cálculo 2 3 2 2" xfId="1564" xr:uid="{5028F636-76A4-474F-BC50-AECBDD98E44F}"/>
    <cellStyle name="Cálculo 2 3 2 2 10" xfId="4344" xr:uid="{04BD2132-A338-4964-B7B0-3EC2DBDECF04}"/>
    <cellStyle name="Cálculo 2 3 2 2 10 2" xfId="10304" xr:uid="{27D74B12-790A-4659-9CC6-DD35B19E30E4}"/>
    <cellStyle name="Cálculo 2 3 2 2 11" xfId="4398" xr:uid="{9EE5E936-3552-4324-95DC-1FA9C548BD1A}"/>
    <cellStyle name="Cálculo 2 3 2 2 11 2" xfId="10356" xr:uid="{E4457503-9FFF-45D7-998F-463D188BC40A}"/>
    <cellStyle name="Cálculo 2 3 2 2 12" xfId="5449" xr:uid="{9D86E395-468D-44CB-8D8C-E3EA604F507E}"/>
    <cellStyle name="Cálculo 2 3 2 2 12 2" xfId="11243" xr:uid="{E08EE14B-A5A5-46E1-9339-E4C9536ECEA4}"/>
    <cellStyle name="Cálculo 2 3 2 2 13" xfId="5617" xr:uid="{A50866CB-2D88-47E1-92DE-7D87EFCF989E}"/>
    <cellStyle name="Cálculo 2 3 2 2 13 2" xfId="11345" xr:uid="{AF3F7ADC-24E0-4E03-888C-1EF6488C0AA9}"/>
    <cellStyle name="Cálculo 2 3 2 2 14" xfId="5182" xr:uid="{9A58DBED-4240-4A85-8FDD-A2C51B959994}"/>
    <cellStyle name="Cálculo 2 3 2 2 14 2" xfId="11028" xr:uid="{42589B3F-6C67-4D86-9129-FB02EB867DFB}"/>
    <cellStyle name="Cálculo 2 3 2 2 15" xfId="5759" xr:uid="{DDF50FD0-42D2-4832-9C4F-0EAC1EED2B51}"/>
    <cellStyle name="Cálculo 2 3 2 2 15 2" xfId="11487" xr:uid="{34ADD50C-9ED5-4F4B-941D-BB1E78503CF5}"/>
    <cellStyle name="Cálculo 2 3 2 2 16" xfId="5200" xr:uid="{D8873D5C-B581-415A-9EA9-2C067CD578D9}"/>
    <cellStyle name="Cálculo 2 3 2 2 16 2" xfId="11046" xr:uid="{9BCAAA4A-74DA-4937-B6A1-2C4AC83390C7}"/>
    <cellStyle name="Cálculo 2 3 2 2 17" xfId="6685" xr:uid="{012F3A1C-6B36-4136-808F-7798BB42B66E}"/>
    <cellStyle name="Cálculo 2 3 2 2 17 2" xfId="12389" xr:uid="{D2CDAC34-7261-463D-866D-1FCD244F9CC9}"/>
    <cellStyle name="Cálculo 2 3 2 2 18" xfId="5769" xr:uid="{84401E13-7A63-4DA0-AF4F-584F043869D8}"/>
    <cellStyle name="Cálculo 2 3 2 2 18 2" xfId="11497" xr:uid="{9A4EF26C-E39E-4AB2-BFC1-F63199ABE3BE}"/>
    <cellStyle name="Cálculo 2 3 2 2 19" xfId="8465" xr:uid="{D373C470-E432-4049-A042-AD6D19EEBD9F}"/>
    <cellStyle name="Cálculo 2 3 2 2 19 2" xfId="13945" xr:uid="{64E51E7D-6719-4D7F-9924-D0F570D36727}"/>
    <cellStyle name="Cálculo 2 3 2 2 2" xfId="2445" xr:uid="{E3F4EC01-8FDB-4BD6-9526-75DF39516F05}"/>
    <cellStyle name="Cálculo 2 3 2 2 2 10" xfId="5358" xr:uid="{10719FC6-1887-4A9B-AD6B-97989C7C4941}"/>
    <cellStyle name="Cálculo 2 3 2 2 2 10 2" xfId="11190" xr:uid="{B6D3D2A9-0E4F-4ABC-8989-F9847FBCF894}"/>
    <cellStyle name="Cálculo 2 3 2 2 2 11" xfId="6516" xr:uid="{647F6D2B-1BEF-4617-BBF8-41CF4C41B6A6}"/>
    <cellStyle name="Cálculo 2 3 2 2 2 11 2" xfId="12220" xr:uid="{C467B3D2-A850-470E-A3E2-E426BB3B1A8B}"/>
    <cellStyle name="Cálculo 2 3 2 2 2 12" xfId="8659" xr:uid="{42E9EC63-7292-40BF-B189-F7D33C8A1BF0}"/>
    <cellStyle name="Cálculo 2 3 2 2 2 12 2" xfId="14047" xr:uid="{61D7BACE-1B73-4FD0-A4C0-5BB94578FBD8}"/>
    <cellStyle name="Cálculo 2 3 2 2 2 13" xfId="9007" xr:uid="{BC022D0C-81AA-47E1-B09D-B02634000B80}"/>
    <cellStyle name="Cálculo 2 3 2 2 2 2" xfId="3033" xr:uid="{16815D6C-7A6C-4449-9230-51181D392333}"/>
    <cellStyle name="Cálculo 2 3 2 2 2 2 2" xfId="3973" xr:uid="{3C0CFC01-5A78-4318-B216-520FC15CA6D6}"/>
    <cellStyle name="Cálculo 2 3 2 2 2 2 2 2" xfId="10087" xr:uid="{2BC28BB2-C462-4087-9D13-559099F24E4B}"/>
    <cellStyle name="Cálculo 2 3 2 2 2 2 3" xfId="6944" xr:uid="{05E975EF-7DF8-4D7F-AF13-05AC8FD4A73D}"/>
    <cellStyle name="Cálculo 2 3 2 2 2 2 3 2" xfId="12550" xr:uid="{D1CE9766-7B89-4A68-B972-41C37D53B8DC}"/>
    <cellStyle name="Cálculo 2 3 2 2 2 2 4" xfId="7622" xr:uid="{E2ACAA6D-DA9B-435E-B92E-AC0C16374B6F}"/>
    <cellStyle name="Cálculo 2 3 2 2 2 2 4 2" xfId="13194" xr:uid="{86740467-C094-4FEB-AD00-0397D4B13DF1}"/>
    <cellStyle name="Cálculo 2 3 2 2 2 2 5" xfId="8115" xr:uid="{EC3A4403-BB96-4B67-A265-1B30FB8B1CDD}"/>
    <cellStyle name="Cálculo 2 3 2 2 2 2 5 2" xfId="13687" xr:uid="{80C1E031-DCED-4BE7-979E-D0942F01AE23}"/>
    <cellStyle name="Cálculo 2 3 2 2 2 2 6" xfId="9367" xr:uid="{0B936664-1E70-4B4B-82C6-DB3C774F65E5}"/>
    <cellStyle name="Cálculo 2 3 2 2 2 3" xfId="3493" xr:uid="{EF29F901-A9D4-43E1-A371-1FC487ECE3B5}"/>
    <cellStyle name="Cálculo 2 3 2 2 2 3 2" xfId="9727" xr:uid="{25A2B652-2001-4A7A-B70C-994094E7A7BB}"/>
    <cellStyle name="Cálculo 2 3 2 2 2 4" xfId="4686" xr:uid="{19846C79-6ED7-4B31-819F-BB2E240C2409}"/>
    <cellStyle name="Cálculo 2 3 2 2 2 4 2" xfId="10550" xr:uid="{D702942E-4A6F-4CCA-AE20-0D264AF544E8}"/>
    <cellStyle name="Cálculo 2 3 2 2 2 5" xfId="4925" xr:uid="{4023B97C-8D1F-4612-BDFB-56928023E0CF}"/>
    <cellStyle name="Cálculo 2 3 2 2 2 5 2" xfId="10771" xr:uid="{BF7295A5-386E-47A8-A614-737383CE90D8}"/>
    <cellStyle name="Cálculo 2 3 2 2 2 6" xfId="5081" xr:uid="{BD6E4E92-145E-4598-BF63-FB3EC43E8E13}"/>
    <cellStyle name="Cálculo 2 3 2 2 2 6 2" xfId="10927" xr:uid="{9A2F3053-CE35-40B8-AC08-6706599E5C98}"/>
    <cellStyle name="Cálculo 2 3 2 2 2 7" xfId="5851" xr:uid="{3DE68F8F-833D-4C53-9569-E0588C53F9ED}"/>
    <cellStyle name="Cálculo 2 3 2 2 2 7 2" xfId="11579" xr:uid="{0F7B0F9B-95A6-41D7-BE64-4B7A14FA595E}"/>
    <cellStyle name="Cálculo 2 3 2 2 2 8" xfId="5545" xr:uid="{77ADC8DA-CC88-4B61-A1C7-7C922885CDE0}"/>
    <cellStyle name="Cálculo 2 3 2 2 2 8 2" xfId="11273" xr:uid="{42E56C93-54DC-4901-8EA8-67FEC67C4C5C}"/>
    <cellStyle name="Cálculo 2 3 2 2 2 9" xfId="6388" xr:uid="{6FAFF5FE-D305-4DDE-B429-CE659E492E64}"/>
    <cellStyle name="Cálculo 2 3 2 2 2 9 2" xfId="12092" xr:uid="{DB3789D5-8B3B-4F32-AC1C-01B9B28E2303}"/>
    <cellStyle name="Cálculo 2 3 2 2 20" xfId="8905" xr:uid="{7C3F2C5D-53F4-48FB-8642-F003061AFBAA}"/>
    <cellStyle name="Cálculo 2 3 2 2 21" xfId="2251" xr:uid="{4A92A311-1E1D-4442-8F88-6675960E36B8}"/>
    <cellStyle name="Cálculo 2 3 2 2 3" xfId="2550" xr:uid="{C23144F5-71A5-4DA4-A675-8E17A6BE601F}"/>
    <cellStyle name="Cálculo 2 3 2 2 3 10" xfId="7242" xr:uid="{05C85551-AC2B-4445-91C6-2499003F21D5}"/>
    <cellStyle name="Cálculo 2 3 2 2 3 10 2" xfId="12814" xr:uid="{0AF5075B-192A-4A5E-A914-336EFA31795C}"/>
    <cellStyle name="Cálculo 2 3 2 2 3 11" xfId="6325" xr:uid="{740FAFBE-EEDB-421F-9B04-E6F41CD95363}"/>
    <cellStyle name="Cálculo 2 3 2 2 3 11 2" xfId="12029" xr:uid="{A68EB457-5E7E-4C1A-807E-778743F7950C}"/>
    <cellStyle name="Cálculo 2 3 2 2 3 12" xfId="8764" xr:uid="{202D11E3-EF67-4875-9A67-0B6018D31AC5}"/>
    <cellStyle name="Cálculo 2 3 2 2 3 12 2" xfId="14120" xr:uid="{D257767A-A2F0-452A-BD15-0DCF5FB6E25A}"/>
    <cellStyle name="Cálculo 2 3 2 2 3 13" xfId="9080" xr:uid="{BBAD348B-AA43-4399-9D56-CF2C36F3E5D6}"/>
    <cellStyle name="Cálculo 2 3 2 2 3 2" xfId="3106" xr:uid="{20D3E038-1B5B-4235-B876-D2C9A7AEB8A9}"/>
    <cellStyle name="Cálculo 2 3 2 2 3 2 2" xfId="4046" xr:uid="{225F6758-E9A5-4805-9546-14844AF0D067}"/>
    <cellStyle name="Cálculo 2 3 2 2 3 2 2 2" xfId="10160" xr:uid="{531123A5-2A1B-4ADF-8605-E62508B145E1}"/>
    <cellStyle name="Cálculo 2 3 2 2 3 2 3" xfId="7017" xr:uid="{D47CA5C3-F953-4B1C-AE96-77D11F2375D8}"/>
    <cellStyle name="Cálculo 2 3 2 2 3 2 3 2" xfId="12623" xr:uid="{107B2BCB-0DE4-407D-9EA1-652721AC5780}"/>
    <cellStyle name="Cálculo 2 3 2 2 3 2 4" xfId="7695" xr:uid="{B0DDCBFF-08AE-4192-9CF0-D2F7FFE4A2F6}"/>
    <cellStyle name="Cálculo 2 3 2 2 3 2 4 2" xfId="13267" xr:uid="{943AC269-952D-4BA0-B165-6D8745AEBD5A}"/>
    <cellStyle name="Cálculo 2 3 2 2 3 2 5" xfId="8188" xr:uid="{7CCA4B81-B768-4455-9CC0-36382F787090}"/>
    <cellStyle name="Cálculo 2 3 2 2 3 2 5 2" xfId="13760" xr:uid="{205EEE98-A2E5-42FE-AE27-FE50B868F80B}"/>
    <cellStyle name="Cálculo 2 3 2 2 3 2 6" xfId="9440" xr:uid="{E8EE260D-4CF7-482C-A64D-85F75E17DDD4}"/>
    <cellStyle name="Cálculo 2 3 2 2 3 3" xfId="3566" xr:uid="{964EACD5-BF62-4C0D-8BFE-C5D2F6D28B8B}"/>
    <cellStyle name="Cálculo 2 3 2 2 3 3 2" xfId="9800" xr:uid="{495A7654-B203-465B-B9EC-1B69EE53B0F7}"/>
    <cellStyle name="Cálculo 2 3 2 2 3 4" xfId="4763" xr:uid="{3267A939-F048-4DAD-8CD7-5BEAF18D107F}"/>
    <cellStyle name="Cálculo 2 3 2 2 3 4 2" xfId="10627" xr:uid="{FCEEF162-C7C7-414B-8FC2-2C6BAAABFFF4}"/>
    <cellStyle name="Cálculo 2 3 2 2 3 5" xfId="5006" xr:uid="{2178F281-61F5-4142-BC80-9E29EACBA1F8}"/>
    <cellStyle name="Cálculo 2 3 2 2 3 5 2" xfId="10852" xr:uid="{FA5E452B-78C4-4100-B57E-AE49DAB6AA6B}"/>
    <cellStyle name="Cálculo 2 3 2 2 3 6" xfId="5154" xr:uid="{9F087E28-DBF7-41C2-8170-65F12E7DDCEB}"/>
    <cellStyle name="Cálculo 2 3 2 2 3 6 2" xfId="11000" xr:uid="{B4EAB31E-4A6C-4CF4-8CC8-073843B976C8}"/>
    <cellStyle name="Cálculo 2 3 2 2 3 7" xfId="5945" xr:uid="{CD51D326-73EF-430D-AC1A-276DC1AF6B8E}"/>
    <cellStyle name="Cálculo 2 3 2 2 3 7 2" xfId="11673" xr:uid="{884D3E28-BC7D-4C8D-A116-03C768FC1D6E}"/>
    <cellStyle name="Cálculo 2 3 2 2 3 8" xfId="6275" xr:uid="{8E74D2C9-64F3-4C39-A7FF-7F9C0E56B5A7}"/>
    <cellStyle name="Cálculo 2 3 2 2 3 8 2" xfId="11979" xr:uid="{275B06FD-FA10-4FDB-B15D-84C2C0152EFD}"/>
    <cellStyle name="Cálculo 2 3 2 2 3 9" xfId="6477" xr:uid="{072DF70D-4414-4B9A-B117-08CFBBCE7A29}"/>
    <cellStyle name="Cálculo 2 3 2 2 3 9 2" xfId="12181" xr:uid="{E0A3294E-3797-446F-8D3E-D7425970F8A4}"/>
    <cellStyle name="Cálculo 2 3 2 2 4" xfId="2275" xr:uid="{888C1A2F-032F-47C4-8248-5D0D2CE54051}"/>
    <cellStyle name="Cálculo 2 3 2 2 4 10" xfId="6219" xr:uid="{53AB9A39-E217-43FA-8F97-BC7D4A9E4849}"/>
    <cellStyle name="Cálculo 2 3 2 2 4 10 2" xfId="11923" xr:uid="{2EF6BEA8-4CC6-4A3C-BE91-B70222D14D5E}"/>
    <cellStyle name="Cálculo 2 3 2 2 4 11" xfId="7436" xr:uid="{FD45B2FC-13B1-4BA9-AA3F-2ADD17CB9297}"/>
    <cellStyle name="Cálculo 2 3 2 2 4 11 2" xfId="13008" xr:uid="{C2436AF4-4C11-457F-B867-9B61120959FD}"/>
    <cellStyle name="Cálculo 2 3 2 2 4 12" xfId="8489" xr:uid="{88F802D9-4775-4344-AD2E-7992F349536A}"/>
    <cellStyle name="Cálculo 2 3 2 2 4 12 2" xfId="13969" xr:uid="{5067B568-CF5C-4D47-A3E7-7556428A4807}"/>
    <cellStyle name="Cálculo 2 3 2 2 4 13" xfId="8929" xr:uid="{1F7D0C75-0E4C-4659-B2DA-D3A638CC87F2}"/>
    <cellStyle name="Cálculo 2 3 2 2 4 2" xfId="2955" xr:uid="{32317CBD-646C-4DDA-8DBE-735798F1EC5A}"/>
    <cellStyle name="Cálculo 2 3 2 2 4 2 2" xfId="3895" xr:uid="{34042998-E564-427C-A855-8945AE08673D}"/>
    <cellStyle name="Cálculo 2 3 2 2 4 2 2 2" xfId="10009" xr:uid="{970A4630-C0CF-44BA-985F-6E29402C9A7B}"/>
    <cellStyle name="Cálculo 2 3 2 2 4 2 3" xfId="6866" xr:uid="{079AE2F2-30F4-43EB-A247-8815B10028D4}"/>
    <cellStyle name="Cálculo 2 3 2 2 4 2 3 2" xfId="12472" xr:uid="{CE21123F-2C15-401B-8757-3C978FB1A649}"/>
    <cellStyle name="Cálculo 2 3 2 2 4 2 4" xfId="7544" xr:uid="{F16EFFF2-2D8B-4BD5-AACC-B19B7343B185}"/>
    <cellStyle name="Cálculo 2 3 2 2 4 2 4 2" xfId="13116" xr:uid="{4C9455DC-33EF-4E82-BC8B-059EAF2A8984}"/>
    <cellStyle name="Cálculo 2 3 2 2 4 2 5" xfId="8037" xr:uid="{E33375BE-3E10-4240-A72E-496F0539082E}"/>
    <cellStyle name="Cálculo 2 3 2 2 4 2 5 2" xfId="13609" xr:uid="{74BA7E78-FEBC-4824-A442-EA35EC607700}"/>
    <cellStyle name="Cálculo 2 3 2 2 4 2 6" xfId="9289" xr:uid="{4542D84F-519B-45D8-8DC3-7DDC8F0DCCDF}"/>
    <cellStyle name="Cálculo 2 3 2 2 4 3" xfId="3415" xr:uid="{BF6E430C-83D9-4BBC-8086-A65774A1C5FD}"/>
    <cellStyle name="Cálculo 2 3 2 2 4 3 2" xfId="9649" xr:uid="{6788669C-4EE4-47F6-A192-5DE526C80246}"/>
    <cellStyle name="Cálculo 2 3 2 2 4 4" xfId="4582" xr:uid="{CDE3C49D-49CA-4818-9BAE-BD946672C2AA}"/>
    <cellStyle name="Cálculo 2 3 2 2 4 4 2" xfId="10446" xr:uid="{399D7052-1D06-41B4-8859-9B2B7D224248}"/>
    <cellStyle name="Cálculo 2 3 2 2 4 5" xfId="4827" xr:uid="{FA39329A-345C-4DA7-A10D-63E036BB6EAA}"/>
    <cellStyle name="Cálculo 2 3 2 2 4 5 2" xfId="10673" xr:uid="{53679EFB-6F3D-4594-A42F-02A3C4E0FBF6}"/>
    <cellStyle name="Cálculo 2 3 2 2 4 6" xfId="4705" xr:uid="{AAE48D78-15C9-4924-9DC6-2155F0FCE684}"/>
    <cellStyle name="Cálculo 2 3 2 2 4 6 2" xfId="10569" xr:uid="{F2F1F162-D7D4-48B5-B7E4-B63A8779FD09}"/>
    <cellStyle name="Cálculo 2 3 2 2 4 7" xfId="5713" xr:uid="{8853E388-8541-4BD6-8A93-802D1FB32608}"/>
    <cellStyle name="Cálculo 2 3 2 2 4 7 2" xfId="11441" xr:uid="{48C75F87-9558-4915-8AF9-D3E05EDB3B45}"/>
    <cellStyle name="Cálculo 2 3 2 2 4 8" xfId="5791" xr:uid="{52FAAFE2-0F40-4D9F-BF95-CAC743BA4958}"/>
    <cellStyle name="Cálculo 2 3 2 2 4 8 2" xfId="11519" xr:uid="{E9060893-579C-4501-8C83-8E476D26D1FD}"/>
    <cellStyle name="Cálculo 2 3 2 2 4 9" xfId="6015" xr:uid="{A742A94D-7490-4353-AF93-E434DEEAE119}"/>
    <cellStyle name="Cálculo 2 3 2 2 4 9 2" xfId="11727" xr:uid="{02576A6D-2A5A-49F1-8FD2-ADA98D7032A9}"/>
    <cellStyle name="Cálculo 2 3 2 2 5" xfId="2707" xr:uid="{CB1C9514-3F7A-40F1-8084-450A012EA052}"/>
    <cellStyle name="Cálculo 2 3 2 2 5 2" xfId="3171" xr:uid="{046E16E7-A523-4F93-8D38-F0ADF6F8CBE9}"/>
    <cellStyle name="Cálculo 2 3 2 2 5 2 2" xfId="4129" xr:uid="{37F8A0C5-90F2-4D21-B1A1-46095A8C7536}"/>
    <cellStyle name="Cálculo 2 3 2 2 5 2 2 2" xfId="10225" xr:uid="{3F68EA94-5DE4-4813-8C57-B0890DA9B82F}"/>
    <cellStyle name="Cálculo 2 3 2 2 5 2 3" xfId="7100" xr:uid="{6D6C3E5D-5BB7-493E-85A9-DC9A78D9E987}"/>
    <cellStyle name="Cálculo 2 3 2 2 5 2 3 2" xfId="12688" xr:uid="{BD78E837-E63C-4A19-916F-4678F2BC5FBD}"/>
    <cellStyle name="Cálculo 2 3 2 2 5 2 4" xfId="7761" xr:uid="{56549D8A-30FB-419E-9FE8-535B79D4855D}"/>
    <cellStyle name="Cálculo 2 3 2 2 5 2 4 2" xfId="13333" xr:uid="{7E7AD4C4-8E6B-49EE-BE7C-B646752D007A}"/>
    <cellStyle name="Cálculo 2 3 2 2 5 2 5" xfId="8253" xr:uid="{189FFAA6-431F-48D6-8AB3-413BF5F986F2}"/>
    <cellStyle name="Cálculo 2 3 2 2 5 2 5 2" xfId="13825" xr:uid="{0FB2408B-9535-4FC5-8484-7922A0F6A3CD}"/>
    <cellStyle name="Cálculo 2 3 2 2 5 2 6" xfId="9505" xr:uid="{25F384E5-B54B-4172-8D83-4857CC1C33DD}"/>
    <cellStyle name="Cálculo 2 3 2 2 5 3" xfId="3649" xr:uid="{E83695B6-6645-4C96-BD6E-1A7FDEF14FD9}"/>
    <cellStyle name="Cálculo 2 3 2 2 5 3 2" xfId="9865" xr:uid="{97F7822C-C552-452B-8FA1-926D1E6FDEF5}"/>
    <cellStyle name="Cálculo 2 3 2 2 5 4" xfId="6086" xr:uid="{FB11FC83-F964-429D-A63D-1DDDEA7E11B2}"/>
    <cellStyle name="Cálculo 2 3 2 2 5 4 2" xfId="11798" xr:uid="{A531CA31-5B6D-43FA-91A9-0AEAED9DCFDE}"/>
    <cellStyle name="Cálculo 2 3 2 2 5 5" xfId="6604" xr:uid="{42835833-98E3-4EC5-9FDF-1008F2C22446}"/>
    <cellStyle name="Cálculo 2 3 2 2 5 5 2" xfId="12308" xr:uid="{027A82F7-2AB0-4A8C-B86B-456D56B11859}"/>
    <cellStyle name="Cálculo 2 3 2 2 5 6" xfId="7358" xr:uid="{64B2C425-7EDE-4B5D-B936-A65163A03C53}"/>
    <cellStyle name="Cálculo 2 3 2 2 5 6 2" xfId="12930" xr:uid="{3C089468-7236-4854-9990-500EC6FBF67C}"/>
    <cellStyle name="Cálculo 2 3 2 2 5 7" xfId="7893" xr:uid="{273469EB-64CE-42C1-9041-8C0645939F3C}"/>
    <cellStyle name="Cálculo 2 3 2 2 5 7 2" xfId="13465" xr:uid="{0E3A0843-4764-40E8-B807-A4026A979B77}"/>
    <cellStyle name="Cálculo 2 3 2 2 5 8" xfId="9145" xr:uid="{31C255C5-C35F-42DC-B048-E29D1DDD3A2B}"/>
    <cellStyle name="Cálculo 2 3 2 2 6" xfId="2799" xr:uid="{221936AC-4A25-4895-BA66-C4015F01561C}"/>
    <cellStyle name="Cálculo 2 3 2 2 6 2" xfId="3231" xr:uid="{94119A81-75D6-4D39-8516-591AF1FAC36E}"/>
    <cellStyle name="Cálculo 2 3 2 2 6 2 2" xfId="4189" xr:uid="{B7227514-20B9-4583-9F84-BE6665B61679}"/>
    <cellStyle name="Cálculo 2 3 2 2 6 2 2 2" xfId="10285" xr:uid="{D914AEAD-6E0E-4DFC-BC63-16F720DEF903}"/>
    <cellStyle name="Cálculo 2 3 2 2 6 2 3" xfId="7160" xr:uid="{80BADE75-1F09-4FE6-A85E-67234D16723A}"/>
    <cellStyle name="Cálculo 2 3 2 2 6 2 3 2" xfId="12748" xr:uid="{CFE30C11-D9BB-42CF-AA7D-E5C74FD93FB7}"/>
    <cellStyle name="Cálculo 2 3 2 2 6 2 4" xfId="7821" xr:uid="{9C4BAD84-89DB-4D65-9899-659DC30CDDE8}"/>
    <cellStyle name="Cálculo 2 3 2 2 6 2 4 2" xfId="13393" xr:uid="{9C88B3C6-C72A-4AA5-BB3A-E556E431E1D2}"/>
    <cellStyle name="Cálculo 2 3 2 2 6 2 5" xfId="8313" xr:uid="{F3FA66ED-95A7-403A-999B-A816E8FB62E3}"/>
    <cellStyle name="Cálculo 2 3 2 2 6 2 5 2" xfId="13885" xr:uid="{11231D3D-E8D9-4B84-858F-50FEBAE35ACA}"/>
    <cellStyle name="Cálculo 2 3 2 2 6 2 6" xfId="9565" xr:uid="{95A2EFFB-79AD-4742-8505-E0B554C1A9E2}"/>
    <cellStyle name="Cálculo 2 3 2 2 6 3" xfId="3709" xr:uid="{25DCC09B-DA9E-4F10-B110-7F0EC3D630EA}"/>
    <cellStyle name="Cálculo 2 3 2 2 6 3 2" xfId="9925" xr:uid="{36251D91-2DF9-4CD7-9F9F-3F8C92CC8140}"/>
    <cellStyle name="Cálculo 2 3 2 2 6 4" xfId="6166" xr:uid="{615C89D4-843C-466D-8A2C-0AA33845E931}"/>
    <cellStyle name="Cálculo 2 3 2 2 6 4 2" xfId="11878" xr:uid="{34FD3B1E-EB4D-4FFD-B499-DAE8FB9E4EFE}"/>
    <cellStyle name="Cálculo 2 3 2 2 6 5" xfId="6676" xr:uid="{895D7856-DD4B-47F8-ACF4-786A13C58C93}"/>
    <cellStyle name="Cálculo 2 3 2 2 6 5 2" xfId="12380" xr:uid="{EA1C8539-A270-4BD7-B972-562EBDEF262C}"/>
    <cellStyle name="Cálculo 2 3 2 2 6 6" xfId="7420" xr:uid="{607A7AEC-0556-4E9E-9D89-B160577971AB}"/>
    <cellStyle name="Cálculo 2 3 2 2 6 6 2" xfId="12992" xr:uid="{41EFB051-02EC-431C-B043-A34BC6B51AD1}"/>
    <cellStyle name="Cálculo 2 3 2 2 6 7" xfId="7953" xr:uid="{77226513-7D44-4B1D-BEBF-5998148C1F9C}"/>
    <cellStyle name="Cálculo 2 3 2 2 6 7 2" xfId="13525" xr:uid="{A4852C15-CC7F-47EA-85FF-3C1D1333AB85}"/>
    <cellStyle name="Cálculo 2 3 2 2 6 8" xfId="9205" xr:uid="{28F14504-0CF6-487A-B589-855399EF2ADC}"/>
    <cellStyle name="Cálculo 2 3 2 2 7" xfId="2899" xr:uid="{7F4EEA22-4A86-4AF6-86B1-321FE103367D}"/>
    <cellStyle name="Cálculo 2 3 2 2 7 2" xfId="3827" xr:uid="{F9488F83-6C90-4AF3-B533-EB77AB79C2E6}"/>
    <cellStyle name="Cálculo 2 3 2 2 7 2 2" xfId="9985" xr:uid="{0DAEDB2D-A124-41D9-86B3-BCC4D84C9D98}"/>
    <cellStyle name="Cálculo 2 3 2 2 7 3" xfId="6798" xr:uid="{2EAE6ED2-AF38-4618-BC45-AF3208FD824A}"/>
    <cellStyle name="Cálculo 2 3 2 2 7 3 2" xfId="12448" xr:uid="{06F455CE-D6CF-454B-B59C-A06A0DC11B07}"/>
    <cellStyle name="Cálculo 2 3 2 2 7 4" xfId="7505" xr:uid="{3B008346-1193-4EE7-84A3-81E8B3415BED}"/>
    <cellStyle name="Cálculo 2 3 2 2 7 4 2" xfId="13077" xr:uid="{C7D75490-C070-4B65-B959-6D50205EF24D}"/>
    <cellStyle name="Cálculo 2 3 2 2 7 5" xfId="8013" xr:uid="{ED5E1568-121F-4026-8B8F-B49332C55A17}"/>
    <cellStyle name="Cálculo 2 3 2 2 7 5 2" xfId="13585" xr:uid="{886331C2-D26C-478D-8689-30F6927DE45F}"/>
    <cellStyle name="Cálculo 2 3 2 2 7 6" xfId="9265" xr:uid="{B554B4BE-6754-4B08-AF5C-5E51C080EA0B}"/>
    <cellStyle name="Cálculo 2 3 2 2 8" xfId="3347" xr:uid="{74372709-085C-43EB-B629-C0E1D8658C4D}"/>
    <cellStyle name="Cálculo 2 3 2 2 8 2" xfId="9625" xr:uid="{EA80059B-C0B5-42FF-8853-D167CAFD518E}"/>
    <cellStyle name="Cálculo 2 3 2 2 9" xfId="4514" xr:uid="{9AD47908-347B-41BD-ABC3-0D677A0DF149}"/>
    <cellStyle name="Cálculo 2 3 2 2 9 2" xfId="10422" xr:uid="{8E2DF2A5-E4C3-4369-B503-85E561616F8E}"/>
    <cellStyle name="Cálculo 2 3 2 3" xfId="1617" xr:uid="{B63A60F5-20D1-441A-B507-2C817E089688}"/>
    <cellStyle name="Cálculo 2 3 2 3 10" xfId="4416" xr:uid="{862D008D-0861-41B7-8AAB-9E858DE7295D}"/>
    <cellStyle name="Cálculo 2 3 2 3 10 2" xfId="10362" xr:uid="{BB82C654-C87A-48D8-9258-36F658DFA55E}"/>
    <cellStyle name="Cálculo 2 3 2 3 11" xfId="4615" xr:uid="{C6795DCB-7F73-4291-B10C-35E1F3EB335E}"/>
    <cellStyle name="Cálculo 2 3 2 3 11 2" xfId="10479" xr:uid="{FBB68032-36ED-44A6-92A6-4A1BB296C9A3}"/>
    <cellStyle name="Cálculo 2 3 2 3 12" xfId="5407" xr:uid="{88612D95-20AE-4E69-8157-7162C774A7FB}"/>
    <cellStyle name="Cálculo 2 3 2 3 12 2" xfId="11205" xr:uid="{F687C050-F968-4872-9119-F8CBDB5A27B5}"/>
    <cellStyle name="Cálculo 2 3 2 3 13" xfId="5575" xr:uid="{7654FFA0-5DDE-4CCF-916B-695015A89F9B}"/>
    <cellStyle name="Cálculo 2 3 2 3 13 2" xfId="11303" xr:uid="{0EEBD93A-A2EF-451B-BD52-264CBA7CA63A}"/>
    <cellStyle name="Cálculo 2 3 2 3 14" xfId="5174" xr:uid="{407177D8-2E36-47E8-80C9-6CB71A829A9F}"/>
    <cellStyle name="Cálculo 2 3 2 3 14 2" xfId="11020" xr:uid="{C3FC42CD-C431-4103-9CCB-16F139FEDDB0}"/>
    <cellStyle name="Cálculo 2 3 2 3 15" xfId="5728" xr:uid="{4148BE56-FCAF-4642-81A7-8CFF63DBAD1F}"/>
    <cellStyle name="Cálculo 2 3 2 3 15 2" xfId="11456" xr:uid="{88DFFF77-FC28-4702-8344-28510ED2EC06}"/>
    <cellStyle name="Cálculo 2 3 2 3 16" xfId="5260" xr:uid="{150A9F8F-02B3-4311-8A32-D15A603CAA5E}"/>
    <cellStyle name="Cálculo 2 3 2 3 16 2" xfId="11106" xr:uid="{967F7998-EB24-4436-95A0-30A438F9D713}"/>
    <cellStyle name="Cálculo 2 3 2 3 17" xfId="6215" xr:uid="{BAC6AE0E-5C0C-4630-8F05-DD0293BE72F7}"/>
    <cellStyle name="Cálculo 2 3 2 3 17 2" xfId="11919" xr:uid="{F1DBD151-3219-4EB6-B0EA-287987E4BD59}"/>
    <cellStyle name="Cálculo 2 3 2 3 18" xfId="7272" xr:uid="{09CEF40A-C285-4F88-B4C3-3A8A90ECE908}"/>
    <cellStyle name="Cálculo 2 3 2 3 18 2" xfId="12844" xr:uid="{4D98EC0E-1B8E-43A5-A245-DC2EB5F6ECF0}"/>
    <cellStyle name="Cálculo 2 3 2 3 19" xfId="8427" xr:uid="{62B779AA-560E-4E81-A096-24DD4702C42C}"/>
    <cellStyle name="Cálculo 2 3 2 3 19 2" xfId="13907" xr:uid="{CA57F728-48CD-48EE-B99E-162EB9151603}"/>
    <cellStyle name="Cálculo 2 3 2 3 2" xfId="2405" xr:uid="{680C3595-3AEC-462B-AA53-57F41C7EC79C}"/>
    <cellStyle name="Cálculo 2 3 2 3 2 10" xfId="6541" xr:uid="{A1751B94-3B94-4605-9E13-D71B8BD04411}"/>
    <cellStyle name="Cálculo 2 3 2 3 2 10 2" xfId="12245" xr:uid="{F5BD0CA0-FBE6-4532-AA1A-CD0FEC85D19C}"/>
    <cellStyle name="Cálculo 2 3 2 3 2 11" xfId="7447" xr:uid="{2F0072A1-F7B2-4D23-8249-4FA70E870B9A}"/>
    <cellStyle name="Cálculo 2 3 2 3 2 11 2" xfId="13019" xr:uid="{B0EBE36B-7A62-404F-A292-61FBB7720606}"/>
    <cellStyle name="Cálculo 2 3 2 3 2 12" xfId="8619" xr:uid="{8CDD87D3-6103-4DC9-88A7-764C07ECBD9D}"/>
    <cellStyle name="Cálculo 2 3 2 3 2 12 2" xfId="14007" xr:uid="{31F512D5-13BA-41CC-9FB2-ADA78F843695}"/>
    <cellStyle name="Cálculo 2 3 2 3 2 13" xfId="8967" xr:uid="{21920F14-31CE-4A66-A021-D77907EA992D}"/>
    <cellStyle name="Cálculo 2 3 2 3 2 2" xfId="2993" xr:uid="{55F494BF-8051-4BC8-A053-C32CB3021DB0}"/>
    <cellStyle name="Cálculo 2 3 2 3 2 2 2" xfId="3933" xr:uid="{E7846138-4ACC-45EC-A22B-08642FF8BE66}"/>
    <cellStyle name="Cálculo 2 3 2 3 2 2 2 2" xfId="10047" xr:uid="{8A9DCD3A-7EBE-4EFC-BC90-394329E1147C}"/>
    <cellStyle name="Cálculo 2 3 2 3 2 2 3" xfId="6904" xr:uid="{33E5BA66-7452-497B-B421-5CC81836E976}"/>
    <cellStyle name="Cálculo 2 3 2 3 2 2 3 2" xfId="12510" xr:uid="{AA981DD0-BC6F-4173-8C7B-A0C2E39B4F36}"/>
    <cellStyle name="Cálculo 2 3 2 3 2 2 4" xfId="7582" xr:uid="{912BDFAA-7BAD-4254-9FA6-6B355D747248}"/>
    <cellStyle name="Cálculo 2 3 2 3 2 2 4 2" xfId="13154" xr:uid="{7B67B2A0-0D1E-44A6-8D1E-837485854B34}"/>
    <cellStyle name="Cálculo 2 3 2 3 2 2 5" xfId="8075" xr:uid="{A57DF206-E2C7-4DB7-9935-89611C5404E7}"/>
    <cellStyle name="Cálculo 2 3 2 3 2 2 5 2" xfId="13647" xr:uid="{EE62A091-E3C4-4D82-90C6-305A117A69B5}"/>
    <cellStyle name="Cálculo 2 3 2 3 2 2 6" xfId="9327" xr:uid="{3F39AD63-608F-4C8E-8252-C00193C4CC03}"/>
    <cellStyle name="Cálculo 2 3 2 3 2 3" xfId="3453" xr:uid="{32F02B2C-ED2F-4078-BE15-52BFF69D143B}"/>
    <cellStyle name="Cálculo 2 3 2 3 2 3 2" xfId="9687" xr:uid="{9A345FD7-0FEC-4F30-984E-AA6616B419F8}"/>
    <cellStyle name="Cálculo 2 3 2 3 2 4" xfId="4646" xr:uid="{4DF71926-018A-4879-856E-1A4681FA4183}"/>
    <cellStyle name="Cálculo 2 3 2 3 2 4 2" xfId="10510" xr:uid="{A9C45294-B0C4-4DA6-B442-5E70EA533A13}"/>
    <cellStyle name="Cálculo 2 3 2 3 2 5" xfId="4885" xr:uid="{A59DA8D6-88CD-44D5-A82B-CEF7EFA6468E}"/>
    <cellStyle name="Cálculo 2 3 2 3 2 5 2" xfId="10731" xr:uid="{AE3FC4E2-496B-46DE-899F-19F6C95DD6DF}"/>
    <cellStyle name="Cálculo 2 3 2 3 2 6" xfId="5041" xr:uid="{38B73040-6D74-47F8-8B54-9F5F61A04B92}"/>
    <cellStyle name="Cálculo 2 3 2 3 2 6 2" xfId="10887" xr:uid="{5055F9C9-C39B-4E96-B02E-376E950962B4}"/>
    <cellStyle name="Cálculo 2 3 2 3 2 7" xfId="5811" xr:uid="{8477E0E8-B15B-4D88-8015-41303E2BB7FC}"/>
    <cellStyle name="Cálculo 2 3 2 3 2 7 2" xfId="11539" xr:uid="{8FE08945-4A01-455A-980E-D86CBE2F4920}"/>
    <cellStyle name="Cálculo 2 3 2 3 2 8" xfId="5247" xr:uid="{8A72FDFF-81B6-4F90-A32A-2764F4F7A821}"/>
    <cellStyle name="Cálculo 2 3 2 3 2 8 2" xfId="11093" xr:uid="{45EE6756-E01E-45A9-B74D-7596984A4E96}"/>
    <cellStyle name="Cálculo 2 3 2 3 2 9" xfId="6348" xr:uid="{7BBE9BAB-EBDA-4190-A9B8-CA67EE11779E}"/>
    <cellStyle name="Cálculo 2 3 2 3 2 9 2" xfId="12052" xr:uid="{57820470-BB6D-4E0C-8A34-C706FA2DCA0B}"/>
    <cellStyle name="Cálculo 2 3 2 3 20" xfId="8867" xr:uid="{C3172B89-3A83-4040-8AB0-A5F8C75D7042}"/>
    <cellStyle name="Cálculo 2 3 2 3 21" xfId="2213" xr:uid="{FC6F6ED3-FD0C-4A1F-B466-DEE99B4D02AE}"/>
    <cellStyle name="Cálculo 2 3 2 3 3" xfId="2511" xr:uid="{7A6B9DCA-7A36-446D-BF46-0210A2A75F1F}"/>
    <cellStyle name="Cálculo 2 3 2 3 3 10" xfId="7203" xr:uid="{49A52549-761A-45CF-A424-68AF4784776C}"/>
    <cellStyle name="Cálculo 2 3 2 3 3 10 2" xfId="12775" xr:uid="{95C04E46-BD89-451F-9D47-C8E4088CF763}"/>
    <cellStyle name="Cálculo 2 3 2 3 3 11" xfId="7284" xr:uid="{3F7D3AC3-6D1C-46A4-B04A-D44C77B6186B}"/>
    <cellStyle name="Cálculo 2 3 2 3 3 11 2" xfId="12856" xr:uid="{7F377A23-A689-4051-96C4-603DFE61AB8B}"/>
    <cellStyle name="Cálculo 2 3 2 3 3 12" xfId="8725" xr:uid="{8F325229-4BB3-4160-8151-425059843EB8}"/>
    <cellStyle name="Cálculo 2 3 2 3 3 12 2" xfId="14081" xr:uid="{7D362637-5686-4F89-AE8F-4D5D60C96763}"/>
    <cellStyle name="Cálculo 2 3 2 3 3 13" xfId="9041" xr:uid="{30589A8A-62A8-4B2B-8455-49314A4EB28F}"/>
    <cellStyle name="Cálculo 2 3 2 3 3 2" xfId="3067" xr:uid="{7633ACFF-3588-40DC-888D-A9932536B034}"/>
    <cellStyle name="Cálculo 2 3 2 3 3 2 2" xfId="4007" xr:uid="{1473DB2A-1DB8-4CE3-83C0-6DAF25872BA3}"/>
    <cellStyle name="Cálculo 2 3 2 3 3 2 2 2" xfId="10121" xr:uid="{D6854C9C-CC0E-4C61-A40B-E9BDFD23340A}"/>
    <cellStyle name="Cálculo 2 3 2 3 3 2 3" xfId="6978" xr:uid="{9218AAE0-FBBE-46D1-9460-D4803ED7B263}"/>
    <cellStyle name="Cálculo 2 3 2 3 3 2 3 2" xfId="12584" xr:uid="{85DA84ED-C951-4B68-901A-5C239E1CAE72}"/>
    <cellStyle name="Cálculo 2 3 2 3 3 2 4" xfId="7656" xr:uid="{A2B054D8-D221-4B2F-AFF6-99A0BBA38DB1}"/>
    <cellStyle name="Cálculo 2 3 2 3 3 2 4 2" xfId="13228" xr:uid="{BC2F7669-0034-4AFA-A4F6-34FEBB68BF2D}"/>
    <cellStyle name="Cálculo 2 3 2 3 3 2 5" xfId="8149" xr:uid="{DC4BD68C-A941-4B85-8A36-95AF5E4551F6}"/>
    <cellStyle name="Cálculo 2 3 2 3 3 2 5 2" xfId="13721" xr:uid="{58166659-F7DE-4294-ABFD-F273E6683168}"/>
    <cellStyle name="Cálculo 2 3 2 3 3 2 6" xfId="9401" xr:uid="{1EA1A517-F0FB-4AD5-A574-F6B753227D07}"/>
    <cellStyle name="Cálculo 2 3 2 3 3 3" xfId="3527" xr:uid="{821EB5AC-3BA0-4C6E-9E21-B6BE60AC50BB}"/>
    <cellStyle name="Cálculo 2 3 2 3 3 3 2" xfId="9761" xr:uid="{E6A89594-4837-48F1-906E-8ADB438E4E72}"/>
    <cellStyle name="Cálculo 2 3 2 3 3 4" xfId="4724" xr:uid="{AE7DF2D8-A957-413C-959D-1D4D657F99FD}"/>
    <cellStyle name="Cálculo 2 3 2 3 3 4 2" xfId="10588" xr:uid="{AE9DBAE7-B4D8-4DC1-9BAB-25798CF7F0B9}"/>
    <cellStyle name="Cálculo 2 3 2 3 3 5" xfId="4967" xr:uid="{E1C8E857-59F7-45B7-A24B-3FA8A6450DEE}"/>
    <cellStyle name="Cálculo 2 3 2 3 3 5 2" xfId="10813" xr:uid="{69550647-BD3A-45F4-82C8-B054DBEEB85D}"/>
    <cellStyle name="Cálculo 2 3 2 3 3 6" xfId="5115" xr:uid="{7264A314-58EA-48C8-963A-82F9EF4D18B2}"/>
    <cellStyle name="Cálculo 2 3 2 3 3 6 2" xfId="10961" xr:uid="{00FE1EDC-92EF-44FF-AF5F-9229F93DE336}"/>
    <cellStyle name="Cálculo 2 3 2 3 3 7" xfId="5906" xr:uid="{262000AE-76C0-41BF-AFA9-B3E935B486A1}"/>
    <cellStyle name="Cálculo 2 3 2 3 3 7 2" xfId="11634" xr:uid="{E82DABD9-93C8-49B7-8509-ABFCEE855AEE}"/>
    <cellStyle name="Cálculo 2 3 2 3 3 8" xfId="6236" xr:uid="{7CDD054B-07C9-4C93-A969-88E67B6A7A5A}"/>
    <cellStyle name="Cálculo 2 3 2 3 3 8 2" xfId="11940" xr:uid="{9DB5E8A7-8B3B-472A-ADFB-49370C814234}"/>
    <cellStyle name="Cálculo 2 3 2 3 3 9" xfId="6438" xr:uid="{B8CB2ED1-D406-4D7A-A6DE-0363768AFF3B}"/>
    <cellStyle name="Cálculo 2 3 2 3 3 9 2" xfId="12142" xr:uid="{4FEFA669-B4A2-40E9-B45E-1FD71321288D}"/>
    <cellStyle name="Cálculo 2 3 2 3 4" xfId="2496" xr:uid="{5A6479A2-0667-43A3-B78F-6F851544ABFB}"/>
    <cellStyle name="Cálculo 2 3 2 3 4 10" xfId="7188" xr:uid="{201B71C0-6A59-4364-9F44-EAC5BE5457F3}"/>
    <cellStyle name="Cálculo 2 3 2 3 4 10 2" xfId="12760" xr:uid="{E59E3416-C5DF-4D90-A0BC-BA3B2CBC575C}"/>
    <cellStyle name="Cálculo 2 3 2 3 4 11" xfId="5540" xr:uid="{D17DFA97-B435-46C8-A40F-77D96ACEB435}"/>
    <cellStyle name="Cálculo 2 3 2 3 4 11 2" xfId="11268" xr:uid="{2276DBED-3F33-4CFA-95BE-6FA7AAE5D9F9}"/>
    <cellStyle name="Cálculo 2 3 2 3 4 12" xfId="8710" xr:uid="{592FBF90-F114-4734-BB31-ADB9E8C2F62D}"/>
    <cellStyle name="Cálculo 2 3 2 3 4 12 2" xfId="14066" xr:uid="{5365B440-CD57-4679-86F8-62450E33AE95}"/>
    <cellStyle name="Cálculo 2 3 2 3 4 13" xfId="9026" xr:uid="{4B378D87-D25E-4D70-B5D4-FEBB761BF42C}"/>
    <cellStyle name="Cálculo 2 3 2 3 4 2" xfId="3052" xr:uid="{9CB009E5-6D5D-4842-A326-C86F17AE67E1}"/>
    <cellStyle name="Cálculo 2 3 2 3 4 2 2" xfId="3992" xr:uid="{275596F1-EC41-4F0D-91A0-93C058C0B7FE}"/>
    <cellStyle name="Cálculo 2 3 2 3 4 2 2 2" xfId="10106" xr:uid="{EB4FE193-5354-4EB4-BDE2-7CEC33247AB3}"/>
    <cellStyle name="Cálculo 2 3 2 3 4 2 3" xfId="6963" xr:uid="{B17F940C-F81D-4160-9483-760330EA95F3}"/>
    <cellStyle name="Cálculo 2 3 2 3 4 2 3 2" xfId="12569" xr:uid="{A98E0B5F-3BC1-46A8-9317-5FB9D2C43727}"/>
    <cellStyle name="Cálculo 2 3 2 3 4 2 4" xfId="7641" xr:uid="{ED748C72-7B92-4155-8456-CF2E36732C9C}"/>
    <cellStyle name="Cálculo 2 3 2 3 4 2 4 2" xfId="13213" xr:uid="{0AC6683E-6C52-49D4-8E28-A266785058BB}"/>
    <cellStyle name="Cálculo 2 3 2 3 4 2 5" xfId="8134" xr:uid="{15ECFE28-8FFB-4A4F-86FE-A7ED2E7D1006}"/>
    <cellStyle name="Cálculo 2 3 2 3 4 2 5 2" xfId="13706" xr:uid="{3795176E-E924-484A-8F8F-CC271CF042DE}"/>
    <cellStyle name="Cálculo 2 3 2 3 4 2 6" xfId="9386" xr:uid="{6D210C00-B76C-4830-B585-28B2E64FCD37}"/>
    <cellStyle name="Cálculo 2 3 2 3 4 3" xfId="3512" xr:uid="{B622BFFD-F477-41B0-8A15-456469381AF3}"/>
    <cellStyle name="Cálculo 2 3 2 3 4 3 2" xfId="9746" xr:uid="{BC83719D-42AF-40B8-AB8D-AE908D5D41E8}"/>
    <cellStyle name="Cálculo 2 3 2 3 4 4" xfId="4709" xr:uid="{5FDCBD7D-470B-40B2-BE11-7FDEAD1351EC}"/>
    <cellStyle name="Cálculo 2 3 2 3 4 4 2" xfId="10573" xr:uid="{8B816FA0-60DD-4757-BC5D-07E4056B14E1}"/>
    <cellStyle name="Cálculo 2 3 2 3 4 5" xfId="4952" xr:uid="{A44DEECE-C4B0-43AF-AD96-C10D8B099E13}"/>
    <cellStyle name="Cálculo 2 3 2 3 4 5 2" xfId="10798" xr:uid="{43207090-3891-4B2E-BC74-A3D5A7867274}"/>
    <cellStyle name="Cálculo 2 3 2 3 4 6" xfId="5100" xr:uid="{9B1E8A7F-0A4E-4381-B875-07EAE306155C}"/>
    <cellStyle name="Cálculo 2 3 2 3 4 6 2" xfId="10946" xr:uid="{274F7FB6-0DD5-4680-B7FD-3CBF6A13304D}"/>
    <cellStyle name="Cálculo 2 3 2 3 4 7" xfId="5891" xr:uid="{8D5FFA4E-1F8F-470B-B108-3976B0B599D9}"/>
    <cellStyle name="Cálculo 2 3 2 3 4 7 2" xfId="11619" xr:uid="{7C4593DA-25DA-4C7B-8056-A324CACB2767}"/>
    <cellStyle name="Cálculo 2 3 2 3 4 8" xfId="6221" xr:uid="{894A7E52-08FB-4DDF-8915-3237596A4D6C}"/>
    <cellStyle name="Cálculo 2 3 2 3 4 8 2" xfId="11925" xr:uid="{102413AF-829E-4E09-B1AF-A567143AA855}"/>
    <cellStyle name="Cálculo 2 3 2 3 4 9" xfId="6423" xr:uid="{DE36C794-99CD-4139-AF44-AF8EF85A6463}"/>
    <cellStyle name="Cálculo 2 3 2 3 4 9 2" xfId="12127" xr:uid="{3CDA69B0-2379-49E6-81BA-3C860851B605}"/>
    <cellStyle name="Cálculo 2 3 2 3 5" xfId="2669" xr:uid="{47E1E0C3-E85E-440C-9AB6-0A7C808E9DCB}"/>
    <cellStyle name="Cálculo 2 3 2 3 5 2" xfId="3133" xr:uid="{49B8872E-B2DC-4622-8A4E-E19F59077F8B}"/>
    <cellStyle name="Cálculo 2 3 2 3 5 2 2" xfId="4091" xr:uid="{D77C3189-B2FF-4F48-A4B4-3B3AD521DF6F}"/>
    <cellStyle name="Cálculo 2 3 2 3 5 2 2 2" xfId="10187" xr:uid="{455ECCD8-C093-4D77-8A20-1A78D5DFD738}"/>
    <cellStyle name="Cálculo 2 3 2 3 5 2 3" xfId="7062" xr:uid="{097C5594-6812-4D72-AED1-0FDA4FD6CF31}"/>
    <cellStyle name="Cálculo 2 3 2 3 5 2 3 2" xfId="12650" xr:uid="{EABF0234-FF20-47E2-A620-0BF6B49885FC}"/>
    <cellStyle name="Cálculo 2 3 2 3 5 2 4" xfId="7723" xr:uid="{1419474E-2561-4CF0-87E8-818661FF78B0}"/>
    <cellStyle name="Cálculo 2 3 2 3 5 2 4 2" xfId="13295" xr:uid="{FF1FBB5C-13F0-4CA9-980D-3A6837ECE852}"/>
    <cellStyle name="Cálculo 2 3 2 3 5 2 5" xfId="8215" xr:uid="{54A4EA00-51C5-48D7-85D5-933F0D046032}"/>
    <cellStyle name="Cálculo 2 3 2 3 5 2 5 2" xfId="13787" xr:uid="{256911AD-4BFC-40B2-B7CD-84C91D47A50F}"/>
    <cellStyle name="Cálculo 2 3 2 3 5 2 6" xfId="9467" xr:uid="{E50BBF9B-8C2A-4BBB-B336-4CE460EF95B1}"/>
    <cellStyle name="Cálculo 2 3 2 3 5 3" xfId="3611" xr:uid="{FB7EA08B-CDB8-4B7B-9E77-1D606DF8B765}"/>
    <cellStyle name="Cálculo 2 3 2 3 5 3 2" xfId="9827" xr:uid="{F66E6561-E817-45C0-A1BC-EC673F6DF42A}"/>
    <cellStyle name="Cálculo 2 3 2 3 5 4" xfId="6048" xr:uid="{BD50A128-D86A-455D-B3EB-CF1514EE94F1}"/>
    <cellStyle name="Cálculo 2 3 2 3 5 4 2" xfId="11760" xr:uid="{F3EE34F7-7FB4-4BC1-8AB6-974ACC35655F}"/>
    <cellStyle name="Cálculo 2 3 2 3 5 5" xfId="6566" xr:uid="{48E6B323-9634-4790-B3E8-500DD7BA9458}"/>
    <cellStyle name="Cálculo 2 3 2 3 5 5 2" xfId="12270" xr:uid="{4D2C575B-790B-418C-A43B-1BA068B43585}"/>
    <cellStyle name="Cálculo 2 3 2 3 5 6" xfId="7320" xr:uid="{3A6D1C67-E261-4070-9E48-82ABEA34C123}"/>
    <cellStyle name="Cálculo 2 3 2 3 5 6 2" xfId="12892" xr:uid="{757F5236-6230-4EF2-A025-98B872592CF9}"/>
    <cellStyle name="Cálculo 2 3 2 3 5 7" xfId="7855" xr:uid="{EB919C1E-10B1-445C-8017-CF587DDD8485}"/>
    <cellStyle name="Cálculo 2 3 2 3 5 7 2" xfId="13427" xr:uid="{2B3F58C0-C7BC-444E-8457-B7189D447BC4}"/>
    <cellStyle name="Cálculo 2 3 2 3 5 8" xfId="9107" xr:uid="{05B3B544-D48B-4E24-BE08-F3B7D696A15F}"/>
    <cellStyle name="Cálculo 2 3 2 3 6" xfId="2761" xr:uid="{75496485-0B88-4E88-9A1C-57F1F82F56FF}"/>
    <cellStyle name="Cálculo 2 3 2 3 6 2" xfId="3193" xr:uid="{5A95EBCA-ED1B-4C62-A1CA-B9036875DB2C}"/>
    <cellStyle name="Cálculo 2 3 2 3 6 2 2" xfId="4151" xr:uid="{699A7555-E39B-4417-8E90-49E0DE31910D}"/>
    <cellStyle name="Cálculo 2 3 2 3 6 2 2 2" xfId="10247" xr:uid="{455D43E0-8817-440C-8A16-5154D1DA3ECE}"/>
    <cellStyle name="Cálculo 2 3 2 3 6 2 3" xfId="7122" xr:uid="{C5C5309D-5ABC-4628-892D-692906BAEE71}"/>
    <cellStyle name="Cálculo 2 3 2 3 6 2 3 2" xfId="12710" xr:uid="{815D64AC-A4C5-4019-B76F-52CF539F0DF9}"/>
    <cellStyle name="Cálculo 2 3 2 3 6 2 4" xfId="7783" xr:uid="{C6586CED-8831-4AD0-8F15-40D444564BBB}"/>
    <cellStyle name="Cálculo 2 3 2 3 6 2 4 2" xfId="13355" xr:uid="{CA5E6367-94F6-4962-B19B-E7E2CA4DC9CB}"/>
    <cellStyle name="Cálculo 2 3 2 3 6 2 5" xfId="8275" xr:uid="{E6384D01-1903-45B1-B270-6E3684C85094}"/>
    <cellStyle name="Cálculo 2 3 2 3 6 2 5 2" xfId="13847" xr:uid="{601443C4-2BDD-4069-8EB8-79B92583C5B4}"/>
    <cellStyle name="Cálculo 2 3 2 3 6 2 6" xfId="9527" xr:uid="{8359762D-CBB6-4ADE-8435-FE2A21CF0E45}"/>
    <cellStyle name="Cálculo 2 3 2 3 6 3" xfId="3671" xr:uid="{9F8F8AFD-64D9-4F9E-ABB9-94E1D63DEFB6}"/>
    <cellStyle name="Cálculo 2 3 2 3 6 3 2" xfId="9887" xr:uid="{42DC9821-057F-409E-AD0F-0418752951C1}"/>
    <cellStyle name="Cálculo 2 3 2 3 6 4" xfId="6128" xr:uid="{D378E7B6-33FE-494C-B4E2-8F5D9A4E8717}"/>
    <cellStyle name="Cálculo 2 3 2 3 6 4 2" xfId="11840" xr:uid="{5BA7D5B5-CBBD-4B0A-A70B-8F69396DFB9C}"/>
    <cellStyle name="Cálculo 2 3 2 3 6 5" xfId="6638" xr:uid="{D0E225C8-0728-4D3D-A064-5496EAFBAAAE}"/>
    <cellStyle name="Cálculo 2 3 2 3 6 5 2" xfId="12342" xr:uid="{9014428F-E99C-4E46-9070-A2C62786AD23}"/>
    <cellStyle name="Cálculo 2 3 2 3 6 6" xfId="7382" xr:uid="{16C3A5F4-03AB-4683-80BA-BFB817EAC54E}"/>
    <cellStyle name="Cálculo 2 3 2 3 6 6 2" xfId="12954" xr:uid="{7DD4E220-827F-4CAC-A53E-31F8F9FE835E}"/>
    <cellStyle name="Cálculo 2 3 2 3 6 7" xfId="7915" xr:uid="{862DF206-53C9-4F6F-9D70-79509A4AD8E0}"/>
    <cellStyle name="Cálculo 2 3 2 3 6 7 2" xfId="13487" xr:uid="{F4F27605-0666-4712-AB25-9A57AD4391A3}"/>
    <cellStyle name="Cálculo 2 3 2 3 6 8" xfId="9167" xr:uid="{CC779F99-2105-4638-845E-FF55CD808595}"/>
    <cellStyle name="Cálculo 2 3 2 3 7" xfId="2861" xr:uid="{832F3C43-6D72-4AE0-A8FE-EDC40A4330A7}"/>
    <cellStyle name="Cálculo 2 3 2 3 7 2" xfId="3785" xr:uid="{9A998608-8468-45BE-8BAE-AA9A72DBD11C}"/>
    <cellStyle name="Cálculo 2 3 2 3 7 2 2" xfId="9947" xr:uid="{A578B72A-9278-4316-8FAF-E4DE4238F956}"/>
    <cellStyle name="Cálculo 2 3 2 3 7 3" xfId="6756" xr:uid="{51141F25-FC3E-4941-A4EB-7DB8172C459B}"/>
    <cellStyle name="Cálculo 2 3 2 3 7 3 2" xfId="12410" xr:uid="{8C60EB2F-56AB-44DA-AD5E-C69B9C0E263A}"/>
    <cellStyle name="Cálculo 2 3 2 3 7 4" xfId="7466" xr:uid="{420579CA-32CE-4DBB-BDB5-67C630D64BDA}"/>
    <cellStyle name="Cálculo 2 3 2 3 7 4 2" xfId="13038" xr:uid="{3D8DF110-1ECE-480B-859E-19209CAD2D43}"/>
    <cellStyle name="Cálculo 2 3 2 3 7 5" xfId="7975" xr:uid="{5B3DE325-2962-4578-AF0C-C09901AC651A}"/>
    <cellStyle name="Cálculo 2 3 2 3 7 5 2" xfId="13547" xr:uid="{5814D4E6-39D0-4F40-8E2C-274B27513E0C}"/>
    <cellStyle name="Cálculo 2 3 2 3 7 6" xfId="9227" xr:uid="{B7F165EF-6AB2-4DB7-9E99-1D9880500C20}"/>
    <cellStyle name="Cálculo 2 3 2 3 8" xfId="3305" xr:uid="{4ECE8618-C2F9-4E35-BEA5-8C89C48F3A3C}"/>
    <cellStyle name="Cálculo 2 3 2 3 8 2" xfId="9587" xr:uid="{B504743B-9495-4016-9BCE-CB8EA25671A7}"/>
    <cellStyle name="Cálculo 2 3 2 3 9" xfId="4472" xr:uid="{344FAAF4-A1FA-4CB4-B232-281A51724946}"/>
    <cellStyle name="Cálculo 2 3 2 3 9 2" xfId="10384" xr:uid="{300B3267-0F69-4BA3-A01F-DA08E499E80C}"/>
    <cellStyle name="Cálculo 2 3 2 4" xfId="8852" xr:uid="{1DAD523B-F2DC-4C07-8A33-0F59ED942197}"/>
    <cellStyle name="Cálculo 2 3 2 5" xfId="2131" xr:uid="{235355B5-59B8-4EB9-9AA2-23409DA4E622}"/>
    <cellStyle name="Cálculo 2 3 3" xfId="1528" xr:uid="{9ACCDB1A-B82B-415C-827A-9123379E95BB}"/>
    <cellStyle name="Cálculo 2 3 3 10" xfId="4336" xr:uid="{D9A9E5BB-FD54-4DB9-8800-05CE54085829}"/>
    <cellStyle name="Cálculo 2 3 3 10 2" xfId="10296" xr:uid="{997DB19D-B9E2-434C-9DDD-0041B9F14DAA}"/>
    <cellStyle name="Cálculo 2 3 3 11" xfId="4843" xr:uid="{A00D2656-AE92-488D-B0D8-971567E283B2}"/>
    <cellStyle name="Cálculo 2 3 3 11 2" xfId="10689" xr:uid="{39207883-3642-405C-8B08-5927CAB9F418}"/>
    <cellStyle name="Cálculo 2 3 3 12" xfId="5423" xr:uid="{2A06C01B-B938-4327-B6E4-420163D04D69}"/>
    <cellStyle name="Cálculo 2 3 3 12 2" xfId="11221" xr:uid="{9F339BD4-5732-48FD-978D-03F4C72F1859}"/>
    <cellStyle name="Cálculo 2 3 3 13" xfId="5591" xr:uid="{B9695715-782F-403E-80AC-4B014A152FD5}"/>
    <cellStyle name="Cálculo 2 3 3 13 2" xfId="11319" xr:uid="{8A7F4740-35E6-4C16-A98A-BF7ACC91B9D8}"/>
    <cellStyle name="Cálculo 2 3 3 14" xfId="5350" xr:uid="{E6B8084C-CA57-47A9-9829-42A74A7691E9}"/>
    <cellStyle name="Cálculo 2 3 3 14 2" xfId="11182" xr:uid="{C1A049E3-57C3-4CE4-8033-4BCEEA5CEB72}"/>
    <cellStyle name="Cálculo 2 3 3 15" xfId="5736" xr:uid="{D924FA32-437E-4842-B886-C59FD9CC0714}"/>
    <cellStyle name="Cálculo 2 3 3 15 2" xfId="11464" xr:uid="{77801557-422A-4DFB-885A-59E071EE2631}"/>
    <cellStyle name="Cálculo 2 3 3 16" xfId="5641" xr:uid="{C4E74F07-FDB9-42E1-A2DC-FC551D8FF9EE}"/>
    <cellStyle name="Cálculo 2 3 3 16 2" xfId="11369" xr:uid="{FE45FE02-6DC4-42BC-A7E0-D4C9AE0FEA29}"/>
    <cellStyle name="Cálculo 2 3 3 17" xfId="5669" xr:uid="{7E9387F2-90E9-48AA-9D2A-D0F6CE4D41F1}"/>
    <cellStyle name="Cálculo 2 3 3 17 2" xfId="11397" xr:uid="{6DE83FAF-21B5-4288-8F7B-8B8C326C85AD}"/>
    <cellStyle name="Cálculo 2 3 3 18" xfId="7438" xr:uid="{02AD333F-CFA2-4E44-9BAB-411333CD32C2}"/>
    <cellStyle name="Cálculo 2 3 3 18 2" xfId="13010" xr:uid="{048C0929-99EB-4130-B58F-3FE53ABF982C}"/>
    <cellStyle name="Cálculo 2 3 3 19" xfId="8443" xr:uid="{3B5831EE-E6B0-4A83-BA49-146ED3AF29BD}"/>
    <cellStyle name="Cálculo 2 3 3 19 2" xfId="13923" xr:uid="{53949188-25BA-4C85-BC9D-33D669511C67}"/>
    <cellStyle name="Cálculo 2 3 3 2" xfId="2421" xr:uid="{20742C2D-2DB9-4D9B-9790-37E00166C99C}"/>
    <cellStyle name="Cálculo 2 3 3 2 10" xfId="6493" xr:uid="{40CB4C94-FA02-4507-AE05-62D2634A7BD5}"/>
    <cellStyle name="Cálculo 2 3 3 2 10 2" xfId="12197" xr:uid="{6A35BA90-DE05-4809-82E0-757DC38B365C}"/>
    <cellStyle name="Cálculo 2 3 3 2 11" xfId="5678" xr:uid="{7ABA3457-ABB4-4C27-823F-0E0D862CE2AD}"/>
    <cellStyle name="Cálculo 2 3 3 2 11 2" xfId="11406" xr:uid="{EFF48BE1-CB8F-4657-814C-DAA3A3F6C305}"/>
    <cellStyle name="Cálculo 2 3 3 2 12" xfId="8635" xr:uid="{7243BA89-6E68-4BF3-85AF-52943D7E357B}"/>
    <cellStyle name="Cálculo 2 3 3 2 12 2" xfId="14023" xr:uid="{C39F0A3F-825B-447C-A88B-4AED91A4913C}"/>
    <cellStyle name="Cálculo 2 3 3 2 13" xfId="8983" xr:uid="{00F8AE39-7544-46F2-A97F-6F07CD041535}"/>
    <cellStyle name="Cálculo 2 3 3 2 2" xfId="3009" xr:uid="{1A6D44FD-A30D-4683-91FD-ED168C605971}"/>
    <cellStyle name="Cálculo 2 3 3 2 2 2" xfId="3949" xr:uid="{AA0A629B-1815-45D8-83E5-7A3EA6987EAD}"/>
    <cellStyle name="Cálculo 2 3 3 2 2 2 2" xfId="10063" xr:uid="{2FE7251D-D532-4C3E-8CB3-AB873DF96611}"/>
    <cellStyle name="Cálculo 2 3 3 2 2 3" xfId="6920" xr:uid="{78E780C2-8D1E-47D1-B18A-29FCDFFF7E1E}"/>
    <cellStyle name="Cálculo 2 3 3 2 2 3 2" xfId="12526" xr:uid="{29F1B735-1680-4D17-8247-672D54BA25FF}"/>
    <cellStyle name="Cálculo 2 3 3 2 2 4" xfId="7598" xr:uid="{2F83A37F-6856-4FBF-9C8F-6780C9AF0539}"/>
    <cellStyle name="Cálculo 2 3 3 2 2 4 2" xfId="13170" xr:uid="{F43F2E4A-C77A-43F7-925B-C1C17AC73034}"/>
    <cellStyle name="Cálculo 2 3 3 2 2 5" xfId="8091" xr:uid="{77AC5C80-671C-4014-A2AB-400D5714563C}"/>
    <cellStyle name="Cálculo 2 3 3 2 2 5 2" xfId="13663" xr:uid="{02BEDEBF-C2EA-4A3E-9FAE-B78967F6CE43}"/>
    <cellStyle name="Cálculo 2 3 3 2 2 6" xfId="9343" xr:uid="{9B618865-F5EF-4046-BFAD-1B0BBB556C3E}"/>
    <cellStyle name="Cálculo 2 3 3 2 3" xfId="3469" xr:uid="{27D20719-6AA7-49F0-8F2B-C04CC0954542}"/>
    <cellStyle name="Cálculo 2 3 3 2 3 2" xfId="9703" xr:uid="{8923C34B-68D6-42A6-A5AA-8B925FA566F1}"/>
    <cellStyle name="Cálculo 2 3 3 2 4" xfId="4662" xr:uid="{FC372F53-9700-45BD-B853-B68EFA8468B1}"/>
    <cellStyle name="Cálculo 2 3 3 2 4 2" xfId="10526" xr:uid="{B43F031F-1966-474E-9F42-52EDA0813854}"/>
    <cellStyle name="Cálculo 2 3 3 2 5" xfId="4901" xr:uid="{9C104438-8D17-40B4-AA64-EE6371AEA80E}"/>
    <cellStyle name="Cálculo 2 3 3 2 5 2" xfId="10747" xr:uid="{F3733041-7B2F-4BFC-B8C5-8B10D848796A}"/>
    <cellStyle name="Cálculo 2 3 3 2 6" xfId="5057" xr:uid="{AA4008E3-C16F-40E5-AAE7-99B13A9A5A46}"/>
    <cellStyle name="Cálculo 2 3 3 2 6 2" xfId="10903" xr:uid="{40ACD290-D45E-4A88-A67E-679BC168D900}"/>
    <cellStyle name="Cálculo 2 3 3 2 7" xfId="5827" xr:uid="{457CDCD6-A8DC-475D-9686-A270AE361813}"/>
    <cellStyle name="Cálculo 2 3 3 2 7 2" xfId="11555" xr:uid="{43656EE6-CF54-469F-AC5E-D5696153367B}"/>
    <cellStyle name="Cálculo 2 3 3 2 8" xfId="5636" xr:uid="{1AC86F53-C973-4012-9276-88CF49953516}"/>
    <cellStyle name="Cálculo 2 3 3 2 8 2" xfId="11364" xr:uid="{CA84E600-88F0-429E-A3D3-06B2E969E5C6}"/>
    <cellStyle name="Cálculo 2 3 3 2 9" xfId="6364" xr:uid="{20448232-8E60-488A-AB9E-52714E411581}"/>
    <cellStyle name="Cálculo 2 3 3 2 9 2" xfId="12068" xr:uid="{499DBACC-0FCB-4B70-8FD4-42DF72FC0273}"/>
    <cellStyle name="Cálculo 2 3 3 20" xfId="8883" xr:uid="{79AC9D62-2530-4E0D-BDD5-DBEDA6ED114C}"/>
    <cellStyle name="Cálculo 2 3 3 21" xfId="2229" xr:uid="{FA09E15E-667A-4EAE-A677-980D71007300}"/>
    <cellStyle name="Cálculo 2 3 3 3" xfId="2527" xr:uid="{DF662B86-68D4-477F-BB12-CD9A8B5A8DA0}"/>
    <cellStyle name="Cálculo 2 3 3 3 10" xfId="7219" xr:uid="{3D56E625-EF1F-466C-9BA8-DA3284188864}"/>
    <cellStyle name="Cálculo 2 3 3 3 10 2" xfId="12791" xr:uid="{D13AEDCB-E5CA-40F3-B64A-5269A5486D1D}"/>
    <cellStyle name="Cálculo 2 3 3 3 11" xfId="7484" xr:uid="{429E18D5-1135-4F46-A2BD-CD3E83C6A543}"/>
    <cellStyle name="Cálculo 2 3 3 3 11 2" xfId="13056" xr:uid="{0CB80344-748F-4A34-8A32-55E2AC38D928}"/>
    <cellStyle name="Cálculo 2 3 3 3 12" xfId="8741" xr:uid="{41FBDF0F-E194-44D1-8C84-9E372CEBD223}"/>
    <cellStyle name="Cálculo 2 3 3 3 12 2" xfId="14097" xr:uid="{91652C39-7D76-4A49-9CDF-1C773215D7F2}"/>
    <cellStyle name="Cálculo 2 3 3 3 13" xfId="9057" xr:uid="{0A8A907B-D894-427E-9559-8D2C447B2701}"/>
    <cellStyle name="Cálculo 2 3 3 3 2" xfId="3083" xr:uid="{02C1A5E8-5F0B-47BC-8751-7991949AE93C}"/>
    <cellStyle name="Cálculo 2 3 3 3 2 2" xfId="4023" xr:uid="{AC0E16C8-396F-4E3A-84A6-DF03171C9C1D}"/>
    <cellStyle name="Cálculo 2 3 3 3 2 2 2" xfId="10137" xr:uid="{AD27DA72-1255-4184-B698-FA76274B49D8}"/>
    <cellStyle name="Cálculo 2 3 3 3 2 3" xfId="6994" xr:uid="{332330A2-068F-4FE3-BFD5-70ED05D71701}"/>
    <cellStyle name="Cálculo 2 3 3 3 2 3 2" xfId="12600" xr:uid="{B65314CA-5B02-407D-A5B9-968D6C9BB8A6}"/>
    <cellStyle name="Cálculo 2 3 3 3 2 4" xfId="7672" xr:uid="{CA74C505-009C-48A2-8B0E-D85022456478}"/>
    <cellStyle name="Cálculo 2 3 3 3 2 4 2" xfId="13244" xr:uid="{D6D6EFB4-8834-4027-89C0-FE72FE09BB71}"/>
    <cellStyle name="Cálculo 2 3 3 3 2 5" xfId="8165" xr:uid="{F8E705B5-9BE4-4EA7-ADB9-7F3267648A6B}"/>
    <cellStyle name="Cálculo 2 3 3 3 2 5 2" xfId="13737" xr:uid="{7DC7F5C0-0D42-4E0E-955F-778018FE006B}"/>
    <cellStyle name="Cálculo 2 3 3 3 2 6" xfId="9417" xr:uid="{1F45798A-2C1B-4608-A606-DC3866F6024B}"/>
    <cellStyle name="Cálculo 2 3 3 3 3" xfId="3543" xr:uid="{9369C67C-D86B-4771-B454-58B01361BAF5}"/>
    <cellStyle name="Cálculo 2 3 3 3 3 2" xfId="9777" xr:uid="{4626F452-354D-43FF-93A0-3934D3657928}"/>
    <cellStyle name="Cálculo 2 3 3 3 4" xfId="4740" xr:uid="{5B197560-C7D4-4FAB-99EA-AC2C6C75ABEF}"/>
    <cellStyle name="Cálculo 2 3 3 3 4 2" xfId="10604" xr:uid="{4F066292-72DA-4853-8EC8-0AFFB37A15E2}"/>
    <cellStyle name="Cálculo 2 3 3 3 5" xfId="4983" xr:uid="{2C8A90F7-16CF-4706-B7CA-0F2526D87BA0}"/>
    <cellStyle name="Cálculo 2 3 3 3 5 2" xfId="10829" xr:uid="{75E4F258-57C7-4AA3-AA49-9DCAC58EAAFD}"/>
    <cellStyle name="Cálculo 2 3 3 3 6" xfId="5131" xr:uid="{F29DF169-C9D3-4668-B9A2-5266F0AC4CF0}"/>
    <cellStyle name="Cálculo 2 3 3 3 6 2" xfId="10977" xr:uid="{0C2FB61E-1F52-4D29-9D31-D50F19DFE131}"/>
    <cellStyle name="Cálculo 2 3 3 3 7" xfId="5922" xr:uid="{0D2F967E-A07B-4535-8090-B6ED07A69CB4}"/>
    <cellStyle name="Cálculo 2 3 3 3 7 2" xfId="11650" xr:uid="{526C1882-3241-4A85-996A-A1CB1169A4BE}"/>
    <cellStyle name="Cálculo 2 3 3 3 8" xfId="6252" xr:uid="{74D43DBA-5B70-4555-9747-526BAF2172EA}"/>
    <cellStyle name="Cálculo 2 3 3 3 8 2" xfId="11956" xr:uid="{DCCD77F1-2A48-4F07-83B2-DD8EFC0FB491}"/>
    <cellStyle name="Cálculo 2 3 3 3 9" xfId="6454" xr:uid="{DBAC4C4C-787B-4D76-9983-E0BC0A5B43AA}"/>
    <cellStyle name="Cálculo 2 3 3 3 9 2" xfId="12158" xr:uid="{BF4197E8-24D0-4EB4-9A7F-790CC83E9F28}"/>
    <cellStyle name="Cálculo 2 3 3 4" xfId="2457" xr:uid="{1CAA7AEF-DF20-44C7-8F02-D6F293DE79EB}"/>
    <cellStyle name="Cálculo 2 3 3 4 10" xfId="5356" xr:uid="{CC3F2694-4094-41D3-A1B8-BC2DC56B4A86}"/>
    <cellStyle name="Cálculo 2 3 3 4 10 2" xfId="11188" xr:uid="{7CAC5066-7915-482C-ACFE-6DE36CFF020F}"/>
    <cellStyle name="Cálculo 2 3 3 4 11" xfId="6536" xr:uid="{6C30EBA3-D4BD-4753-8C49-3ED3E3A6738B}"/>
    <cellStyle name="Cálculo 2 3 3 4 11 2" xfId="12240" xr:uid="{E742485F-1841-4CCD-8299-251A81A7C757}"/>
    <cellStyle name="Cálculo 2 3 3 4 12" xfId="8671" xr:uid="{B65F1660-31A2-4A7B-BCBC-5078118981C4}"/>
    <cellStyle name="Cálculo 2 3 3 4 12 2" xfId="14059" xr:uid="{C411B289-8E32-4460-9F43-E9266AB4E688}"/>
    <cellStyle name="Cálculo 2 3 3 4 13" xfId="9019" xr:uid="{A1869256-DE3D-4578-95C0-C1202A9E1821}"/>
    <cellStyle name="Cálculo 2 3 3 4 2" xfId="3045" xr:uid="{6D6E9758-107E-42AE-9396-C6802EC1EFC7}"/>
    <cellStyle name="Cálculo 2 3 3 4 2 2" xfId="3985" xr:uid="{F81CE408-9BC2-4119-87F5-748229A4FE34}"/>
    <cellStyle name="Cálculo 2 3 3 4 2 2 2" xfId="10099" xr:uid="{8F8B1D82-8BC6-4915-9D99-0C94C4AA796C}"/>
    <cellStyle name="Cálculo 2 3 3 4 2 3" xfId="6956" xr:uid="{CE2559BF-0D02-4DB1-8AC3-A5CDFF996B56}"/>
    <cellStyle name="Cálculo 2 3 3 4 2 3 2" xfId="12562" xr:uid="{94ACCDDD-63FC-49F6-9FE9-7C293D93528C}"/>
    <cellStyle name="Cálculo 2 3 3 4 2 4" xfId="7634" xr:uid="{A2F7048F-6D18-4348-83D0-DAAF7C9599A9}"/>
    <cellStyle name="Cálculo 2 3 3 4 2 4 2" xfId="13206" xr:uid="{4492E4BC-8F4C-41CB-A814-62209CD52572}"/>
    <cellStyle name="Cálculo 2 3 3 4 2 5" xfId="8127" xr:uid="{C73DED47-9BC9-450F-96DC-B3D6B206FAA0}"/>
    <cellStyle name="Cálculo 2 3 3 4 2 5 2" xfId="13699" xr:uid="{92DE275A-8B9D-498C-803A-1CFD6B267377}"/>
    <cellStyle name="Cálculo 2 3 3 4 2 6" xfId="9379" xr:uid="{FC6A55A9-150F-4BA6-9BA3-9A9E055C5CD8}"/>
    <cellStyle name="Cálculo 2 3 3 4 3" xfId="3505" xr:uid="{C8524CB6-845B-4785-BF19-E3D0168D5AAD}"/>
    <cellStyle name="Cálculo 2 3 3 4 3 2" xfId="9739" xr:uid="{B3B6AFDE-1FCF-41B2-845F-CE22C7056A47}"/>
    <cellStyle name="Cálculo 2 3 3 4 4" xfId="4698" xr:uid="{7973E9D4-25DC-4673-AEBB-D4F6FAF5F65A}"/>
    <cellStyle name="Cálculo 2 3 3 4 4 2" xfId="10562" xr:uid="{B37AEBC1-DC83-46D1-8E9F-B2196185A4F8}"/>
    <cellStyle name="Cálculo 2 3 3 4 5" xfId="4937" xr:uid="{C0DB7284-EEDB-489E-A4F9-B90CBB8BB98B}"/>
    <cellStyle name="Cálculo 2 3 3 4 5 2" xfId="10783" xr:uid="{929E0957-A79D-4D01-874C-F0B5E567EECA}"/>
    <cellStyle name="Cálculo 2 3 3 4 6" xfId="5093" xr:uid="{5001A5C9-450F-4EE2-B85A-2946C2070A5E}"/>
    <cellStyle name="Cálculo 2 3 3 4 6 2" xfId="10939" xr:uid="{09987ED3-54BD-414E-B4DD-C44F8D458FE9}"/>
    <cellStyle name="Cálculo 2 3 3 4 7" xfId="5863" xr:uid="{1AD4355B-CC5C-4691-9072-BE8051920AAE}"/>
    <cellStyle name="Cálculo 2 3 3 4 7 2" xfId="11591" xr:uid="{467FFD88-5B95-4B2C-A47B-6DF448CBD013}"/>
    <cellStyle name="Cálculo 2 3 3 4 8" xfId="6192" xr:uid="{8DD21B4A-F88B-4CC0-A91A-9DCE2126061C}"/>
    <cellStyle name="Cálculo 2 3 3 4 8 2" xfId="11896" xr:uid="{760A65EE-566F-4450-B90C-58DFA1344483}"/>
    <cellStyle name="Cálculo 2 3 3 4 9" xfId="6400" xr:uid="{3D335F9B-D008-4AE9-A69B-86BF0790A52C}"/>
    <cellStyle name="Cálculo 2 3 3 4 9 2" xfId="12104" xr:uid="{5C0E41AB-D36C-4F87-B12B-B335D5716AB7}"/>
    <cellStyle name="Cálculo 2 3 3 5" xfId="2685" xr:uid="{F9508CBD-BDA8-471A-9AB7-E12E5B237975}"/>
    <cellStyle name="Cálculo 2 3 3 5 2" xfId="3149" xr:uid="{00D21619-5457-4D38-BFAC-105AB8DECB2F}"/>
    <cellStyle name="Cálculo 2 3 3 5 2 2" xfId="4107" xr:uid="{71161720-AAB1-4AF3-B2AE-511FB8D82A1C}"/>
    <cellStyle name="Cálculo 2 3 3 5 2 2 2" xfId="10203" xr:uid="{72143026-929B-49B1-9642-8EF66105A626}"/>
    <cellStyle name="Cálculo 2 3 3 5 2 3" xfId="7078" xr:uid="{8FDA6024-A5FF-4248-AC47-C0076B2D4145}"/>
    <cellStyle name="Cálculo 2 3 3 5 2 3 2" xfId="12666" xr:uid="{FD1586AC-A9E8-4E8E-BF2F-3AE413985FAC}"/>
    <cellStyle name="Cálculo 2 3 3 5 2 4" xfId="7739" xr:uid="{BECFA168-34D4-48D4-BEFA-1D8C34040EA4}"/>
    <cellStyle name="Cálculo 2 3 3 5 2 4 2" xfId="13311" xr:uid="{404BA06B-D293-401C-8ECA-1BB27617713C}"/>
    <cellStyle name="Cálculo 2 3 3 5 2 5" xfId="8231" xr:uid="{02E4CD68-144D-4D0D-A2E2-87C515AF04C6}"/>
    <cellStyle name="Cálculo 2 3 3 5 2 5 2" xfId="13803" xr:uid="{BFE7D89D-2363-4E31-B4BF-4218E006161D}"/>
    <cellStyle name="Cálculo 2 3 3 5 2 6" xfId="9483" xr:uid="{4F10F6F0-5555-47DD-B8B6-9E78EEC7C12E}"/>
    <cellStyle name="Cálculo 2 3 3 5 3" xfId="3627" xr:uid="{8867EFAE-083F-4956-8395-CCF771C1E075}"/>
    <cellStyle name="Cálculo 2 3 3 5 3 2" xfId="9843" xr:uid="{DC859D14-A316-4E34-B698-B47AAF2A56D6}"/>
    <cellStyle name="Cálculo 2 3 3 5 4" xfId="6064" xr:uid="{373C42AD-B817-46CD-B4B2-ADDE861FDC2A}"/>
    <cellStyle name="Cálculo 2 3 3 5 4 2" xfId="11776" xr:uid="{62AE004E-A2B0-426A-9B82-B027D6B8F0D9}"/>
    <cellStyle name="Cálculo 2 3 3 5 5" xfId="6582" xr:uid="{46A24C2F-AD4E-41EF-AFA5-7F9669ABE6F2}"/>
    <cellStyle name="Cálculo 2 3 3 5 5 2" xfId="12286" xr:uid="{0BE3A58F-98E0-4E34-8E7E-77AD2A728A69}"/>
    <cellStyle name="Cálculo 2 3 3 5 6" xfId="7336" xr:uid="{434B289A-A947-4C19-85C3-817C278ABD0F}"/>
    <cellStyle name="Cálculo 2 3 3 5 6 2" xfId="12908" xr:uid="{85B1886B-A869-4DAA-954B-9D642E4BCF9B}"/>
    <cellStyle name="Cálculo 2 3 3 5 7" xfId="7871" xr:uid="{2014E94A-B386-4750-BFC7-D7B0ADF4BBB2}"/>
    <cellStyle name="Cálculo 2 3 3 5 7 2" xfId="13443" xr:uid="{7B0E3C3E-2BB9-44AF-A5FD-0733ACDE1B24}"/>
    <cellStyle name="Cálculo 2 3 3 5 8" xfId="9123" xr:uid="{B31CB11E-E066-470F-9156-93B4B0A11C2C}"/>
    <cellStyle name="Cálculo 2 3 3 6" xfId="2777" xr:uid="{9E5EA4E8-14FF-4F57-A7D3-9C02C6FCA72C}"/>
    <cellStyle name="Cálculo 2 3 3 6 2" xfId="3209" xr:uid="{BEAAD5F5-97C9-49AE-AC2F-A4EA36B9EFA7}"/>
    <cellStyle name="Cálculo 2 3 3 6 2 2" xfId="4167" xr:uid="{FE5CA195-472A-4647-9BAE-E00156E9C43E}"/>
    <cellStyle name="Cálculo 2 3 3 6 2 2 2" xfId="10263" xr:uid="{E7F9E3A8-3870-4DF6-85A7-9C15B45DB11F}"/>
    <cellStyle name="Cálculo 2 3 3 6 2 3" xfId="7138" xr:uid="{12F7C105-FE84-4B20-BE3D-D5EDFF5C179B}"/>
    <cellStyle name="Cálculo 2 3 3 6 2 3 2" xfId="12726" xr:uid="{0707AFAB-E299-426E-9D2C-2BE80D61F1C0}"/>
    <cellStyle name="Cálculo 2 3 3 6 2 4" xfId="7799" xr:uid="{839D0AE9-6489-4E7A-9B83-5C8510E0FE38}"/>
    <cellStyle name="Cálculo 2 3 3 6 2 4 2" xfId="13371" xr:uid="{D7C18DB6-0276-4306-8105-6ADF3FDB27FB}"/>
    <cellStyle name="Cálculo 2 3 3 6 2 5" xfId="8291" xr:uid="{DA70FFD0-9D8B-4A44-80CC-B00059A0BE34}"/>
    <cellStyle name="Cálculo 2 3 3 6 2 5 2" xfId="13863" xr:uid="{31BD4CCD-9280-46C6-A28C-7A8E19544362}"/>
    <cellStyle name="Cálculo 2 3 3 6 2 6" xfId="9543" xr:uid="{7CC3FABA-DF1A-4088-A74C-01217B6A7F84}"/>
    <cellStyle name="Cálculo 2 3 3 6 3" xfId="3687" xr:uid="{3F6B5092-1344-4A54-B6F9-1DB6C11FE493}"/>
    <cellStyle name="Cálculo 2 3 3 6 3 2" xfId="9903" xr:uid="{F1111026-CA2D-42A0-B8B1-2E16231AF731}"/>
    <cellStyle name="Cálculo 2 3 3 6 4" xfId="6144" xr:uid="{807B7BBF-8A7A-4960-BED0-58D2815EA4ED}"/>
    <cellStyle name="Cálculo 2 3 3 6 4 2" xfId="11856" xr:uid="{2F8034AE-0EFE-44EA-B1E8-B8C991A92CF1}"/>
    <cellStyle name="Cálculo 2 3 3 6 5" xfId="6654" xr:uid="{ECD4C634-584C-4598-B8E5-FCC0A1401C42}"/>
    <cellStyle name="Cálculo 2 3 3 6 5 2" xfId="12358" xr:uid="{0FA96231-0219-4AD2-BCAD-DFC044088DFA}"/>
    <cellStyle name="Cálculo 2 3 3 6 6" xfId="7398" xr:uid="{310E831C-C67A-452C-9ED4-DBF3C6AA967E}"/>
    <cellStyle name="Cálculo 2 3 3 6 6 2" xfId="12970" xr:uid="{2C12A114-E840-4B2F-BB71-49E97B975D93}"/>
    <cellStyle name="Cálculo 2 3 3 6 7" xfId="7931" xr:uid="{EAD65A84-57A4-4C4C-9E9F-793BE83AB38B}"/>
    <cellStyle name="Cálculo 2 3 3 6 7 2" xfId="13503" xr:uid="{1C942287-1B14-4E28-B82D-597FFEFA7585}"/>
    <cellStyle name="Cálculo 2 3 3 6 8" xfId="9183" xr:uid="{22559BA4-F6FE-4A35-AEFB-207EA7571C69}"/>
    <cellStyle name="Cálculo 2 3 3 7" xfId="2877" xr:uid="{2183C567-112D-4C0D-ABB3-606FBD98649D}"/>
    <cellStyle name="Cálculo 2 3 3 7 2" xfId="3801" xr:uid="{B2A7CC14-B2DB-4669-B95C-213AEBBBE41E}"/>
    <cellStyle name="Cálculo 2 3 3 7 2 2" xfId="9963" xr:uid="{3E3F7723-5E0E-4F1E-84F6-9CB8F06FFE33}"/>
    <cellStyle name="Cálculo 2 3 3 7 3" xfId="6772" xr:uid="{4135A712-5273-428C-A28F-0C061D43E103}"/>
    <cellStyle name="Cálculo 2 3 3 7 3 2" xfId="12426" xr:uid="{E3245FAD-C996-490D-9389-7E3B3194C822}"/>
    <cellStyle name="Cálculo 2 3 3 7 4" xfId="7482" xr:uid="{E9A7A728-1378-4C93-9D92-299D5593020E}"/>
    <cellStyle name="Cálculo 2 3 3 7 4 2" xfId="13054" xr:uid="{2D4A38E9-3445-4B5C-A601-312423794684}"/>
    <cellStyle name="Cálculo 2 3 3 7 5" xfId="7991" xr:uid="{BF025F1C-DBAC-49B8-8DAF-F8D2F5AC71A7}"/>
    <cellStyle name="Cálculo 2 3 3 7 5 2" xfId="13563" xr:uid="{4AC97922-8D79-46E5-9A8E-B707FA0016DB}"/>
    <cellStyle name="Cálculo 2 3 3 7 6" xfId="9243" xr:uid="{134CD344-A761-4CF1-B588-0EF5620131D0}"/>
    <cellStyle name="Cálculo 2 3 3 8" xfId="3321" xr:uid="{F8D5EA4A-935E-4675-B48B-440FE260C039}"/>
    <cellStyle name="Cálculo 2 3 3 8 2" xfId="9603" xr:uid="{9AF35029-A93C-49FE-BA72-2B2DFF05DCC4}"/>
    <cellStyle name="Cálculo 2 3 3 9" xfId="4488" xr:uid="{0D8D8D5F-424C-4444-9500-8F9DD5C8350A}"/>
    <cellStyle name="Cálculo 2 3 3 9 2" xfId="10400" xr:uid="{41AC3584-D2C6-4EF5-AD9A-EB32570C968C}"/>
    <cellStyle name="Cálculo 2 3 4" xfId="1545" xr:uid="{2F9392FD-4C16-4436-B39C-5C304AA73BD3}"/>
    <cellStyle name="Cálculo 2 3 4 10" xfId="4342" xr:uid="{8617DB6D-E5E0-49B1-902F-B7019AC44422}"/>
    <cellStyle name="Cálculo 2 3 4 10 2" xfId="10302" xr:uid="{D6163A00-1194-4BE0-97ED-DC475B63AD3F}"/>
    <cellStyle name="Cálculo 2 3 4 11" xfId="4862" xr:uid="{71FAA1A1-225B-4D38-86DE-33C650160331}"/>
    <cellStyle name="Cálculo 2 3 4 11 2" xfId="10708" xr:uid="{CD28D82F-C789-43A6-B98F-868F53C63D9D}"/>
    <cellStyle name="Cálculo 2 3 4 12" xfId="5451" xr:uid="{5D946259-471E-4F52-952B-A542C81ACA35}"/>
    <cellStyle name="Cálculo 2 3 4 12 2" xfId="11245" xr:uid="{7022D815-42DE-474D-8BA3-133690B2FFED}"/>
    <cellStyle name="Cálculo 2 3 4 13" xfId="5619" xr:uid="{54911EED-8743-44F8-8B29-312BCAEA6D9F}"/>
    <cellStyle name="Cálculo 2 3 4 13 2" xfId="11347" xr:uid="{C3BADA7B-D30C-4A0B-B475-C6068ABA6AD3}"/>
    <cellStyle name="Cálculo 2 3 4 14" xfId="5243" xr:uid="{3B1D3C07-5468-41E2-90E4-C302F493C85D}"/>
    <cellStyle name="Cálculo 2 3 4 14 2" xfId="11089" xr:uid="{0CBC1D0A-1BA9-4DAD-8DA3-A0C461407E8C}"/>
    <cellStyle name="Cálculo 2 3 4 15" xfId="5531" xr:uid="{AD2A4DBF-000E-4053-BC62-2A3F74311719}"/>
    <cellStyle name="Cálculo 2 3 4 15 2" xfId="11259" xr:uid="{F78E0D14-59DB-4BE0-93E9-1F3D714DF54A}"/>
    <cellStyle name="Cálculo 2 3 4 16" xfId="5547" xr:uid="{434FCEDA-BB51-44BA-B92D-27AFBCA4E4BB}"/>
    <cellStyle name="Cálculo 2 3 4 16 2" xfId="11275" xr:uid="{B9C52078-19B1-49A3-BDA9-E2FBDDB9A337}"/>
    <cellStyle name="Cálculo 2 3 4 17" xfId="6498" xr:uid="{1CF3F135-20B6-47BC-9B20-A1BAEE54722F}"/>
    <cellStyle name="Cálculo 2 3 4 17 2" xfId="12202" xr:uid="{4C5B123F-EDC7-4719-92E6-E016CA5BA886}"/>
    <cellStyle name="Cálculo 2 3 4 18" xfId="7263" xr:uid="{27AC0D2B-E0AF-40BC-B236-AC164BFEB7D7}"/>
    <cellStyle name="Cálculo 2 3 4 18 2" xfId="12835" xr:uid="{9BEF41AC-6045-42C8-94AA-0877CA0A79C4}"/>
    <cellStyle name="Cálculo 2 3 4 19" xfId="8467" xr:uid="{0DB2A0F2-5B9C-441D-8911-DD4D9F6B5BCA}"/>
    <cellStyle name="Cálculo 2 3 4 19 2" xfId="13947" xr:uid="{76E1FFCC-38AF-4A38-9803-633EA6AA59EC}"/>
    <cellStyle name="Cálculo 2 3 4 2" xfId="2447" xr:uid="{2785808B-78BE-480B-B592-25B2D2BAC736}"/>
    <cellStyle name="Cálculo 2 3 4 2 10" xfId="6289" xr:uid="{DFF34C89-E432-4691-8857-15CD4B5B3CC3}"/>
    <cellStyle name="Cálculo 2 3 4 2 10 2" xfId="11993" xr:uid="{CD86BA9E-2BD7-4E43-A095-72584210E6C8}"/>
    <cellStyle name="Cálculo 2 3 4 2 11" xfId="7298" xr:uid="{B92185AD-ACFB-4181-98CC-A0F36AE52302}"/>
    <cellStyle name="Cálculo 2 3 4 2 11 2" xfId="12870" xr:uid="{C61147BB-1296-4A0A-9F6B-A60422387BE0}"/>
    <cellStyle name="Cálculo 2 3 4 2 12" xfId="8661" xr:uid="{3396A48F-7F26-4129-AC9D-01B5C8845A66}"/>
    <cellStyle name="Cálculo 2 3 4 2 12 2" xfId="14049" xr:uid="{F0F402F0-EF8E-483B-A826-44A0838DB198}"/>
    <cellStyle name="Cálculo 2 3 4 2 13" xfId="9009" xr:uid="{2431C065-0101-4C1E-9DB8-181001AC66CE}"/>
    <cellStyle name="Cálculo 2 3 4 2 2" xfId="3035" xr:uid="{7F08EE2A-94E5-4299-864C-16B48A942968}"/>
    <cellStyle name="Cálculo 2 3 4 2 2 2" xfId="3975" xr:uid="{A7920A04-D449-4F02-A01D-42879A25B658}"/>
    <cellStyle name="Cálculo 2 3 4 2 2 2 2" xfId="10089" xr:uid="{69533CB5-1E6B-4864-ABC4-E3D44D10B83A}"/>
    <cellStyle name="Cálculo 2 3 4 2 2 3" xfId="6946" xr:uid="{FF2E4E2A-1103-4A8D-90F3-0AC4AF537C9C}"/>
    <cellStyle name="Cálculo 2 3 4 2 2 3 2" xfId="12552" xr:uid="{2685E46F-EDD3-4F10-B009-28046DA472C6}"/>
    <cellStyle name="Cálculo 2 3 4 2 2 4" xfId="7624" xr:uid="{8FC6CFA2-6F94-472B-BBD6-160775AA3BB7}"/>
    <cellStyle name="Cálculo 2 3 4 2 2 4 2" xfId="13196" xr:uid="{AB8555CC-9DDC-4B0D-A650-E6227EAEFB9A}"/>
    <cellStyle name="Cálculo 2 3 4 2 2 5" xfId="8117" xr:uid="{14BB19B6-E062-4E15-B9F5-78A4B999909C}"/>
    <cellStyle name="Cálculo 2 3 4 2 2 5 2" xfId="13689" xr:uid="{DCF1FDCD-2321-4499-8649-9FA5A0D1B30E}"/>
    <cellStyle name="Cálculo 2 3 4 2 2 6" xfId="9369" xr:uid="{E63A1012-5DD1-4A2E-B236-0C4C3859F523}"/>
    <cellStyle name="Cálculo 2 3 4 2 3" xfId="3495" xr:uid="{5B47C842-0481-408C-B351-9227E7D64732}"/>
    <cellStyle name="Cálculo 2 3 4 2 3 2" xfId="9729" xr:uid="{18B75F63-F5E3-4256-A4CD-2229A599BAEE}"/>
    <cellStyle name="Cálculo 2 3 4 2 4" xfId="4688" xr:uid="{A56CB14F-1CC5-4765-849D-4536B7BEAA93}"/>
    <cellStyle name="Cálculo 2 3 4 2 4 2" xfId="10552" xr:uid="{F8DE1803-BB34-46A2-B8A6-314D28819E7D}"/>
    <cellStyle name="Cálculo 2 3 4 2 5" xfId="4927" xr:uid="{5A1BFB79-D7D6-4D2A-959D-D21328C7FAB1}"/>
    <cellStyle name="Cálculo 2 3 4 2 5 2" xfId="10773" xr:uid="{C907D3EE-01A6-4E37-ABFF-554007BB655B}"/>
    <cellStyle name="Cálculo 2 3 4 2 6" xfId="5083" xr:uid="{C636A539-A81F-4EAA-8AF0-DCC5AE8D7422}"/>
    <cellStyle name="Cálculo 2 3 4 2 6 2" xfId="10929" xr:uid="{8292D32F-D763-471B-AF12-D381A03F81D7}"/>
    <cellStyle name="Cálculo 2 3 4 2 7" xfId="5853" xr:uid="{1977A448-B8B7-4CA1-8F46-7706345EC0CB}"/>
    <cellStyle name="Cálculo 2 3 4 2 7 2" xfId="11581" xr:uid="{BB1EF108-2C1D-45D4-9218-624E8FF682B2}"/>
    <cellStyle name="Cálculo 2 3 4 2 8" xfId="5215" xr:uid="{E2589FE3-7F64-4065-A972-9EB85D835C16}"/>
    <cellStyle name="Cálculo 2 3 4 2 8 2" xfId="11061" xr:uid="{90716F57-4DBC-49C5-B60D-98AB2F3881D7}"/>
    <cellStyle name="Cálculo 2 3 4 2 9" xfId="6390" xr:uid="{C1BD9884-C742-4376-9295-1519C520DF35}"/>
    <cellStyle name="Cálculo 2 3 4 2 9 2" xfId="12094" xr:uid="{11951F04-6755-4B82-BC85-465D6E931FE6}"/>
    <cellStyle name="Cálculo 2 3 4 20" xfId="8907" xr:uid="{6A687F43-A133-4F86-B076-FFD9B244AFA4}"/>
    <cellStyle name="Cálculo 2 3 4 21" xfId="2253" xr:uid="{A271B78A-0AFE-459C-800B-B7160FC7593C}"/>
    <cellStyle name="Cálculo 2 3 4 3" xfId="2552" xr:uid="{6880F2C8-22B2-48A3-A3A6-D21D7ECF5D44}"/>
    <cellStyle name="Cálculo 2 3 4 3 10" xfId="7244" xr:uid="{B41F4E17-C244-4928-8866-65E89D1C36A3}"/>
    <cellStyle name="Cálculo 2 3 4 3 10 2" xfId="12816" xr:uid="{82A2A17B-C964-46E7-811C-A67FBFD781DD}"/>
    <cellStyle name="Cálculo 2 3 4 3 11" xfId="6101" xr:uid="{536CCAC2-FB0B-4EB6-B813-781D7E800835}"/>
    <cellStyle name="Cálculo 2 3 4 3 11 2" xfId="11813" xr:uid="{6DCEBAB5-1E80-4CBC-912A-C38B5B42125E}"/>
    <cellStyle name="Cálculo 2 3 4 3 12" xfId="8766" xr:uid="{235DD971-BC6A-408C-BEC9-A983638426F5}"/>
    <cellStyle name="Cálculo 2 3 4 3 12 2" xfId="14122" xr:uid="{0D8DCC54-9FD7-46AC-9F70-3760DB264382}"/>
    <cellStyle name="Cálculo 2 3 4 3 13" xfId="9082" xr:uid="{B3C25009-10CA-426A-8F00-45E27C2D6094}"/>
    <cellStyle name="Cálculo 2 3 4 3 2" xfId="3108" xr:uid="{183F91BB-82A7-4F5B-B4C9-61D2206E7F4F}"/>
    <cellStyle name="Cálculo 2 3 4 3 2 2" xfId="4048" xr:uid="{3B81C594-6D15-49EF-A195-EAADF570470B}"/>
    <cellStyle name="Cálculo 2 3 4 3 2 2 2" xfId="10162" xr:uid="{418996C7-6D31-4092-82E5-D523346AF5A1}"/>
    <cellStyle name="Cálculo 2 3 4 3 2 3" xfId="7019" xr:uid="{41B6B8BF-7A01-4312-A0B4-680D0B8FA59C}"/>
    <cellStyle name="Cálculo 2 3 4 3 2 3 2" xfId="12625" xr:uid="{C989D9F2-5FDD-4468-AC5B-A83CBC545016}"/>
    <cellStyle name="Cálculo 2 3 4 3 2 4" xfId="7697" xr:uid="{2F1E3BCF-041A-47F0-ACF2-A6DB6D7EF087}"/>
    <cellStyle name="Cálculo 2 3 4 3 2 4 2" xfId="13269" xr:uid="{0FA9EF09-5B10-4CD7-8A5D-C59E9606F777}"/>
    <cellStyle name="Cálculo 2 3 4 3 2 5" xfId="8190" xr:uid="{949AD562-A84E-4D68-846B-5FE772506898}"/>
    <cellStyle name="Cálculo 2 3 4 3 2 5 2" xfId="13762" xr:uid="{281EF681-0C55-49C3-8A0D-F76673F4960E}"/>
    <cellStyle name="Cálculo 2 3 4 3 2 6" xfId="9442" xr:uid="{DAC731CB-409F-459B-9579-4B0EB8FD71C0}"/>
    <cellStyle name="Cálculo 2 3 4 3 3" xfId="3568" xr:uid="{3AEBBDA7-B17C-4A82-BC8C-C8B3B2586BDB}"/>
    <cellStyle name="Cálculo 2 3 4 3 3 2" xfId="9802" xr:uid="{A4E0ED1E-0848-4828-8058-0B1093DECC50}"/>
    <cellStyle name="Cálculo 2 3 4 3 4" xfId="4765" xr:uid="{E02DC331-1331-4372-8124-5372C9C1289E}"/>
    <cellStyle name="Cálculo 2 3 4 3 4 2" xfId="10629" xr:uid="{6A1E3BD7-CFF7-4706-93D0-E6B8B4E69A50}"/>
    <cellStyle name="Cálculo 2 3 4 3 5" xfId="5008" xr:uid="{78CE5A76-4AB5-4661-85F4-84150383A046}"/>
    <cellStyle name="Cálculo 2 3 4 3 5 2" xfId="10854" xr:uid="{1BCB569A-FFC8-464D-8839-E0FB6260A195}"/>
    <cellStyle name="Cálculo 2 3 4 3 6" xfId="5156" xr:uid="{27110ADE-3712-434F-ACED-3EE1E76F1F8B}"/>
    <cellStyle name="Cálculo 2 3 4 3 6 2" xfId="11002" xr:uid="{ED666722-6834-40FF-9E4D-B37D2365226E}"/>
    <cellStyle name="Cálculo 2 3 4 3 7" xfId="5947" xr:uid="{6B1F7126-941D-4733-B274-9A753C660130}"/>
    <cellStyle name="Cálculo 2 3 4 3 7 2" xfId="11675" xr:uid="{CB04CE7E-974A-44D6-8293-B8489F3BD48E}"/>
    <cellStyle name="Cálculo 2 3 4 3 8" xfId="6277" xr:uid="{A1DF9B04-5432-4F87-9B15-7291D4AF251F}"/>
    <cellStyle name="Cálculo 2 3 4 3 8 2" xfId="11981" xr:uid="{92258BCA-0AA4-4CC0-AF29-50475D063166}"/>
    <cellStyle name="Cálculo 2 3 4 3 9" xfId="6479" xr:uid="{F4B34BFB-AF58-4665-B3FB-7FC184C0CB26}"/>
    <cellStyle name="Cálculo 2 3 4 3 9 2" xfId="12183" xr:uid="{0AA082B7-BC68-4F71-9DBD-7A5073FD3511}"/>
    <cellStyle name="Cálculo 2 3 4 4" xfId="2278" xr:uid="{4D6816B3-9941-46D5-A726-81587D56CB29}"/>
    <cellStyle name="Cálculo 2 3 4 4 10" xfId="5743" xr:uid="{A530C076-B31E-4C96-A024-2E24763BEA22}"/>
    <cellStyle name="Cálculo 2 3 4 4 10 2" xfId="11471" xr:uid="{0BE681EA-920C-4854-AF7E-4794A24C7FF3}"/>
    <cellStyle name="Cálculo 2 3 4 4 11" xfId="7277" xr:uid="{AE7247CD-C1FF-4653-9BAC-3855EADB678A}"/>
    <cellStyle name="Cálculo 2 3 4 4 11 2" xfId="12849" xr:uid="{458B35FC-5544-4300-A207-CF2C4BC975A9}"/>
    <cellStyle name="Cálculo 2 3 4 4 12" xfId="8492" xr:uid="{39F1380D-1684-4CD5-A136-9DEFD8BB54C0}"/>
    <cellStyle name="Cálculo 2 3 4 4 12 2" xfId="13972" xr:uid="{F15C3097-6218-4507-8979-0DCB27675D23}"/>
    <cellStyle name="Cálculo 2 3 4 4 13" xfId="8932" xr:uid="{3D798092-51DE-41D5-B6B9-4D0DBF8A3FAB}"/>
    <cellStyle name="Cálculo 2 3 4 4 2" xfId="2958" xr:uid="{8E73A7A0-A483-45C0-9EE4-F5AB6981CADC}"/>
    <cellStyle name="Cálculo 2 3 4 4 2 2" xfId="3898" xr:uid="{85C3B78B-439A-4B7F-A745-9D824E4DA240}"/>
    <cellStyle name="Cálculo 2 3 4 4 2 2 2" xfId="10012" xr:uid="{FB436CB3-AEF2-49BC-B391-701659210F1D}"/>
    <cellStyle name="Cálculo 2 3 4 4 2 3" xfId="6869" xr:uid="{4E536711-E811-448C-BF66-CF5EA0312207}"/>
    <cellStyle name="Cálculo 2 3 4 4 2 3 2" xfId="12475" xr:uid="{81C86284-989A-4195-AF73-F667E6BB7B95}"/>
    <cellStyle name="Cálculo 2 3 4 4 2 4" xfId="7547" xr:uid="{BD831454-A8DF-4558-BDBC-E686DD62D851}"/>
    <cellStyle name="Cálculo 2 3 4 4 2 4 2" xfId="13119" xr:uid="{858E1A8E-20C3-4EB3-8D57-991EE17C8B7A}"/>
    <cellStyle name="Cálculo 2 3 4 4 2 5" xfId="8040" xr:uid="{543930F5-0885-49B2-AE73-A86AFB8F2683}"/>
    <cellStyle name="Cálculo 2 3 4 4 2 5 2" xfId="13612" xr:uid="{E88EB695-31BA-48DD-8441-6DA782BB1AA7}"/>
    <cellStyle name="Cálculo 2 3 4 4 2 6" xfId="9292" xr:uid="{33EFDE11-38A7-4D52-9A5B-C8B8B7EA1A5B}"/>
    <cellStyle name="Cálculo 2 3 4 4 3" xfId="3418" xr:uid="{F20FD884-45C5-478A-B4D9-55AF49E7B1A7}"/>
    <cellStyle name="Cálculo 2 3 4 4 3 2" xfId="9652" xr:uid="{53E5C84F-1D1C-41AB-BCC0-7B1EBE1CC811}"/>
    <cellStyle name="Cálculo 2 3 4 4 4" xfId="4585" xr:uid="{D97D2D6E-B964-43F4-B9EE-65727A0D6B10}"/>
    <cellStyle name="Cálculo 2 3 4 4 4 2" xfId="10449" xr:uid="{5F3B654A-A149-448D-B5EA-78D56AADB2FE}"/>
    <cellStyle name="Cálculo 2 3 4 4 5" xfId="4830" xr:uid="{DEFF0505-C9F9-4E1D-937A-6529FF1D24B5}"/>
    <cellStyle name="Cálculo 2 3 4 4 5 2" xfId="10676" xr:uid="{BAA87962-FA86-4050-92A3-5329A5E06956}"/>
    <cellStyle name="Cálculo 2 3 4 4 6" xfId="4841" xr:uid="{2EC1461D-0B27-44CE-8245-98FD8223988F}"/>
    <cellStyle name="Cálculo 2 3 4 4 6 2" xfId="10687" xr:uid="{F813EDE0-1CFF-4932-AC17-52F1B6A1C971}"/>
    <cellStyle name="Cálculo 2 3 4 4 7" xfId="5716" xr:uid="{FB663058-C32E-4074-B4D8-DE41E20BBBE8}"/>
    <cellStyle name="Cálculo 2 3 4 4 7 2" xfId="11444" xr:uid="{AB9FA6DF-5A6E-44B3-91FE-1C87B9E6349F}"/>
    <cellStyle name="Cálculo 2 3 4 4 8" xfId="5789" xr:uid="{9946EC64-C389-46C2-85AB-57AB5FED2FD8}"/>
    <cellStyle name="Cálculo 2 3 4 4 8 2" xfId="11517" xr:uid="{2CADFD61-5F74-4491-9806-ACAB2D0DCE59}"/>
    <cellStyle name="Cálculo 2 3 4 4 9" xfId="6025" xr:uid="{A519054A-E984-4EEE-A74F-B726FCAAE209}"/>
    <cellStyle name="Cálculo 2 3 4 4 9 2" xfId="11737" xr:uid="{679BFAD8-35E6-4754-ABC9-07DFE660652D}"/>
    <cellStyle name="Cálculo 2 3 4 5" xfId="2709" xr:uid="{3D0B6B9D-1BCD-43BF-9134-4430BD6FA9ED}"/>
    <cellStyle name="Cálculo 2 3 4 5 2" xfId="3173" xr:uid="{DB06E7DB-A335-4FCC-8958-A3DE4160B2F9}"/>
    <cellStyle name="Cálculo 2 3 4 5 2 2" xfId="4131" xr:uid="{5DC0D2B3-6356-4174-8214-F4682BDDCFA9}"/>
    <cellStyle name="Cálculo 2 3 4 5 2 2 2" xfId="10227" xr:uid="{A1CF770A-8C54-47B3-9D9E-D5946AFD96CA}"/>
    <cellStyle name="Cálculo 2 3 4 5 2 3" xfId="7102" xr:uid="{30BB7ACA-311C-4A13-BD4F-C26416D1C139}"/>
    <cellStyle name="Cálculo 2 3 4 5 2 3 2" xfId="12690" xr:uid="{7B715D45-B277-40AD-8086-7AF617191496}"/>
    <cellStyle name="Cálculo 2 3 4 5 2 4" xfId="7763" xr:uid="{12238848-6EB0-40E0-A35D-00C08E2DDC92}"/>
    <cellStyle name="Cálculo 2 3 4 5 2 4 2" xfId="13335" xr:uid="{7153AA48-A345-46B8-8C91-20D824C7D4C6}"/>
    <cellStyle name="Cálculo 2 3 4 5 2 5" xfId="8255" xr:uid="{908A80DE-A62D-40BC-A3A8-722322F37419}"/>
    <cellStyle name="Cálculo 2 3 4 5 2 5 2" xfId="13827" xr:uid="{BD1A125C-C147-44ED-8F9D-4C98D1467068}"/>
    <cellStyle name="Cálculo 2 3 4 5 2 6" xfId="9507" xr:uid="{806C4F44-8987-4F8A-861D-ECE631C290C9}"/>
    <cellStyle name="Cálculo 2 3 4 5 3" xfId="3651" xr:uid="{C310759B-9448-4A66-91EE-61E215561A64}"/>
    <cellStyle name="Cálculo 2 3 4 5 3 2" xfId="9867" xr:uid="{A4DFF39A-D68E-4A08-83A0-0FBF6597E44C}"/>
    <cellStyle name="Cálculo 2 3 4 5 4" xfId="6088" xr:uid="{A15A59C9-838B-4A04-ACE8-73A35C4EE378}"/>
    <cellStyle name="Cálculo 2 3 4 5 4 2" xfId="11800" xr:uid="{1396C849-6C90-435A-A2DC-BE3AF364DAB9}"/>
    <cellStyle name="Cálculo 2 3 4 5 5" xfId="6606" xr:uid="{77F44D16-7DDE-490C-8363-1548F0FCFECB}"/>
    <cellStyle name="Cálculo 2 3 4 5 5 2" xfId="12310" xr:uid="{8B6C4C86-C149-4F5F-B4EC-D4B966D036CC}"/>
    <cellStyle name="Cálculo 2 3 4 5 6" xfId="7360" xr:uid="{C9C49F8E-FD79-4909-B7F8-B72E65DEC524}"/>
    <cellStyle name="Cálculo 2 3 4 5 6 2" xfId="12932" xr:uid="{603F8BCD-A0BA-4EF5-B32E-284C994E9EA7}"/>
    <cellStyle name="Cálculo 2 3 4 5 7" xfId="7895" xr:uid="{28831F25-1768-44DF-A80A-369865DD1935}"/>
    <cellStyle name="Cálculo 2 3 4 5 7 2" xfId="13467" xr:uid="{5CA846FD-0759-4DEF-90A7-739B98120D50}"/>
    <cellStyle name="Cálculo 2 3 4 5 8" xfId="9147" xr:uid="{00A7761C-F381-440E-AF99-FC9BCC8A2069}"/>
    <cellStyle name="Cálculo 2 3 4 6" xfId="2801" xr:uid="{FF3AA6E9-A4A0-4749-9C6F-B5ED117A7078}"/>
    <cellStyle name="Cálculo 2 3 4 6 2" xfId="3233" xr:uid="{70300C53-2037-433E-98A9-E875F5DCDD1F}"/>
    <cellStyle name="Cálculo 2 3 4 6 2 2" xfId="4191" xr:uid="{256C53BA-C7B9-4706-9601-8557F4E23C12}"/>
    <cellStyle name="Cálculo 2 3 4 6 2 2 2" xfId="10287" xr:uid="{A51EFAD7-7C7B-4C3C-AAB5-05FA9AB6081E}"/>
    <cellStyle name="Cálculo 2 3 4 6 2 3" xfId="7162" xr:uid="{FEF5E1AA-D07D-48DF-989C-6CC6850F18D6}"/>
    <cellStyle name="Cálculo 2 3 4 6 2 3 2" xfId="12750" xr:uid="{233443EF-FAA9-44CA-BD84-61F675208846}"/>
    <cellStyle name="Cálculo 2 3 4 6 2 4" xfId="7823" xr:uid="{4C6C2AA3-01F1-4A34-A1AC-8F2D9353591A}"/>
    <cellStyle name="Cálculo 2 3 4 6 2 4 2" xfId="13395" xr:uid="{2F9653BF-16B4-4A00-87E7-6B0EF78B2E29}"/>
    <cellStyle name="Cálculo 2 3 4 6 2 5" xfId="8315" xr:uid="{5E9839E0-F609-4167-81E2-9C58135726C4}"/>
    <cellStyle name="Cálculo 2 3 4 6 2 5 2" xfId="13887" xr:uid="{6F138A80-37A2-4053-B9B3-1A085E79DBDB}"/>
    <cellStyle name="Cálculo 2 3 4 6 2 6" xfId="9567" xr:uid="{9D10289D-2784-484E-8B18-AACAE603F5AB}"/>
    <cellStyle name="Cálculo 2 3 4 6 3" xfId="3711" xr:uid="{0E380A5B-36F8-46C4-8287-0F3AB22F5D42}"/>
    <cellStyle name="Cálculo 2 3 4 6 3 2" xfId="9927" xr:uid="{9D29260F-2749-4A9A-A68D-00ACF7D34AFF}"/>
    <cellStyle name="Cálculo 2 3 4 6 4" xfId="6168" xr:uid="{49DDC1AE-DA78-4FBC-AFA3-C163582A92E8}"/>
    <cellStyle name="Cálculo 2 3 4 6 4 2" xfId="11880" xr:uid="{1C2955E4-C3D8-4330-BB51-E47EE46F1D32}"/>
    <cellStyle name="Cálculo 2 3 4 6 5" xfId="6678" xr:uid="{E6C6D107-649F-4CED-8194-88190FDDFCC2}"/>
    <cellStyle name="Cálculo 2 3 4 6 5 2" xfId="12382" xr:uid="{CE6F50DA-1E35-4421-B602-B99E97D0D17A}"/>
    <cellStyle name="Cálculo 2 3 4 6 6" xfId="7422" xr:uid="{D40282E7-8E43-407A-9E82-4E11583FE0DB}"/>
    <cellStyle name="Cálculo 2 3 4 6 6 2" xfId="12994" xr:uid="{02F5492A-17E6-4CF6-98B3-DA1381AF62FD}"/>
    <cellStyle name="Cálculo 2 3 4 6 7" xfId="7955" xr:uid="{91D4212F-F100-4C08-B253-1C81C415453F}"/>
    <cellStyle name="Cálculo 2 3 4 6 7 2" xfId="13527" xr:uid="{5347267A-D973-4AAC-9099-AA58D81805ED}"/>
    <cellStyle name="Cálculo 2 3 4 6 8" xfId="9207" xr:uid="{8BF0646C-1B47-4490-A80F-0AAF18E5A88B}"/>
    <cellStyle name="Cálculo 2 3 4 7" xfId="2901" xr:uid="{DC460277-D7DF-47E7-89C9-55BEE8666DAB}"/>
    <cellStyle name="Cálculo 2 3 4 7 2" xfId="3829" xr:uid="{8AC964A0-C549-474C-95DB-B893674592CD}"/>
    <cellStyle name="Cálculo 2 3 4 7 2 2" xfId="9987" xr:uid="{4F558DA0-F570-4663-A0F9-A5B69B8E014B}"/>
    <cellStyle name="Cálculo 2 3 4 7 3" xfId="6800" xr:uid="{E27A2D3F-DEB8-4D68-ABE5-43CCD586791C}"/>
    <cellStyle name="Cálculo 2 3 4 7 3 2" xfId="12450" xr:uid="{426DA37E-1625-4BAA-8638-A318532ED77C}"/>
    <cellStyle name="Cálculo 2 3 4 7 4" xfId="7507" xr:uid="{7DB2B02E-D95C-4977-903C-82ABD5A7AFED}"/>
    <cellStyle name="Cálculo 2 3 4 7 4 2" xfId="13079" xr:uid="{E41465B1-8A3F-42BB-886B-8386FFF10859}"/>
    <cellStyle name="Cálculo 2 3 4 7 5" xfId="8015" xr:uid="{A8B13356-BD19-42ED-B701-D739426D37F4}"/>
    <cellStyle name="Cálculo 2 3 4 7 5 2" xfId="13587" xr:uid="{E2522D85-919F-4F8E-A928-20090A5975FA}"/>
    <cellStyle name="Cálculo 2 3 4 7 6" xfId="9267" xr:uid="{4F9926EC-040E-4C69-B903-83C5ACEA5439}"/>
    <cellStyle name="Cálculo 2 3 4 8" xfId="3349" xr:uid="{F6BDAA18-55D2-4362-B36E-0A4E9A5DDF59}"/>
    <cellStyle name="Cálculo 2 3 4 8 2" xfId="9627" xr:uid="{C8FB03C0-7D1A-43DA-85F3-62311C9FFC2E}"/>
    <cellStyle name="Cálculo 2 3 4 9" xfId="4516" xr:uid="{D2E0FDCF-670E-4CB0-95AF-6DBFC2A90529}"/>
    <cellStyle name="Cálculo 2 3 4 9 2" xfId="10424" xr:uid="{348E5958-771D-493C-8FEF-436177CCE975}"/>
    <cellStyle name="Cálculo 2 3 5" xfId="8837" xr:uid="{A9CC1AFB-2DA7-4A22-8498-15003A2DD566}"/>
    <cellStyle name="Cálculo 2 3 6" xfId="2086" xr:uid="{FEFF0A8A-0256-4EEB-9487-D59422AFC127}"/>
    <cellStyle name="Cálculo 2 4" xfId="324" xr:uid="{C3D594EC-8F53-4868-B106-AAE5240741AF}"/>
    <cellStyle name="Cálculo 2 4 2" xfId="1443" xr:uid="{F3A29B3D-F3BB-4081-B86A-E4C93E005D98}"/>
    <cellStyle name="Cálculo 2 4 2 10" xfId="4365" xr:uid="{FFFFF73E-2CF5-4215-959D-C6675F61955C}"/>
    <cellStyle name="Cálculo 2 4 2 10 2" xfId="10325" xr:uid="{9C5CAF5F-A105-4A3B-B0F3-BFFE2764F5D0}"/>
    <cellStyle name="Cálculo 2 4 2 11" xfId="4420" xr:uid="{608AE46D-BA40-4780-AD97-9577FCB2FB42}"/>
    <cellStyle name="Cálculo 2 4 2 11 2" xfId="10366" xr:uid="{496DA09F-3BDA-474C-A4D0-D44C4A9195EF}"/>
    <cellStyle name="Cálculo 2 4 2 12" xfId="5436" xr:uid="{794A39C0-ECD3-4151-963C-008E27EAF844}"/>
    <cellStyle name="Cálculo 2 4 2 12 2" xfId="11230" xr:uid="{C73E825B-F8BA-4585-9C08-F9B1642EAD98}"/>
    <cellStyle name="Cálculo 2 4 2 13" xfId="5604" xr:uid="{C834C0CE-4721-468A-9B3B-EE861CDE59A6}"/>
    <cellStyle name="Cálculo 2 4 2 13 2" xfId="11332" xr:uid="{F2F0F956-7F86-4D54-8513-09B114E39581}"/>
    <cellStyle name="Cálculo 2 4 2 14" xfId="5292" xr:uid="{4E22EABF-C8B3-4C6B-B310-2533248B4357}"/>
    <cellStyle name="Cálculo 2 4 2 14 2" xfId="11136" xr:uid="{8AB23DA4-26D5-453D-AFB8-6D12DD92FBD4}"/>
    <cellStyle name="Cálculo 2 4 2 15" xfId="6113" xr:uid="{A4129FEA-C84F-4A70-96EB-60AD3F2B8E81}"/>
    <cellStyle name="Cálculo 2 4 2 15 2" xfId="11825" xr:uid="{963852E6-79EA-4E89-A883-7FE0717857D0}"/>
    <cellStyle name="Cálculo 2 4 2 16" xfId="5990" xr:uid="{FCF45643-0A9C-487C-9C42-5F5A58B8F880}"/>
    <cellStyle name="Cálculo 2 4 2 16 2" xfId="11702" xr:uid="{DB0081B9-351F-4280-BC30-DDEFA19B9208}"/>
    <cellStyle name="Cálculo 2 4 2 17" xfId="6013" xr:uid="{818A3E98-4416-4A45-BEC7-28F1C732E3F6}"/>
    <cellStyle name="Cálculo 2 4 2 17 2" xfId="11725" xr:uid="{B6A0EFEB-4A03-4EB3-A627-7A303242E4F0}"/>
    <cellStyle name="Cálculo 2 4 2 18" xfId="6502" xr:uid="{95621DB6-0CFA-478E-AEFF-A35F93484A59}"/>
    <cellStyle name="Cálculo 2 4 2 18 2" xfId="12206" xr:uid="{D9A6DCAB-1956-4379-A53D-F40262266D0D}"/>
    <cellStyle name="Cálculo 2 4 2 19" xfId="8452" xr:uid="{9FE5C7C4-4581-45F2-AA1E-E9B63E36B9D3}"/>
    <cellStyle name="Cálculo 2 4 2 19 2" xfId="13932" xr:uid="{D71597DA-C1C4-4627-8F3D-31D729BD907D}"/>
    <cellStyle name="Cálculo 2 4 2 2" xfId="1556" xr:uid="{2FB6D829-507F-47EC-9E5B-530998F4A49C}"/>
    <cellStyle name="Cálculo 2 4 2 2 10" xfId="5978" xr:uid="{D62200CE-3F28-46A2-9B09-56D199263CFD}"/>
    <cellStyle name="Cálculo 2 4 2 2 10 2" xfId="11690" xr:uid="{D7F2EC63-76C6-492A-BE11-1FC1DB69B579}"/>
    <cellStyle name="Cálculo 2 4 2 2 11" xfId="7259" xr:uid="{139159BF-6962-4189-833F-7EE0503077FF}"/>
    <cellStyle name="Cálculo 2 4 2 2 11 2" xfId="12831" xr:uid="{B5DC7BFB-FBFA-488C-80BA-4226EF1DC876}"/>
    <cellStyle name="Cálculo 2 4 2 2 12" xfId="8646" xr:uid="{7C3E06DD-0344-4DAE-BD8F-49706A7BD4AA}"/>
    <cellStyle name="Cálculo 2 4 2 2 12 2" xfId="14034" xr:uid="{1B73ADDD-8F99-45A9-9B11-84996DAFD865}"/>
    <cellStyle name="Cálculo 2 4 2 2 13" xfId="8994" xr:uid="{E88E19AB-D88F-48B3-8367-68254900F560}"/>
    <cellStyle name="Cálculo 2 4 2 2 14" xfId="2432" xr:uid="{9FF92251-B3EB-4186-8030-88F0DC27BD8D}"/>
    <cellStyle name="Cálculo 2 4 2 2 2" xfId="3020" xr:uid="{0644DDB6-890D-4D61-8147-2BA21B9BE51C}"/>
    <cellStyle name="Cálculo 2 4 2 2 2 2" xfId="3960" xr:uid="{2F6B854B-EED3-470A-A414-51D97C73A676}"/>
    <cellStyle name="Cálculo 2 4 2 2 2 2 2" xfId="10074" xr:uid="{93CBA5C8-2D9C-4DF5-B6A4-8485DA298A64}"/>
    <cellStyle name="Cálculo 2 4 2 2 2 3" xfId="6931" xr:uid="{2170A83F-3A9C-4FBC-99B5-48917D3552AB}"/>
    <cellStyle name="Cálculo 2 4 2 2 2 3 2" xfId="12537" xr:uid="{7964AF22-4A8D-4951-A1F2-BA267593673E}"/>
    <cellStyle name="Cálculo 2 4 2 2 2 4" xfId="7609" xr:uid="{B9E6D85F-206E-4E42-BD72-B91A269D75AB}"/>
    <cellStyle name="Cálculo 2 4 2 2 2 4 2" xfId="13181" xr:uid="{65CE04C5-E86F-4096-9055-13140A788A07}"/>
    <cellStyle name="Cálculo 2 4 2 2 2 5" xfId="8102" xr:uid="{722509F9-21CE-4AC8-A5C9-844DBEE3216C}"/>
    <cellStyle name="Cálculo 2 4 2 2 2 5 2" xfId="13674" xr:uid="{FA81DD65-3D04-4837-B12D-46B1F345F3B5}"/>
    <cellStyle name="Cálculo 2 4 2 2 2 6" xfId="9354" xr:uid="{1BA61B65-5B32-45C4-B276-F83AB3461194}"/>
    <cellStyle name="Cálculo 2 4 2 2 3" xfId="3480" xr:uid="{0FC298E5-49DE-4ACA-BF85-CBAE7E8AA0DD}"/>
    <cellStyle name="Cálculo 2 4 2 2 3 2" xfId="9714" xr:uid="{192BFB29-51C1-46C8-840E-C0870F60C5B2}"/>
    <cellStyle name="Cálculo 2 4 2 2 4" xfId="4673" xr:uid="{49BC1A1C-EC42-42CD-A8AB-0681167CAB8E}"/>
    <cellStyle name="Cálculo 2 4 2 2 4 2" xfId="10537" xr:uid="{B401DC90-0593-4FD6-9A01-0F010AEB24E6}"/>
    <cellStyle name="Cálculo 2 4 2 2 5" xfId="4912" xr:uid="{71CBEC7B-8515-4318-9E47-C354058EE7D1}"/>
    <cellStyle name="Cálculo 2 4 2 2 5 2" xfId="10758" xr:uid="{6B43003A-937C-46AA-A42D-B9BC65570CE9}"/>
    <cellStyle name="Cálculo 2 4 2 2 6" xfId="5068" xr:uid="{7C84E8F1-C433-4DA2-9457-084936A7AD09}"/>
    <cellStyle name="Cálculo 2 4 2 2 6 2" xfId="10914" xr:uid="{FEC8CFC9-2FEA-4778-B7E1-685DC44F4025}"/>
    <cellStyle name="Cálculo 2 4 2 2 7" xfId="5838" xr:uid="{35380863-1409-4889-907A-F0180B8F1DA4}"/>
    <cellStyle name="Cálculo 2 4 2 2 7 2" xfId="11566" xr:uid="{493C9145-1673-473F-8242-BFFEC6DD0160}"/>
    <cellStyle name="Cálculo 2 4 2 2 8" xfId="5258" xr:uid="{22E9EB80-0777-44ED-BF42-F03E3F2CE717}"/>
    <cellStyle name="Cálculo 2 4 2 2 8 2" xfId="11104" xr:uid="{52650866-91EF-4BF8-AA19-02608BBDB492}"/>
    <cellStyle name="Cálculo 2 4 2 2 9" xfId="6375" xr:uid="{4BB295AC-4686-4458-A017-8572A269237B}"/>
    <cellStyle name="Cálculo 2 4 2 2 9 2" xfId="12079" xr:uid="{210E19BA-7F86-4C79-A285-8B672157ED6D}"/>
    <cellStyle name="Cálculo 2 4 2 20" xfId="8892" xr:uid="{94E90777-85B9-4A9C-88FB-14FC1E0FBB61}"/>
    <cellStyle name="Cálculo 2 4 2 21" xfId="2238" xr:uid="{981F1C48-C4E1-4A78-AF50-349DACFA3D3E}"/>
    <cellStyle name="Cálculo 2 4 2 3" xfId="1609" xr:uid="{7A142AE2-A22A-44C5-8A44-47D6D2FA6E39}"/>
    <cellStyle name="Cálculo 2 4 2 3 10" xfId="7229" xr:uid="{3DDB9330-DD0D-4D11-8814-C1611F8E3B41}"/>
    <cellStyle name="Cálculo 2 4 2 3 10 2" xfId="12801" xr:uid="{6F8A4157-7904-4405-9236-E4225853541A}"/>
    <cellStyle name="Cálculo 2 4 2 3 11" xfId="7445" xr:uid="{9D2BB9F9-4938-4938-9946-C5F3C6CB2219}"/>
    <cellStyle name="Cálculo 2 4 2 3 11 2" xfId="13017" xr:uid="{C996F69D-22C5-466B-9720-F0377FA8BF0F}"/>
    <cellStyle name="Cálculo 2 4 2 3 12" xfId="8751" xr:uid="{0C8453B6-EAF4-4D68-A65D-433AB289CD26}"/>
    <cellStyle name="Cálculo 2 4 2 3 12 2" xfId="14107" xr:uid="{75B5D2C3-D38D-43D6-B921-FC1F8FCF2908}"/>
    <cellStyle name="Cálculo 2 4 2 3 13" xfId="9067" xr:uid="{98A0EA07-F924-4BFD-8966-7964D99E7912}"/>
    <cellStyle name="Cálculo 2 4 2 3 14" xfId="2537" xr:uid="{EC3143EE-4B24-48D0-B6FB-523F22B50902}"/>
    <cellStyle name="Cálculo 2 4 2 3 2" xfId="3093" xr:uid="{5A2E03F3-37F9-4949-AFC9-49C327B7D5B7}"/>
    <cellStyle name="Cálculo 2 4 2 3 2 2" xfId="4033" xr:uid="{DABF9162-DD20-4395-A070-3C695CAB371A}"/>
    <cellStyle name="Cálculo 2 4 2 3 2 2 2" xfId="10147" xr:uid="{DF3D9112-98D4-4AD5-A3AD-712C9310ACF6}"/>
    <cellStyle name="Cálculo 2 4 2 3 2 3" xfId="7004" xr:uid="{D445A501-1E6E-4BF3-8426-B3FD6B36C576}"/>
    <cellStyle name="Cálculo 2 4 2 3 2 3 2" xfId="12610" xr:uid="{2A9D0F9C-2EA9-4534-A27E-FD6C65F8B263}"/>
    <cellStyle name="Cálculo 2 4 2 3 2 4" xfId="7682" xr:uid="{8C26CCBE-1A90-486D-BA50-95986FFB5658}"/>
    <cellStyle name="Cálculo 2 4 2 3 2 4 2" xfId="13254" xr:uid="{7AB53839-9D2F-4999-A835-733B4B1A7C2B}"/>
    <cellStyle name="Cálculo 2 4 2 3 2 5" xfId="8175" xr:uid="{0F68099E-B673-431B-BFFC-F4760F32B88F}"/>
    <cellStyle name="Cálculo 2 4 2 3 2 5 2" xfId="13747" xr:uid="{7F40E8D8-C6EE-4281-99D6-7D529FD2FA20}"/>
    <cellStyle name="Cálculo 2 4 2 3 2 6" xfId="9427" xr:uid="{917AF3FC-E0E4-4AD7-8E1E-DC93D5DACA24}"/>
    <cellStyle name="Cálculo 2 4 2 3 3" xfId="3553" xr:uid="{9DF01960-FCC7-4402-A9BE-BE032DA9FFD8}"/>
    <cellStyle name="Cálculo 2 4 2 3 3 2" xfId="9787" xr:uid="{D2145146-CD99-4CEC-BB3A-6B08B5C8556A}"/>
    <cellStyle name="Cálculo 2 4 2 3 4" xfId="4750" xr:uid="{8D8BFBF0-469D-4879-8ECB-C8A81D6F7490}"/>
    <cellStyle name="Cálculo 2 4 2 3 4 2" xfId="10614" xr:uid="{14A7F9CE-91EC-442E-8FC4-85A076E294C1}"/>
    <cellStyle name="Cálculo 2 4 2 3 5" xfId="4993" xr:uid="{E7FD1FD6-560F-40ED-8CCA-D8A6EEC2B045}"/>
    <cellStyle name="Cálculo 2 4 2 3 5 2" xfId="10839" xr:uid="{4B5566CC-05AE-4042-8475-B39B7595857D}"/>
    <cellStyle name="Cálculo 2 4 2 3 6" xfId="5141" xr:uid="{46A45823-8D8E-4C55-8D57-FA02DB29579C}"/>
    <cellStyle name="Cálculo 2 4 2 3 6 2" xfId="10987" xr:uid="{937A3953-CD35-4756-8058-F215B894702A}"/>
    <cellStyle name="Cálculo 2 4 2 3 7" xfId="5932" xr:uid="{1826629E-150D-4E1A-BD7D-5AE6F10F9D5B}"/>
    <cellStyle name="Cálculo 2 4 2 3 7 2" xfId="11660" xr:uid="{473E2545-F3DB-4DC5-BB9A-F79D6ECC0BDB}"/>
    <cellStyle name="Cálculo 2 4 2 3 8" xfId="6262" xr:uid="{358335B6-5683-4424-A0A2-B16164FF7F33}"/>
    <cellStyle name="Cálculo 2 4 2 3 8 2" xfId="11966" xr:uid="{514B9DDB-2918-4BB1-B88C-330BD2B62083}"/>
    <cellStyle name="Cálculo 2 4 2 3 9" xfId="6464" xr:uid="{8C63392C-9E2C-465C-A8CB-5D7E8272307D}"/>
    <cellStyle name="Cálculo 2 4 2 3 9 2" xfId="12168" xr:uid="{D7570083-CA07-4DF7-B1AE-64746EBF1692}"/>
    <cellStyle name="Cálculo 2 4 2 4" xfId="2260" xr:uid="{811C57A2-1164-4B9A-B923-3B84E7032F45}"/>
    <cellStyle name="Cálculo 2 4 2 4 10" xfId="5668" xr:uid="{E71F9A41-7F8B-46BC-AAE4-4E16B32EBA80}"/>
    <cellStyle name="Cálculo 2 4 2 4 10 2" xfId="11396" xr:uid="{DA375163-55CB-4F88-B509-FBAFE0A0BEE9}"/>
    <cellStyle name="Cálculo 2 4 2 4 11" xfId="6623" xr:uid="{41359732-A3A4-48FB-9D3C-686E2703F48A}"/>
    <cellStyle name="Cálculo 2 4 2 4 11 2" xfId="12327" xr:uid="{4503F08B-9FE6-4A51-9AB7-06E442D3C5C2}"/>
    <cellStyle name="Cálculo 2 4 2 4 12" xfId="8474" xr:uid="{0809E77E-8171-4922-AFE7-2F70F2486785}"/>
    <cellStyle name="Cálculo 2 4 2 4 12 2" xfId="13954" xr:uid="{BABBE844-F216-42E8-8145-C0BDC15B5269}"/>
    <cellStyle name="Cálculo 2 4 2 4 13" xfId="8914" xr:uid="{978BB50D-2C71-44EA-97AD-4757DD4E262E}"/>
    <cellStyle name="Cálculo 2 4 2 4 2" xfId="2940" xr:uid="{2A072BD4-1C1E-4832-98D8-2C2D244A814E}"/>
    <cellStyle name="Cálculo 2 4 2 4 2 2" xfId="3880" xr:uid="{DD6E0F26-EA90-4771-BD36-AEC8F1BC75B1}"/>
    <cellStyle name="Cálculo 2 4 2 4 2 2 2" xfId="9994" xr:uid="{08D52418-8AA0-43E0-8FBE-BA041B866E59}"/>
    <cellStyle name="Cálculo 2 4 2 4 2 3" xfId="6851" xr:uid="{F58313F1-47B5-4AB9-BBAA-F2657AACBA97}"/>
    <cellStyle name="Cálculo 2 4 2 4 2 3 2" xfId="12457" xr:uid="{C854FB51-3B29-4B7D-ACE4-D3C004C19C68}"/>
    <cellStyle name="Cálculo 2 4 2 4 2 4" xfId="7529" xr:uid="{39C22C22-75A0-4FDF-9F23-D9EA19619C63}"/>
    <cellStyle name="Cálculo 2 4 2 4 2 4 2" xfId="13101" xr:uid="{AC7317BE-DFB7-47B7-A322-8CE90D65FE42}"/>
    <cellStyle name="Cálculo 2 4 2 4 2 5" xfId="8022" xr:uid="{2BD4504C-C68D-44D1-BA40-AA7706F8636F}"/>
    <cellStyle name="Cálculo 2 4 2 4 2 5 2" xfId="13594" xr:uid="{0379721B-5276-459F-968D-CB940B5BA6E7}"/>
    <cellStyle name="Cálculo 2 4 2 4 2 6" xfId="9274" xr:uid="{61084D99-5DDF-4DB4-8791-2EBA6DD8ADAF}"/>
    <cellStyle name="Cálculo 2 4 2 4 3" xfId="3400" xr:uid="{F21E0CE6-B8BA-4C4A-943C-BAFC1FED5359}"/>
    <cellStyle name="Cálculo 2 4 2 4 3 2" xfId="9634" xr:uid="{58EDB875-4406-4042-9C97-21BD2BE13073}"/>
    <cellStyle name="Cálculo 2 4 2 4 4" xfId="4567" xr:uid="{54E24156-64AE-4D14-B38D-C559914879A9}"/>
    <cellStyle name="Cálculo 2 4 2 4 4 2" xfId="10431" xr:uid="{E8501525-F59B-4C7D-BAFF-68C6F94A585C}"/>
    <cellStyle name="Cálculo 2 4 2 4 5" xfId="4812" xr:uid="{D605AB8F-F116-4C07-B620-52A281B0C8D5}"/>
    <cellStyle name="Cálculo 2 4 2 4 5 2" xfId="10658" xr:uid="{CE5DB398-9781-406A-937A-3AD335B1323C}"/>
    <cellStyle name="Cálculo 2 4 2 4 6" xfId="4622" xr:uid="{EED06E62-32A6-479F-89DF-2342FBF9932E}"/>
    <cellStyle name="Cálculo 2 4 2 4 6 2" xfId="10486" xr:uid="{34FA8AC0-8D91-4FF2-9826-468C578C51C6}"/>
    <cellStyle name="Cálculo 2 4 2 4 7" xfId="5698" xr:uid="{94BEB41E-3CEF-4105-9A79-72B761187F36}"/>
    <cellStyle name="Cálculo 2 4 2 4 7 2" xfId="11426" xr:uid="{E409DDFD-5C30-4121-9CEF-D01597287235}"/>
    <cellStyle name="Cálculo 2 4 2 4 8" xfId="5683" xr:uid="{E1A2FF71-5BCE-4650-97E6-DF5806B83293}"/>
    <cellStyle name="Cálculo 2 4 2 4 8 2" xfId="11411" xr:uid="{6BCE3FCF-DD8B-44A2-AFA1-D487CBA1FB9F}"/>
    <cellStyle name="Cálculo 2 4 2 4 9" xfId="5221" xr:uid="{DA464CD9-2D35-47EF-B139-5F0476EB4D65}"/>
    <cellStyle name="Cálculo 2 4 2 4 9 2" xfId="11067" xr:uid="{79802896-3449-4D10-B14C-F3DA93339444}"/>
    <cellStyle name="Cálculo 2 4 2 5" xfId="2694" xr:uid="{3117B597-5367-407B-900B-1D9C4D2055B5}"/>
    <cellStyle name="Cálculo 2 4 2 5 2" xfId="3158" xr:uid="{D494D55E-A8E4-4707-B2A7-0AAA135C81DE}"/>
    <cellStyle name="Cálculo 2 4 2 5 2 2" xfId="4116" xr:uid="{6F5DD4D0-424B-4D06-A856-D786CA86D0B9}"/>
    <cellStyle name="Cálculo 2 4 2 5 2 2 2" xfId="10212" xr:uid="{8AB8C9AC-5E66-418D-89C7-6601FDC403D2}"/>
    <cellStyle name="Cálculo 2 4 2 5 2 3" xfId="7087" xr:uid="{F7AB6A87-6556-43D8-A4A4-7D23BBA1739E}"/>
    <cellStyle name="Cálculo 2 4 2 5 2 3 2" xfId="12675" xr:uid="{1B446FAF-C04E-40D6-90C8-5FE061E25006}"/>
    <cellStyle name="Cálculo 2 4 2 5 2 4" xfId="7748" xr:uid="{62BF6C59-03DA-46AF-898C-0BCA4E02E3A1}"/>
    <cellStyle name="Cálculo 2 4 2 5 2 4 2" xfId="13320" xr:uid="{5F8761F2-771C-4CCF-846A-4CE9247CD9B6}"/>
    <cellStyle name="Cálculo 2 4 2 5 2 5" xfId="8240" xr:uid="{3AA45D25-9D72-494E-84F1-D5E9329040CD}"/>
    <cellStyle name="Cálculo 2 4 2 5 2 5 2" xfId="13812" xr:uid="{FD6C71DB-5BFC-4CA3-8ECB-7E8841B1A638}"/>
    <cellStyle name="Cálculo 2 4 2 5 2 6" xfId="9492" xr:uid="{DBBCFA9C-19F7-4B11-9FFD-87A4E9504D95}"/>
    <cellStyle name="Cálculo 2 4 2 5 3" xfId="3636" xr:uid="{7EBBA07B-A98A-497C-9798-501A1D619D05}"/>
    <cellStyle name="Cálculo 2 4 2 5 3 2" xfId="9852" xr:uid="{AF9E07E2-160D-4F27-9B2F-4F95317BE668}"/>
    <cellStyle name="Cálculo 2 4 2 5 4" xfId="6073" xr:uid="{A6E22570-523F-4501-81B8-D214D37A75E8}"/>
    <cellStyle name="Cálculo 2 4 2 5 4 2" xfId="11785" xr:uid="{1BF32093-5CDF-4D23-A3E7-AF23F20E4CB7}"/>
    <cellStyle name="Cálculo 2 4 2 5 5" xfId="6591" xr:uid="{0678171E-5C98-44BA-BFEE-AC13B0E6FE26}"/>
    <cellStyle name="Cálculo 2 4 2 5 5 2" xfId="12295" xr:uid="{72CF3189-DF11-4F21-BE27-085A3A4D9F37}"/>
    <cellStyle name="Cálculo 2 4 2 5 6" xfId="7345" xr:uid="{19421D88-DBA8-442F-AD11-97B9E81834E6}"/>
    <cellStyle name="Cálculo 2 4 2 5 6 2" xfId="12917" xr:uid="{A1CA269D-8A6C-4231-B5B5-2E62EA743577}"/>
    <cellStyle name="Cálculo 2 4 2 5 7" xfId="7880" xr:uid="{2E8927A8-FBCD-498E-9E72-A26B592F0F8A}"/>
    <cellStyle name="Cálculo 2 4 2 5 7 2" xfId="13452" xr:uid="{2C18CFE1-7700-4D99-A4EA-5A540C232B49}"/>
    <cellStyle name="Cálculo 2 4 2 5 8" xfId="9132" xr:uid="{AF0E230A-2AEE-4A92-95ED-A544AD3208FF}"/>
    <cellStyle name="Cálculo 2 4 2 6" xfId="2786" xr:uid="{6EE269F3-C2F6-47D7-BF47-09CFAFF570F2}"/>
    <cellStyle name="Cálculo 2 4 2 6 2" xfId="3218" xr:uid="{7050DAB5-B141-47E2-9D63-2928FFD271FF}"/>
    <cellStyle name="Cálculo 2 4 2 6 2 2" xfId="4176" xr:uid="{151E0605-CF47-4AEC-8AC0-F0A5973CA62A}"/>
    <cellStyle name="Cálculo 2 4 2 6 2 2 2" xfId="10272" xr:uid="{512CE3A3-66D9-4D48-B22C-96AFD0B6458B}"/>
    <cellStyle name="Cálculo 2 4 2 6 2 3" xfId="7147" xr:uid="{4159A37C-97DF-4D68-A809-4E32BB62B05E}"/>
    <cellStyle name="Cálculo 2 4 2 6 2 3 2" xfId="12735" xr:uid="{405A3202-2CE8-4899-B1BA-C931D5818693}"/>
    <cellStyle name="Cálculo 2 4 2 6 2 4" xfId="7808" xr:uid="{DFFA8FF7-3082-496E-B0E0-911AFE2CCA9C}"/>
    <cellStyle name="Cálculo 2 4 2 6 2 4 2" xfId="13380" xr:uid="{7DCBF27A-56AF-426C-8A2B-7301B8A59875}"/>
    <cellStyle name="Cálculo 2 4 2 6 2 5" xfId="8300" xr:uid="{D6E06EA3-8A42-43F7-BD9C-B7643CACB37D}"/>
    <cellStyle name="Cálculo 2 4 2 6 2 5 2" xfId="13872" xr:uid="{FD17A9CC-8F79-4D2B-A4E6-E2354B75F40F}"/>
    <cellStyle name="Cálculo 2 4 2 6 2 6" xfId="9552" xr:uid="{A9897997-AA5C-4F93-B5F4-8CAFEE1BF2C9}"/>
    <cellStyle name="Cálculo 2 4 2 6 3" xfId="3696" xr:uid="{5A9CA6CB-3E96-461A-8ABA-94E3706B53A0}"/>
    <cellStyle name="Cálculo 2 4 2 6 3 2" xfId="9912" xr:uid="{A2FF1B4E-20FB-4902-8DEB-07C87EF3BEEC}"/>
    <cellStyle name="Cálculo 2 4 2 6 4" xfId="6153" xr:uid="{62EDF6B7-E90E-4EE0-A7B5-279EF0B59C24}"/>
    <cellStyle name="Cálculo 2 4 2 6 4 2" xfId="11865" xr:uid="{130318E5-A734-40A5-BE23-FD056A212C0F}"/>
    <cellStyle name="Cálculo 2 4 2 6 5" xfId="6663" xr:uid="{85D76A9B-E35B-4092-8791-D78CD841BC06}"/>
    <cellStyle name="Cálculo 2 4 2 6 5 2" xfId="12367" xr:uid="{DB12A21D-E3E3-4331-B8FF-6A85B8590A07}"/>
    <cellStyle name="Cálculo 2 4 2 6 6" xfId="7407" xr:uid="{F6354C24-EB0C-4B0B-BF0D-9AEB7A058DFD}"/>
    <cellStyle name="Cálculo 2 4 2 6 6 2" xfId="12979" xr:uid="{7FF20AC3-896D-4A73-8EA1-CE027B048EB9}"/>
    <cellStyle name="Cálculo 2 4 2 6 7" xfId="7940" xr:uid="{154C4F77-F5E4-4193-92D7-ECC4E153C730}"/>
    <cellStyle name="Cálculo 2 4 2 6 7 2" xfId="13512" xr:uid="{FA7B174C-B9FC-475D-9AA4-6721A7329EC4}"/>
    <cellStyle name="Cálculo 2 4 2 6 8" xfId="9192" xr:uid="{0C633116-CE78-45FF-8CC4-1F9C7432514D}"/>
    <cellStyle name="Cálculo 2 4 2 7" xfId="2886" xr:uid="{60655846-46CE-44D2-B5C1-48849D4B11EA}"/>
    <cellStyle name="Cálculo 2 4 2 7 2" xfId="3814" xr:uid="{3BAA6CE9-E001-4D05-AAD4-42530AE82B7F}"/>
    <cellStyle name="Cálculo 2 4 2 7 2 2" xfId="9972" xr:uid="{0351CE23-301A-4C69-AE94-6E288E172C96}"/>
    <cellStyle name="Cálculo 2 4 2 7 3" xfId="6785" xr:uid="{382B54FF-9361-4988-8702-86BB9B047224}"/>
    <cellStyle name="Cálculo 2 4 2 7 3 2" xfId="12435" xr:uid="{DD88A793-05CD-4D66-9A19-983757950500}"/>
    <cellStyle name="Cálculo 2 4 2 7 4" xfId="7492" xr:uid="{CCB72509-E53A-479F-8A29-36CFAB882AFD}"/>
    <cellStyle name="Cálculo 2 4 2 7 4 2" xfId="13064" xr:uid="{DB8AE93A-0E69-4D16-B5F4-BC866EB6F5E2}"/>
    <cellStyle name="Cálculo 2 4 2 7 5" xfId="8000" xr:uid="{1465D6C1-BC4E-47D9-89CB-ABF097012432}"/>
    <cellStyle name="Cálculo 2 4 2 7 5 2" xfId="13572" xr:uid="{F070FC09-DD55-48BB-80E4-4F2578A596A1}"/>
    <cellStyle name="Cálculo 2 4 2 7 6" xfId="9252" xr:uid="{B3C550CA-062E-4E15-8405-6542008C11AB}"/>
    <cellStyle name="Cálculo 2 4 2 8" xfId="3334" xr:uid="{26AC3C26-F0FC-4261-895F-8DC56702843A}"/>
    <cellStyle name="Cálculo 2 4 2 8 2" xfId="9612" xr:uid="{9B2CE475-AF9E-4896-988F-7C305949F2AC}"/>
    <cellStyle name="Cálculo 2 4 2 9" xfId="4501" xr:uid="{196256C5-F4F4-401E-A122-5D18B8F9962D}"/>
    <cellStyle name="Cálculo 2 4 2 9 2" xfId="10409" xr:uid="{AC0F4239-053F-4A3E-8C76-EC75A47BC69F}"/>
    <cellStyle name="Cálculo 2 4 3" xfId="1518" xr:uid="{26FB6B87-41EB-497D-943B-BB73A4DFEEB4}"/>
    <cellStyle name="Cálculo 2 4 3 10" xfId="4602" xr:uid="{3B9651CD-CEA9-40A1-9BA3-CA084477E744}"/>
    <cellStyle name="Cálculo 2 4 3 10 2" xfId="10466" xr:uid="{DEB410E7-1E1F-46F8-A7F3-83DE04739596}"/>
    <cellStyle name="Cálculo 2 4 3 11" xfId="4948" xr:uid="{228575CB-A161-4650-A8A8-06FF4D95F3F6}"/>
    <cellStyle name="Cálculo 2 4 3 11 2" xfId="10794" xr:uid="{C348465B-2A2C-4659-BB55-37C4FF00BB59}"/>
    <cellStyle name="Cálculo 2 4 3 12" xfId="5396" xr:uid="{689CFC18-27F2-4900-A8BD-6E1CEC9CE8FC}"/>
    <cellStyle name="Cálculo 2 4 3 12 2" xfId="11194" xr:uid="{CA609B14-156D-4D7B-8298-2F8E2B0D3142}"/>
    <cellStyle name="Cálculo 2 4 3 13" xfId="5564" xr:uid="{977A8969-F4EC-4A9A-BD1D-BD28C1E0D56D}"/>
    <cellStyle name="Cálculo 2 4 3 13 2" xfId="11292" xr:uid="{FE819F9E-C3D3-47EE-82B2-E239149EE10C}"/>
    <cellStyle name="Cálculo 2 4 3 14" xfId="5640" xr:uid="{21D27142-3AE6-43C3-935D-0A012FEF6125}"/>
    <cellStyle name="Cálculo 2 4 3 14 2" xfId="11368" xr:uid="{4CDF24D1-66D5-46D2-A5E4-F4963CA46D8E}"/>
    <cellStyle name="Cálculo 2 4 3 15" xfId="5676" xr:uid="{E439CA6B-C411-4646-962B-15644D96F228}"/>
    <cellStyle name="Cálculo 2 4 3 15 2" xfId="11404" xr:uid="{1A6E9399-01D7-4CBC-8CF0-E46126A9CDDE}"/>
    <cellStyle name="Cálculo 2 4 3 16" xfId="6206" xr:uid="{A1AA57DA-1B59-409F-8E84-F65ADA1CFE07}"/>
    <cellStyle name="Cálculo 2 4 3 16 2" xfId="11910" xr:uid="{9C641A01-2971-4898-9FBA-DC0701ACE324}"/>
    <cellStyle name="Cálculo 2 4 3 17" xfId="6300" xr:uid="{C7D54E42-4583-4A9F-81DE-5090299D8991}"/>
    <cellStyle name="Cálculo 2 4 3 17 2" xfId="12004" xr:uid="{0B5DEB96-A7AB-43FB-BA25-8BCF868E77DD}"/>
    <cellStyle name="Cálculo 2 4 3 18" xfId="5993" xr:uid="{A5AEDF1C-33AD-41BD-BBCA-CBA67F690772}"/>
    <cellStyle name="Cálculo 2 4 3 18 2" xfId="11705" xr:uid="{3C6EB3D5-9EB3-4496-B99A-EBD01849994D}"/>
    <cellStyle name="Cálculo 2 4 3 19" xfId="8416" xr:uid="{30BAFDC2-E565-45BA-B2D2-EB6030525177}"/>
    <cellStyle name="Cálculo 2 4 3 19 2" xfId="13896" xr:uid="{6D780010-7DB5-4E58-8B91-A26DE08A51F9}"/>
    <cellStyle name="Cálculo 2 4 3 2" xfId="2394" xr:uid="{24E25E72-AE47-47C6-8936-B677569F3C30}"/>
    <cellStyle name="Cálculo 2 4 3 2 10" xfId="6531" xr:uid="{A137F819-93B9-4F7F-9BA1-65023965337C}"/>
    <cellStyle name="Cálculo 2 4 3 2 10 2" xfId="12235" xr:uid="{793D0575-C8A8-4456-A957-7D68EFF5C5F3}"/>
    <cellStyle name="Cálculo 2 4 3 2 11" xfId="6543" xr:uid="{082E3A71-93C9-44AE-90D9-C8E707CB78C0}"/>
    <cellStyle name="Cálculo 2 4 3 2 11 2" xfId="12247" xr:uid="{F58D7536-68F8-4B03-B477-D79DC21C034D}"/>
    <cellStyle name="Cálculo 2 4 3 2 12" xfId="8608" xr:uid="{EF405F52-FA17-4FEE-845A-D3DE6C2C4B37}"/>
    <cellStyle name="Cálculo 2 4 3 2 12 2" xfId="13996" xr:uid="{4874D30D-1854-4687-808C-0F4AEF7B92EA}"/>
    <cellStyle name="Cálculo 2 4 3 2 13" xfId="8956" xr:uid="{14E960E5-CD28-47DF-8599-4B49C943C5C1}"/>
    <cellStyle name="Cálculo 2 4 3 2 2" xfId="2982" xr:uid="{DDE77E80-2368-4C2A-9F92-B614AB322718}"/>
    <cellStyle name="Cálculo 2 4 3 2 2 2" xfId="3922" xr:uid="{83D69CDF-53A2-4C63-9429-D7EF58CE10E7}"/>
    <cellStyle name="Cálculo 2 4 3 2 2 2 2" xfId="10036" xr:uid="{FB04A2FF-B7A6-428D-AE4A-5AB3D6577E01}"/>
    <cellStyle name="Cálculo 2 4 3 2 2 3" xfId="6893" xr:uid="{D8AF2692-812A-432A-8E3F-0C733692CC0E}"/>
    <cellStyle name="Cálculo 2 4 3 2 2 3 2" xfId="12499" xr:uid="{A77B2BDD-A854-4639-A5E8-C7A63FD9AE9B}"/>
    <cellStyle name="Cálculo 2 4 3 2 2 4" xfId="7571" xr:uid="{2A969F5E-C72A-487D-BCBF-15BBD5093FBE}"/>
    <cellStyle name="Cálculo 2 4 3 2 2 4 2" xfId="13143" xr:uid="{DF224FFC-B87E-4298-9405-66AAB057E4C8}"/>
    <cellStyle name="Cálculo 2 4 3 2 2 5" xfId="8064" xr:uid="{B8B9448B-AF7E-4D0E-A989-88796D3082EC}"/>
    <cellStyle name="Cálculo 2 4 3 2 2 5 2" xfId="13636" xr:uid="{B7B8251E-2061-4057-BE15-E03241B51F31}"/>
    <cellStyle name="Cálculo 2 4 3 2 2 6" xfId="9316" xr:uid="{D26E98B2-504F-4570-9B5D-4B3C43F88BC7}"/>
    <cellStyle name="Cálculo 2 4 3 2 3" xfId="3442" xr:uid="{27AAC31F-0F5A-45E3-B561-5A5196AD80D3}"/>
    <cellStyle name="Cálculo 2 4 3 2 3 2" xfId="9676" xr:uid="{0F0611E8-E6CA-4BC9-92A3-534A9711E9B0}"/>
    <cellStyle name="Cálculo 2 4 3 2 4" xfId="4635" xr:uid="{72613C04-BCB7-4812-9F50-691E453DBEB6}"/>
    <cellStyle name="Cálculo 2 4 3 2 4 2" xfId="10499" xr:uid="{5FD9857B-C4FF-42F0-977A-F569643A829C}"/>
    <cellStyle name="Cálculo 2 4 3 2 5" xfId="4874" xr:uid="{F0A0AA23-4598-4614-B81D-B4B3DEC1774B}"/>
    <cellStyle name="Cálculo 2 4 3 2 5 2" xfId="10720" xr:uid="{3E147E3F-EC71-4BE9-BCE2-D88BC51E8549}"/>
    <cellStyle name="Cálculo 2 4 3 2 6" xfId="5030" xr:uid="{32AB66FE-80D5-411A-9ADC-5DE7E6DC962F}"/>
    <cellStyle name="Cálculo 2 4 3 2 6 2" xfId="10876" xr:uid="{4861260D-6B34-4ACF-A25A-840D2F827049}"/>
    <cellStyle name="Cálculo 2 4 3 2 7" xfId="5800" xr:uid="{6CEEA80C-0536-45CE-8B22-E881AF230DEA}"/>
    <cellStyle name="Cálculo 2 4 3 2 7 2" xfId="11528" xr:uid="{0C2FC75B-C5BA-4F03-944B-BB10267366A8}"/>
    <cellStyle name="Cálculo 2 4 3 2 8" xfId="5303" xr:uid="{0100C9F6-5040-4349-A663-D56F59A665AA}"/>
    <cellStyle name="Cálculo 2 4 3 2 8 2" xfId="11147" xr:uid="{0A6BFF3E-BCE3-48CE-BB10-2F9C67D3D3BF}"/>
    <cellStyle name="Cálculo 2 4 3 2 9" xfId="6337" xr:uid="{CE356AC4-A625-451F-A3A4-E97C81FD8E98}"/>
    <cellStyle name="Cálculo 2 4 3 2 9 2" xfId="12041" xr:uid="{B506B45C-1550-4148-BCF0-F0757FA2CB0F}"/>
    <cellStyle name="Cálculo 2 4 3 20" xfId="8856" xr:uid="{2E031450-CB92-47B9-BE35-B506E027FA34}"/>
    <cellStyle name="Cálculo 2 4 3 21" xfId="2202" xr:uid="{B67B53F8-586B-4595-AB3D-1F267E9895C4}"/>
    <cellStyle name="Cálculo 2 4 3 3" xfId="2500" xr:uid="{D57FDC18-EA41-4DDB-895B-D10C4CA2CC5D}"/>
    <cellStyle name="Cálculo 2 4 3 3 10" xfId="7192" xr:uid="{8CD4C9B3-42EF-4540-A922-0A6CB6D1AE14}"/>
    <cellStyle name="Cálculo 2 4 3 3 10 2" xfId="12764" xr:uid="{BA83C4E3-84A9-45ED-A256-B017F081E97A}"/>
    <cellStyle name="Cálculo 2 4 3 3 11" xfId="5289" xr:uid="{A923825E-2DCE-4FF9-873F-6E59458E5FA6}"/>
    <cellStyle name="Cálculo 2 4 3 3 11 2" xfId="11133" xr:uid="{4774B654-890C-4A2A-A404-F64B971909C6}"/>
    <cellStyle name="Cálculo 2 4 3 3 12" xfId="8714" xr:uid="{87386047-A8B2-4665-8B93-66507E4E4C01}"/>
    <cellStyle name="Cálculo 2 4 3 3 12 2" xfId="14070" xr:uid="{62508DF3-5B57-4FD1-9EC9-7A9C08BA0238}"/>
    <cellStyle name="Cálculo 2 4 3 3 13" xfId="9030" xr:uid="{D7974A08-C3D5-4A4F-8C31-E6160AAA3082}"/>
    <cellStyle name="Cálculo 2 4 3 3 2" xfId="3056" xr:uid="{25E7E564-0F9F-4F21-9B8C-2BF95D842B42}"/>
    <cellStyle name="Cálculo 2 4 3 3 2 2" xfId="3996" xr:uid="{F90ED4D5-DA3D-4C91-9872-2F6116DA5F87}"/>
    <cellStyle name="Cálculo 2 4 3 3 2 2 2" xfId="10110" xr:uid="{AFF9AE9B-A86D-418B-B345-9222D7C3686A}"/>
    <cellStyle name="Cálculo 2 4 3 3 2 3" xfId="6967" xr:uid="{B5269576-209A-4D05-AD2B-FB011152A080}"/>
    <cellStyle name="Cálculo 2 4 3 3 2 3 2" xfId="12573" xr:uid="{EAEE2DC4-EEA7-4671-98BE-400CBB921611}"/>
    <cellStyle name="Cálculo 2 4 3 3 2 4" xfId="7645" xr:uid="{1035A0CE-6E03-47F2-A7BB-8E38C2F51F86}"/>
    <cellStyle name="Cálculo 2 4 3 3 2 4 2" xfId="13217" xr:uid="{CA9EEFCB-EAA7-4307-97F9-2427A1025B73}"/>
    <cellStyle name="Cálculo 2 4 3 3 2 5" xfId="8138" xr:uid="{3EF2C31B-7F1F-4783-BE79-EC54422EAB7E}"/>
    <cellStyle name="Cálculo 2 4 3 3 2 5 2" xfId="13710" xr:uid="{80CDB5EC-14EB-4DAE-B7F7-55A6CBF19CA0}"/>
    <cellStyle name="Cálculo 2 4 3 3 2 6" xfId="9390" xr:uid="{1952CA11-35D4-4B3E-B50A-8B81293C65B7}"/>
    <cellStyle name="Cálculo 2 4 3 3 3" xfId="3516" xr:uid="{ED3BB1EA-CF4C-4A9D-95A6-9643925CB87B}"/>
    <cellStyle name="Cálculo 2 4 3 3 3 2" xfId="9750" xr:uid="{69C96DD6-542F-4740-9816-6A9BCC2B0585}"/>
    <cellStyle name="Cálculo 2 4 3 3 4" xfId="4713" xr:uid="{DDBC8CF8-26A9-420D-A04B-EB7BF50DA0F0}"/>
    <cellStyle name="Cálculo 2 4 3 3 4 2" xfId="10577" xr:uid="{46B2DDEF-A7F9-46B4-A7BA-A804C46D49D6}"/>
    <cellStyle name="Cálculo 2 4 3 3 5" xfId="4956" xr:uid="{AC3028F8-9B18-49EA-9F46-36D8E88A9223}"/>
    <cellStyle name="Cálculo 2 4 3 3 5 2" xfId="10802" xr:uid="{3E36A51E-AA00-42F5-99BB-6F99F2168B09}"/>
    <cellStyle name="Cálculo 2 4 3 3 6" xfId="5104" xr:uid="{D43E81D6-6E70-4A80-9B72-875BF1ADAE61}"/>
    <cellStyle name="Cálculo 2 4 3 3 6 2" xfId="10950" xr:uid="{7D174933-93A2-497A-85A5-EFD330B5DDDB}"/>
    <cellStyle name="Cálculo 2 4 3 3 7" xfId="5895" xr:uid="{2608E324-2D01-4BE6-B40B-46C8F039F568}"/>
    <cellStyle name="Cálculo 2 4 3 3 7 2" xfId="11623" xr:uid="{E3864436-8A78-41DD-9873-9C02ABB1F0C5}"/>
    <cellStyle name="Cálculo 2 4 3 3 8" xfId="6225" xr:uid="{861EA5E9-37AC-420B-A59F-8BA3724979EC}"/>
    <cellStyle name="Cálculo 2 4 3 3 8 2" xfId="11929" xr:uid="{7347534E-4873-4B63-8D35-A8EBC99CDB06}"/>
    <cellStyle name="Cálculo 2 4 3 3 9" xfId="6427" xr:uid="{F4FE616C-0666-47CC-8266-0CFA607CBDB4}"/>
    <cellStyle name="Cálculo 2 4 3 3 9 2" xfId="12131" xr:uid="{FBB2EF52-8ACA-4343-8302-43E81F9D52DB}"/>
    <cellStyle name="Cálculo 2 4 3 4" xfId="2459" xr:uid="{3BA77342-D639-4FB9-8FC2-62905BABEA3B}"/>
    <cellStyle name="Cálculo 2 4 3 4 10" xfId="5758" xr:uid="{5BC3DE39-6ACA-48F7-A00F-94096980ABCE}"/>
    <cellStyle name="Cálculo 2 4 3 4 10 2" xfId="11486" xr:uid="{AA67597A-A9B0-4457-9EB5-6E0EE811571C}"/>
    <cellStyle name="Cálculo 2 4 3 4 11" xfId="7293" xr:uid="{11456957-EAD9-4F1A-ABE3-48A33ABB82C3}"/>
    <cellStyle name="Cálculo 2 4 3 4 11 2" xfId="12865" xr:uid="{10D450CE-B74B-488E-B462-BD42FE3649F4}"/>
    <cellStyle name="Cálculo 2 4 3 4 12" xfId="8673" xr:uid="{DD5EAF42-2572-4196-BDE4-07DF8057E9F1}"/>
    <cellStyle name="Cálculo 2 4 3 4 12 2" xfId="14061" xr:uid="{0EAAE10D-38C0-473C-BB88-8DFCC8BC083E}"/>
    <cellStyle name="Cálculo 2 4 3 4 13" xfId="9021" xr:uid="{38B019D3-5D43-442E-91EA-3E95B9DCCECE}"/>
    <cellStyle name="Cálculo 2 4 3 4 2" xfId="3047" xr:uid="{925E8757-C0EC-4863-B081-A785FC9C1864}"/>
    <cellStyle name="Cálculo 2 4 3 4 2 2" xfId="3987" xr:uid="{1B512D3D-C52B-4A2D-9DB8-75D426D26582}"/>
    <cellStyle name="Cálculo 2 4 3 4 2 2 2" xfId="10101" xr:uid="{253606D3-3B15-4BED-9C59-8C9CFEC0F525}"/>
    <cellStyle name="Cálculo 2 4 3 4 2 3" xfId="6958" xr:uid="{6267FE09-78FA-4709-855F-95573C5CF186}"/>
    <cellStyle name="Cálculo 2 4 3 4 2 3 2" xfId="12564" xr:uid="{008FE523-D4B7-4E4C-95F7-27E7CB808C3D}"/>
    <cellStyle name="Cálculo 2 4 3 4 2 4" xfId="7636" xr:uid="{85775A2A-1D5C-4D5D-88F5-21160D5ABF72}"/>
    <cellStyle name="Cálculo 2 4 3 4 2 4 2" xfId="13208" xr:uid="{4343C5DB-E030-4184-807E-6BB4FDE32876}"/>
    <cellStyle name="Cálculo 2 4 3 4 2 5" xfId="8129" xr:uid="{A035CC77-6776-4FF0-953A-2D1F2FA08E98}"/>
    <cellStyle name="Cálculo 2 4 3 4 2 5 2" xfId="13701" xr:uid="{CB248B3E-2715-4662-9538-7D5BE1EE071D}"/>
    <cellStyle name="Cálculo 2 4 3 4 2 6" xfId="9381" xr:uid="{7D9ECA46-4DA5-4F43-904F-278863551A80}"/>
    <cellStyle name="Cálculo 2 4 3 4 3" xfId="3507" xr:uid="{85E791DD-B204-4DBD-87CB-64488B6B3FA3}"/>
    <cellStyle name="Cálculo 2 4 3 4 3 2" xfId="9741" xr:uid="{C2A0913F-D5D8-4733-887E-725BC002D124}"/>
    <cellStyle name="Cálculo 2 4 3 4 4" xfId="4700" xr:uid="{BDBE1424-6953-4D05-9F5C-9555FA0AA658}"/>
    <cellStyle name="Cálculo 2 4 3 4 4 2" xfId="10564" xr:uid="{170BF9D6-9EFF-4757-9D9C-B5CDC163B139}"/>
    <cellStyle name="Cálculo 2 4 3 4 5" xfId="4939" xr:uid="{C7367CF3-A3EC-4FDE-9423-324053DFEC15}"/>
    <cellStyle name="Cálculo 2 4 3 4 5 2" xfId="10785" xr:uid="{49F55891-3815-43E8-9EEE-4ACA42473B7B}"/>
    <cellStyle name="Cálculo 2 4 3 4 6" xfId="5095" xr:uid="{6528E3FE-AAE9-4028-9D13-9B3C0F19534A}"/>
    <cellStyle name="Cálculo 2 4 3 4 6 2" xfId="10941" xr:uid="{80B149EA-7615-4510-8A49-68B5AECF9361}"/>
    <cellStyle name="Cálculo 2 4 3 4 7" xfId="5865" xr:uid="{39CD7831-5BD5-4847-BBC2-E09DB5AA0B55}"/>
    <cellStyle name="Cálculo 2 4 3 4 7 2" xfId="11593" xr:uid="{A06FC75B-182F-4BD0-9ABA-36D62B3B7C18}"/>
    <cellStyle name="Cálculo 2 4 3 4 8" xfId="6194" xr:uid="{DE3D166D-C9E9-422B-B442-A5748390CE9E}"/>
    <cellStyle name="Cálculo 2 4 3 4 8 2" xfId="11898" xr:uid="{79B7E0AF-7860-467A-B655-69483025DE3C}"/>
    <cellStyle name="Cálculo 2 4 3 4 9" xfId="6402" xr:uid="{F926E1AA-3AFB-4BBC-B435-4E590C79A7C1}"/>
    <cellStyle name="Cálculo 2 4 3 4 9 2" xfId="12106" xr:uid="{969DCBED-3952-45C7-91ED-1E6C7C44E039}"/>
    <cellStyle name="Cálculo 2 4 3 5" xfId="2658" xr:uid="{E986AF98-A36A-4C56-9D59-BBC084FE3309}"/>
    <cellStyle name="Cálculo 2 4 3 5 2" xfId="3122" xr:uid="{83B562ED-534F-4D0C-A1F6-60FF9A32A597}"/>
    <cellStyle name="Cálculo 2 4 3 5 2 2" xfId="4080" xr:uid="{FF324D75-7228-4748-ACE2-FD83798C7971}"/>
    <cellStyle name="Cálculo 2 4 3 5 2 2 2" xfId="10176" xr:uid="{EC4A4833-2248-4C37-8F72-E865769C283D}"/>
    <cellStyle name="Cálculo 2 4 3 5 2 3" xfId="7051" xr:uid="{57D805CE-C113-430E-BF28-0E9E92AAD315}"/>
    <cellStyle name="Cálculo 2 4 3 5 2 3 2" xfId="12639" xr:uid="{56449F4F-AB6F-4DE1-BD5E-B3FE40212E2C}"/>
    <cellStyle name="Cálculo 2 4 3 5 2 4" xfId="7712" xr:uid="{3893404E-4DDB-4AD5-AE0B-DD4632D3073B}"/>
    <cellStyle name="Cálculo 2 4 3 5 2 4 2" xfId="13284" xr:uid="{4D030A29-5796-4DDC-8ADB-D60B0ECC8B52}"/>
    <cellStyle name="Cálculo 2 4 3 5 2 5" xfId="8204" xr:uid="{5BA70A76-3F0D-4664-938D-24FBE00AF07F}"/>
    <cellStyle name="Cálculo 2 4 3 5 2 5 2" xfId="13776" xr:uid="{C1EAF7D8-253C-458D-8199-A5377D42B804}"/>
    <cellStyle name="Cálculo 2 4 3 5 2 6" xfId="9456" xr:uid="{D06B9FD4-8AFA-4798-AD00-ECB2859CA964}"/>
    <cellStyle name="Cálculo 2 4 3 5 3" xfId="3600" xr:uid="{2333F37C-87F6-4CEA-8290-9FF2B7C7E3D8}"/>
    <cellStyle name="Cálculo 2 4 3 5 3 2" xfId="9816" xr:uid="{9A5C53F2-888F-4F86-9C4F-9982A984B3AA}"/>
    <cellStyle name="Cálculo 2 4 3 5 4" xfId="6037" xr:uid="{92791B84-30C9-435A-A93B-B2BCB9E00124}"/>
    <cellStyle name="Cálculo 2 4 3 5 4 2" xfId="11749" xr:uid="{EAC6C3AA-7C8D-404C-9253-2367E882A03F}"/>
    <cellStyle name="Cálculo 2 4 3 5 5" xfId="6555" xr:uid="{9AA2D5B4-FAA5-4F56-A652-D17C6373DC4E}"/>
    <cellStyle name="Cálculo 2 4 3 5 5 2" xfId="12259" xr:uid="{D7E628F3-55BA-45C9-8A4A-A8347D5F8C7F}"/>
    <cellStyle name="Cálculo 2 4 3 5 6" xfId="7309" xr:uid="{090BC9A4-A65E-4B13-8090-913AE01524DF}"/>
    <cellStyle name="Cálculo 2 4 3 5 6 2" xfId="12881" xr:uid="{99177AC2-F927-4106-AA9A-DDE664FB6F4F}"/>
    <cellStyle name="Cálculo 2 4 3 5 7" xfId="7844" xr:uid="{1A324E4A-91CA-4D09-8D31-8A47BDFB275D}"/>
    <cellStyle name="Cálculo 2 4 3 5 7 2" xfId="13416" xr:uid="{84BB7D26-9239-42BC-9538-6EA51629A041}"/>
    <cellStyle name="Cálculo 2 4 3 5 8" xfId="9096" xr:uid="{F67C2CB5-E4CB-465D-AA51-E7A68B84231F}"/>
    <cellStyle name="Cálculo 2 4 3 6" xfId="2750" xr:uid="{1F74C940-B22D-40A8-8DFF-FB3B3F6933FC}"/>
    <cellStyle name="Cálculo 2 4 3 6 2" xfId="3182" xr:uid="{E072A782-FB05-4497-90E6-0AE9ECBCC55D}"/>
    <cellStyle name="Cálculo 2 4 3 6 2 2" xfId="4140" xr:uid="{32A65CDE-0833-4750-B4B9-4528B91BB875}"/>
    <cellStyle name="Cálculo 2 4 3 6 2 2 2" xfId="10236" xr:uid="{EDCA1426-8EA0-4092-94E4-87CDC67BAD00}"/>
    <cellStyle name="Cálculo 2 4 3 6 2 3" xfId="7111" xr:uid="{1E0907E7-A658-43CC-85C6-6F6EA02E6AC4}"/>
    <cellStyle name="Cálculo 2 4 3 6 2 3 2" xfId="12699" xr:uid="{33F50A44-2172-404B-9AE1-EC3D43BD9CD2}"/>
    <cellStyle name="Cálculo 2 4 3 6 2 4" xfId="7772" xr:uid="{A0473F7D-7185-49C4-80B4-95DA6E863969}"/>
    <cellStyle name="Cálculo 2 4 3 6 2 4 2" xfId="13344" xr:uid="{E7320FE9-F00C-4AD0-9165-14F3B9C4C6F2}"/>
    <cellStyle name="Cálculo 2 4 3 6 2 5" xfId="8264" xr:uid="{83BD01C4-7C7B-48C6-A3EC-7F87CD931364}"/>
    <cellStyle name="Cálculo 2 4 3 6 2 5 2" xfId="13836" xr:uid="{83367F03-29BD-46C1-B2D7-F7138DAE9DC8}"/>
    <cellStyle name="Cálculo 2 4 3 6 2 6" xfId="9516" xr:uid="{617905B8-1889-4820-AF44-1B3208AB7693}"/>
    <cellStyle name="Cálculo 2 4 3 6 3" xfId="3660" xr:uid="{F11D60D3-B0EA-46CA-ABCE-C6E471030DDC}"/>
    <cellStyle name="Cálculo 2 4 3 6 3 2" xfId="9876" xr:uid="{1D340FA1-61AB-46CE-B619-016BA4C73374}"/>
    <cellStyle name="Cálculo 2 4 3 6 4" xfId="6117" xr:uid="{D2205511-7FB7-4E7F-8094-6023264AE7EA}"/>
    <cellStyle name="Cálculo 2 4 3 6 4 2" xfId="11829" xr:uid="{9CB6A886-FBDB-4C2E-BF9A-46E53D7BDA78}"/>
    <cellStyle name="Cálculo 2 4 3 6 5" xfId="6627" xr:uid="{1B7D6B98-8B62-47AC-8648-64D81EF67DB6}"/>
    <cellStyle name="Cálculo 2 4 3 6 5 2" xfId="12331" xr:uid="{67885EFF-A212-45DD-8221-459B3FECB280}"/>
    <cellStyle name="Cálculo 2 4 3 6 6" xfId="7371" xr:uid="{C7BBEEF2-2864-46BC-A988-FF81EEDBFA25}"/>
    <cellStyle name="Cálculo 2 4 3 6 6 2" xfId="12943" xr:uid="{B5318F73-BFAC-426E-82D6-9C9117FA1807}"/>
    <cellStyle name="Cálculo 2 4 3 6 7" xfId="7904" xr:uid="{D8C94F17-3410-457A-9E36-85898A5EAB9E}"/>
    <cellStyle name="Cálculo 2 4 3 6 7 2" xfId="13476" xr:uid="{A450ED9F-BB52-4CF7-9223-955A51B0DF12}"/>
    <cellStyle name="Cálculo 2 4 3 6 8" xfId="9156" xr:uid="{18662661-0D61-4FE2-931C-BDBB1083C590}"/>
    <cellStyle name="Cálculo 2 4 3 7" xfId="2850" xr:uid="{F397F3B8-D69C-470A-B7FB-B40995F7136F}"/>
    <cellStyle name="Cálculo 2 4 3 7 2" xfId="3774" xr:uid="{B7659C91-5CEA-4E74-A4EC-2DEEECA831E6}"/>
    <cellStyle name="Cálculo 2 4 3 7 2 2" xfId="9936" xr:uid="{8D85968D-47AF-4497-8FBD-2B4B0323E8EF}"/>
    <cellStyle name="Cálculo 2 4 3 7 3" xfId="6745" xr:uid="{325A0963-10DD-47B1-A706-74F5FA1A711B}"/>
    <cellStyle name="Cálculo 2 4 3 7 3 2" xfId="12399" xr:uid="{535226A9-632F-4BA4-9C94-C00CAD27FC3C}"/>
    <cellStyle name="Cálculo 2 4 3 7 4" xfId="7455" xr:uid="{5FF67C45-1063-4DC9-ABE6-B11C11D949F8}"/>
    <cellStyle name="Cálculo 2 4 3 7 4 2" xfId="13027" xr:uid="{76C74993-2C78-4CE0-AF90-9A04842E5F24}"/>
    <cellStyle name="Cálculo 2 4 3 7 5" xfId="7964" xr:uid="{66EDC2C6-E2A3-4D4C-93A1-C4358A3A8452}"/>
    <cellStyle name="Cálculo 2 4 3 7 5 2" xfId="13536" xr:uid="{64E1DC26-015D-4D4F-AA22-42E1A931DB16}"/>
    <cellStyle name="Cálculo 2 4 3 7 6" xfId="9216" xr:uid="{CD41F866-1F9B-401B-893A-113545C10E43}"/>
    <cellStyle name="Cálculo 2 4 3 8" xfId="3294" xr:uid="{973583C2-AFBC-4791-840B-9ABC6BF4ED8A}"/>
    <cellStyle name="Cálculo 2 4 3 8 2" xfId="9576" xr:uid="{976859E0-4445-4AB6-8A67-3CCF601BC1CA}"/>
    <cellStyle name="Cálculo 2 4 3 9" xfId="4461" xr:uid="{FDC8D866-9A01-4F89-9299-58B8490E5DE4}"/>
    <cellStyle name="Cálculo 2 4 3 9 2" xfId="10373" xr:uid="{19310A3C-19D3-40E5-BC2C-171E0D12D207}"/>
    <cellStyle name="Cálculo 2 4 4" xfId="1542" xr:uid="{57F05310-9488-4EA8-B574-23F28E1754FE}"/>
    <cellStyle name="Cálculo 2 4 4 2" xfId="8839" xr:uid="{06843BC9-97C6-4245-A8CC-ABC6A15B452F}"/>
    <cellStyle name="Cálculo 2 4 5" xfId="2118" xr:uid="{26AA60C9-A7D2-410E-BF46-6221847CA096}"/>
    <cellStyle name="Cálculo 2 5" xfId="1438" xr:uid="{5AE33493-8AF7-4B5E-BF3A-CEF191F893E4}"/>
    <cellStyle name="Cálculo 2 5 10" xfId="4621" xr:uid="{10685D41-6821-4F85-A8F7-E063AA41DDE8}"/>
    <cellStyle name="Cálculo 2 5 10 2" xfId="10485" xr:uid="{A9B3A198-8410-4F15-9889-B0423F009230}"/>
    <cellStyle name="Cálculo 2 5 11" xfId="4385" xr:uid="{CE3DD979-F736-4484-AEF6-F63251BA67A9}"/>
    <cellStyle name="Cálculo 2 5 11 2" xfId="10343" xr:uid="{380F1B7D-13D5-40E4-A2B7-F30C6CDC77C6}"/>
    <cellStyle name="Cálculo 2 5 12" xfId="5404" xr:uid="{262EF2CE-5AC2-4134-97F0-1369023C8D7F}"/>
    <cellStyle name="Cálculo 2 5 12 2" xfId="11202" xr:uid="{30E10ACF-6B0E-4AB1-9ED8-6DECCC220D48}"/>
    <cellStyle name="Cálculo 2 5 13" xfId="5572" xr:uid="{9D8C708F-4377-4F45-94B3-2764BFDD5D83}"/>
    <cellStyle name="Cálculo 2 5 13 2" xfId="11300" xr:uid="{784BE382-4004-4C0C-BB26-0A3B7D3AD53B}"/>
    <cellStyle name="Cálculo 2 5 14" xfId="5664" xr:uid="{E858C742-AE44-46FF-BA79-D47E4DF607E3}"/>
    <cellStyle name="Cálculo 2 5 14 2" xfId="11392" xr:uid="{34775A20-2EDB-442A-B9EF-EEC59499C3DD}"/>
    <cellStyle name="Cálculo 2 5 15" xfId="5299" xr:uid="{2B172EB6-465A-46EB-8A7E-20735A513965}"/>
    <cellStyle name="Cálculo 2 5 15 2" xfId="11143" xr:uid="{628CF400-A6FA-4D00-95F5-EA4F85EE7D6E}"/>
    <cellStyle name="Cálculo 2 5 16" xfId="6033" xr:uid="{81DFD2EC-1780-4A79-A8E8-F4F936A3A42F}"/>
    <cellStyle name="Cálculo 2 5 16 2" xfId="11745" xr:uid="{D97C0FC2-47B4-4FEB-BAD8-424F9258BF74}"/>
    <cellStyle name="Cálculo 2 5 17" xfId="5168" xr:uid="{4F042066-2DBA-442D-9F6D-73DA8A71AFC1}"/>
    <cellStyle name="Cálculo 2 5 17 2" xfId="11014" xr:uid="{02A2992B-A70B-4FCD-A605-F44C7AC3DABE}"/>
    <cellStyle name="Cálculo 2 5 18" xfId="5877" xr:uid="{C089627B-FE1E-4F4C-8157-06C8BB34111A}"/>
    <cellStyle name="Cálculo 2 5 18 2" xfId="11605" xr:uid="{BC79D94B-D1D2-4CE8-8EF7-363C1CFF295E}"/>
    <cellStyle name="Cálculo 2 5 19" xfId="8424" xr:uid="{262A34B9-FBD4-45BD-9696-64474D135786}"/>
    <cellStyle name="Cálculo 2 5 19 2" xfId="13904" xr:uid="{ABD93B36-CDB0-40A1-9A22-6B9B5FF5A546}"/>
    <cellStyle name="Cálculo 2 5 2" xfId="1551" xr:uid="{5F0A9573-9C19-46E9-9B0B-8257C92AAFAC}"/>
    <cellStyle name="Cálculo 2 5 2 10" xfId="5869" xr:uid="{68232030-139C-41DF-A235-76C546108B78}"/>
    <cellStyle name="Cálculo 2 5 2 10 2" xfId="11597" xr:uid="{B9398053-8C20-4762-B1C4-9B90A10E53CB}"/>
    <cellStyle name="Cálculo 2 5 2 11" xfId="7524" xr:uid="{A4D20AFE-7894-42F3-A3A2-27E46E48208E}"/>
    <cellStyle name="Cálculo 2 5 2 11 2" xfId="13096" xr:uid="{0FE00E06-444B-4CC9-8625-66990C104192}"/>
    <cellStyle name="Cálculo 2 5 2 12" xfId="8616" xr:uid="{1B0C583E-95C3-4DD5-A844-66FA2D82295A}"/>
    <cellStyle name="Cálculo 2 5 2 12 2" xfId="14004" xr:uid="{177893A5-BF8B-4C8F-9FAB-A11F47F3FCE9}"/>
    <cellStyle name="Cálculo 2 5 2 13" xfId="8964" xr:uid="{90B5CA12-D422-476D-BA03-A11E27D4355B}"/>
    <cellStyle name="Cálculo 2 5 2 14" xfId="2402" xr:uid="{47373A2A-AF76-4D6A-82BC-635E1937AEFE}"/>
    <cellStyle name="Cálculo 2 5 2 2" xfId="2990" xr:uid="{051E7D19-FFC5-4422-A3ED-D07DDCD1F8CA}"/>
    <cellStyle name="Cálculo 2 5 2 2 2" xfId="3930" xr:uid="{B280D100-E767-40CE-96CD-3ED4568B3D1B}"/>
    <cellStyle name="Cálculo 2 5 2 2 2 2" xfId="10044" xr:uid="{76F1A26A-0C05-4B77-8041-7F30C3514964}"/>
    <cellStyle name="Cálculo 2 5 2 2 3" xfId="6901" xr:uid="{4C7B587B-6C11-41CC-8417-C889CF7E2999}"/>
    <cellStyle name="Cálculo 2 5 2 2 3 2" xfId="12507" xr:uid="{8723D0DA-9F46-4881-BEF4-7F34A11FD6E2}"/>
    <cellStyle name="Cálculo 2 5 2 2 4" xfId="7579" xr:uid="{47CA9EEA-D356-4DB6-A905-650C621CF0A7}"/>
    <cellStyle name="Cálculo 2 5 2 2 4 2" xfId="13151" xr:uid="{99D4B621-0CCD-4E19-8913-EFCAB59C2774}"/>
    <cellStyle name="Cálculo 2 5 2 2 5" xfId="8072" xr:uid="{F31CAA48-3135-4DBB-B13D-856F0BB47A44}"/>
    <cellStyle name="Cálculo 2 5 2 2 5 2" xfId="13644" xr:uid="{BB559662-3DDE-4335-9694-DBC9C8DA360E}"/>
    <cellStyle name="Cálculo 2 5 2 2 6" xfId="9324" xr:uid="{3E3F4CC2-B1B1-4049-99F2-DBD76BB9CBBF}"/>
    <cellStyle name="Cálculo 2 5 2 3" xfId="3450" xr:uid="{08DA4681-3635-4ED7-B5C2-1FEB55800ED3}"/>
    <cellStyle name="Cálculo 2 5 2 3 2" xfId="9684" xr:uid="{AD048090-4EBA-4E6B-91BB-5516F610C7D3}"/>
    <cellStyle name="Cálculo 2 5 2 4" xfId="4643" xr:uid="{3D18B812-503F-4CF8-AB1B-16169850FAB8}"/>
    <cellStyle name="Cálculo 2 5 2 4 2" xfId="10507" xr:uid="{4A2648E5-48C3-45FA-B22F-C7108C455E1C}"/>
    <cellStyle name="Cálculo 2 5 2 5" xfId="4882" xr:uid="{6595E52B-8F4E-4253-8736-E4F79C82F2EE}"/>
    <cellStyle name="Cálculo 2 5 2 5 2" xfId="10728" xr:uid="{3E71271C-7DC9-48D3-A245-8D8D2DAE67B2}"/>
    <cellStyle name="Cálculo 2 5 2 6" xfId="5038" xr:uid="{C6D49924-8492-4073-B21A-329890EBF609}"/>
    <cellStyle name="Cálculo 2 5 2 6 2" xfId="10884" xr:uid="{5DF412D1-CADA-4462-8A6D-5FF239102C0F}"/>
    <cellStyle name="Cálculo 2 5 2 7" xfId="5808" xr:uid="{9584C9A1-F003-4739-A10F-5C1FA605AD0F}"/>
    <cellStyle name="Cálculo 2 5 2 7 2" xfId="11536" xr:uid="{6F4A20AA-383E-4A32-BBC2-4ADB84087963}"/>
    <cellStyle name="Cálculo 2 5 2 8" xfId="5280" xr:uid="{1390395D-FD0A-4354-A130-7282647D1B44}"/>
    <cellStyle name="Cálculo 2 5 2 8 2" xfId="11124" xr:uid="{4E2015D6-FE07-40BF-B6CB-42BA6B3760D5}"/>
    <cellStyle name="Cálculo 2 5 2 9" xfId="6345" xr:uid="{D9F52662-B8F8-408D-9159-1BAD0767238F}"/>
    <cellStyle name="Cálculo 2 5 2 9 2" xfId="12049" xr:uid="{F1227BE1-35A1-4FFE-B8FB-EEBD4A74DE84}"/>
    <cellStyle name="Cálculo 2 5 20" xfId="8864" xr:uid="{01CF6E91-74C8-4E7D-8BE2-5974968596B8}"/>
    <cellStyle name="Cálculo 2 5 21" xfId="2210" xr:uid="{9C9B15CE-2D48-4467-BB41-706158E8B94A}"/>
    <cellStyle name="Cálculo 2 5 3" xfId="1604" xr:uid="{14EC35A6-8714-420C-8E04-2BB7670B0A6B}"/>
    <cellStyle name="Cálculo 2 5 3 10" xfId="7200" xr:uid="{CA3C8B92-ECF5-490E-A469-819B18482C4B}"/>
    <cellStyle name="Cálculo 2 5 3 10 2" xfId="12772" xr:uid="{715939ED-3176-4919-8A76-29D7A2241CE4}"/>
    <cellStyle name="Cálculo 2 5 3 11" xfId="6410" xr:uid="{F3F3A9F9-05AB-4556-98EF-F8D0E3B3F9F5}"/>
    <cellStyle name="Cálculo 2 5 3 11 2" xfId="12114" xr:uid="{764D68E5-CF20-4BED-B95C-DA9DF0E18427}"/>
    <cellStyle name="Cálculo 2 5 3 12" xfId="8722" xr:uid="{AF827A14-F57A-494B-88E0-001E2C641715}"/>
    <cellStyle name="Cálculo 2 5 3 12 2" xfId="14078" xr:uid="{6CC9992F-BBF4-49B4-B3EE-580E524AAFEF}"/>
    <cellStyle name="Cálculo 2 5 3 13" xfId="9038" xr:uid="{6044CDC4-BCE1-491E-ACFE-9DB23D9AC163}"/>
    <cellStyle name="Cálculo 2 5 3 14" xfId="2508" xr:uid="{B18BB997-9C17-48BA-8C7D-9AD524C9668D}"/>
    <cellStyle name="Cálculo 2 5 3 2" xfId="3064" xr:uid="{D469E50E-0B3D-4A86-B825-17610D0CA88D}"/>
    <cellStyle name="Cálculo 2 5 3 2 2" xfId="4004" xr:uid="{B8F29AA4-F40E-499B-95DA-2DC0101EF6F6}"/>
    <cellStyle name="Cálculo 2 5 3 2 2 2" xfId="10118" xr:uid="{1C65460C-6D6F-4F76-A030-1CBF5A60359B}"/>
    <cellStyle name="Cálculo 2 5 3 2 3" xfId="6975" xr:uid="{E36F871A-20C1-46B9-94A4-F6EA6E784715}"/>
    <cellStyle name="Cálculo 2 5 3 2 3 2" xfId="12581" xr:uid="{9DA7355B-0A97-4D4A-8963-FDD6CAE97B81}"/>
    <cellStyle name="Cálculo 2 5 3 2 4" xfId="7653" xr:uid="{3E8F12C4-0E83-4268-87D2-7709EBD92C4C}"/>
    <cellStyle name="Cálculo 2 5 3 2 4 2" xfId="13225" xr:uid="{971622B0-7310-4D29-85E0-8B11021859CA}"/>
    <cellStyle name="Cálculo 2 5 3 2 5" xfId="8146" xr:uid="{48957E92-E0C0-4DE8-9821-4D54934AC126}"/>
    <cellStyle name="Cálculo 2 5 3 2 5 2" xfId="13718" xr:uid="{58C5DFAF-1794-4B16-8C00-D8A282732329}"/>
    <cellStyle name="Cálculo 2 5 3 2 6" xfId="9398" xr:uid="{27D31E74-FECC-4472-9629-21359D1F4E76}"/>
    <cellStyle name="Cálculo 2 5 3 3" xfId="3524" xr:uid="{FFCB522B-1A4C-4E85-999A-9B59A60CD29A}"/>
    <cellStyle name="Cálculo 2 5 3 3 2" xfId="9758" xr:uid="{452DD46A-ADE9-4B62-ABF0-6B510DC9CE32}"/>
    <cellStyle name="Cálculo 2 5 3 4" xfId="4721" xr:uid="{6D2037A5-2E75-43DF-8DC2-CD17514818F9}"/>
    <cellStyle name="Cálculo 2 5 3 4 2" xfId="10585" xr:uid="{D0E9C2E7-0FAD-4658-AF03-93746484A261}"/>
    <cellStyle name="Cálculo 2 5 3 5" xfId="4964" xr:uid="{91B9E15F-CED7-4530-A61A-7ADFB2650AA3}"/>
    <cellStyle name="Cálculo 2 5 3 5 2" xfId="10810" xr:uid="{13BC4108-C7D7-427E-9C20-BAAD34DA7E1A}"/>
    <cellStyle name="Cálculo 2 5 3 6" xfId="5112" xr:uid="{A914D85C-224F-416A-B533-95480A92CE35}"/>
    <cellStyle name="Cálculo 2 5 3 6 2" xfId="10958" xr:uid="{1559C61F-B7A5-4223-A483-0108751CDED4}"/>
    <cellStyle name="Cálculo 2 5 3 7" xfId="5903" xr:uid="{A1C45242-74A3-4970-9191-B6C016733FCC}"/>
    <cellStyle name="Cálculo 2 5 3 7 2" xfId="11631" xr:uid="{4F463DCB-FD65-4C0A-9C8C-6E87717ACFB1}"/>
    <cellStyle name="Cálculo 2 5 3 8" xfId="6233" xr:uid="{FEFD2D30-159D-44B0-AF6A-52A786543071}"/>
    <cellStyle name="Cálculo 2 5 3 8 2" xfId="11937" xr:uid="{A7404BDE-BAD7-4FFA-BAF7-627796128A43}"/>
    <cellStyle name="Cálculo 2 5 3 9" xfId="6435" xr:uid="{440C1A05-01E2-4E78-9725-9B65C3FF2FA7}"/>
    <cellStyle name="Cálculo 2 5 3 9 2" xfId="12139" xr:uid="{FA6AA4E2-DAC6-4AEA-AF77-44C9C5753F9B}"/>
    <cellStyle name="Cálculo 2 5 4" xfId="2562" xr:uid="{FFE1BD0E-2859-4CDF-9651-8CA63EB3CD8E}"/>
    <cellStyle name="Cálculo 2 5 4 10" xfId="7254" xr:uid="{1BA6FD1C-DAAF-4E91-B45D-FFC0AA377414}"/>
    <cellStyle name="Cálculo 2 5 4 10 2" xfId="12826" xr:uid="{41EDE95D-31B0-4ED0-809E-375BCF3C0E12}"/>
    <cellStyle name="Cálculo 2 5 4 11" xfId="7709" xr:uid="{35A2E55E-EA2A-4EED-914C-31212A498741}"/>
    <cellStyle name="Cálculo 2 5 4 11 2" xfId="13281" xr:uid="{5076DEFA-3DDC-43E5-87C1-CB383CD0EB1D}"/>
    <cellStyle name="Cálculo 2 5 4 12" xfId="8776" xr:uid="{542CFA5E-9F23-4967-A8BA-CAEFD9638807}"/>
    <cellStyle name="Cálculo 2 5 4 12 2" xfId="14132" xr:uid="{010703D1-6571-4CBD-8260-C09ACB280817}"/>
    <cellStyle name="Cálculo 2 5 4 13" xfId="9092" xr:uid="{9528F2CA-7A31-46EA-A10A-8EAD086654A6}"/>
    <cellStyle name="Cálculo 2 5 4 2" xfId="3118" xr:uid="{7E27CD94-21F1-4158-951D-A4C51B89E2AA}"/>
    <cellStyle name="Cálculo 2 5 4 2 2" xfId="4058" xr:uid="{CC320040-6C74-44B4-87E6-42C11DC874FD}"/>
    <cellStyle name="Cálculo 2 5 4 2 2 2" xfId="10172" xr:uid="{FDFB113A-C97B-4C76-A20F-CE5A6EA87FD8}"/>
    <cellStyle name="Cálculo 2 5 4 2 3" xfId="7029" xr:uid="{975A7116-86D8-4AAA-B810-45B0D200C71A}"/>
    <cellStyle name="Cálculo 2 5 4 2 3 2" xfId="12635" xr:uid="{E374FEF0-9D75-48E7-B83B-715EB4E32718}"/>
    <cellStyle name="Cálculo 2 5 4 2 4" xfId="7707" xr:uid="{17BE015B-D3EC-4060-A034-DBE46E0B4F79}"/>
    <cellStyle name="Cálculo 2 5 4 2 4 2" xfId="13279" xr:uid="{42511C81-EC4E-4F70-B5EE-E68F8531AAA7}"/>
    <cellStyle name="Cálculo 2 5 4 2 5" xfId="8200" xr:uid="{EF897439-04CF-466A-B1CF-14848ACC5522}"/>
    <cellStyle name="Cálculo 2 5 4 2 5 2" xfId="13772" xr:uid="{8E61C407-EE27-4DEE-A81B-3ECE86D9A25B}"/>
    <cellStyle name="Cálculo 2 5 4 2 6" xfId="9452" xr:uid="{F6337070-5725-4D9E-B126-C00D83AAF2DC}"/>
    <cellStyle name="Cálculo 2 5 4 3" xfId="3578" xr:uid="{01D3F673-6E9C-40C3-8BBA-38924B7C5E1E}"/>
    <cellStyle name="Cálculo 2 5 4 3 2" xfId="9812" xr:uid="{9D891157-22F6-47D4-B536-9FBC61BEC23F}"/>
    <cellStyle name="Cálculo 2 5 4 4" xfId="4775" xr:uid="{BDE6A6A4-FCD7-485E-9031-DCCD92853F1D}"/>
    <cellStyle name="Cálculo 2 5 4 4 2" xfId="10639" xr:uid="{2772BE12-3976-4F7A-ABDC-CD03AFCCAEFF}"/>
    <cellStyle name="Cálculo 2 5 4 5" xfId="5018" xr:uid="{3D47A53B-3925-44F3-81EC-15EF837CE652}"/>
    <cellStyle name="Cálculo 2 5 4 5 2" xfId="10864" xr:uid="{A3193A4B-1B8C-4D6A-8680-72F2F6041295}"/>
    <cellStyle name="Cálculo 2 5 4 6" xfId="5166" xr:uid="{52636588-6C52-4C7E-8CF3-AD06AB87755E}"/>
    <cellStyle name="Cálculo 2 5 4 6 2" xfId="11012" xr:uid="{A27F8DDF-63AD-4658-ACD3-B0EC408B91BF}"/>
    <cellStyle name="Cálculo 2 5 4 7" xfId="5957" xr:uid="{8705055B-826B-4F15-A87C-9915B7514536}"/>
    <cellStyle name="Cálculo 2 5 4 7 2" xfId="11685" xr:uid="{52FBC306-4BC8-4D42-8D58-85BCAC8D0BB6}"/>
    <cellStyle name="Cálculo 2 5 4 8" xfId="6287" xr:uid="{887CACA2-B4FD-45BC-BEAB-252F8DC7AFA8}"/>
    <cellStyle name="Cálculo 2 5 4 8 2" xfId="11991" xr:uid="{521B1171-B7D0-46B4-B72E-03CCED483A3E}"/>
    <cellStyle name="Cálculo 2 5 4 9" xfId="6489" xr:uid="{23232000-5B14-4A97-B2EF-C2798A0DF2F3}"/>
    <cellStyle name="Cálculo 2 5 4 9 2" xfId="12193" xr:uid="{B6606A8E-F2A2-49AF-A0B7-D57831BDEA4B}"/>
    <cellStyle name="Cálculo 2 5 5" xfId="2666" xr:uid="{F2F57E77-9634-4307-BEBE-C8D43216B24C}"/>
    <cellStyle name="Cálculo 2 5 5 2" xfId="3130" xr:uid="{45E887E7-785F-433F-A274-3E47E1B0E5D6}"/>
    <cellStyle name="Cálculo 2 5 5 2 2" xfId="4088" xr:uid="{0AA0DBBB-A2D0-4152-91C6-3DBBD8AFA8FF}"/>
    <cellStyle name="Cálculo 2 5 5 2 2 2" xfId="10184" xr:uid="{686BB385-EDD3-43A2-92B3-61951E48A971}"/>
    <cellStyle name="Cálculo 2 5 5 2 3" xfId="7059" xr:uid="{E1B7E3F4-8C1B-46BC-925B-AB11BDB60EE0}"/>
    <cellStyle name="Cálculo 2 5 5 2 3 2" xfId="12647" xr:uid="{A1A887CB-0578-41F8-A1E1-F4C5403ACD50}"/>
    <cellStyle name="Cálculo 2 5 5 2 4" xfId="7720" xr:uid="{4E2F73D5-0853-405F-916C-AB8E60163F65}"/>
    <cellStyle name="Cálculo 2 5 5 2 4 2" xfId="13292" xr:uid="{93A79993-D067-4E6A-8C14-B3E2378DC15F}"/>
    <cellStyle name="Cálculo 2 5 5 2 5" xfId="8212" xr:uid="{B186E76E-B6B2-4268-B47E-FFEAC0BF782E}"/>
    <cellStyle name="Cálculo 2 5 5 2 5 2" xfId="13784" xr:uid="{0FFABE4E-E7BC-4C48-A0D5-8EB83D3858BF}"/>
    <cellStyle name="Cálculo 2 5 5 2 6" xfId="9464" xr:uid="{0F1AA53F-84D3-4A31-9506-AB5759999627}"/>
    <cellStyle name="Cálculo 2 5 5 3" xfId="3608" xr:uid="{349D7205-16E5-47BD-BB4E-39077F8F09FC}"/>
    <cellStyle name="Cálculo 2 5 5 3 2" xfId="9824" xr:uid="{3B9CDFA3-4C6D-4FEF-AD49-CE2EA82FC6C8}"/>
    <cellStyle name="Cálculo 2 5 5 4" xfId="6045" xr:uid="{07607E33-2027-4B07-9653-335B832F938F}"/>
    <cellStyle name="Cálculo 2 5 5 4 2" xfId="11757" xr:uid="{C57C12EA-55F3-4CF4-8562-20CFFEEA198B}"/>
    <cellStyle name="Cálculo 2 5 5 5" xfId="6563" xr:uid="{35833118-93CE-43BB-9F31-64EC86D1CCE4}"/>
    <cellStyle name="Cálculo 2 5 5 5 2" xfId="12267" xr:uid="{A87E482C-0181-4A71-97D9-287CF3BB9B16}"/>
    <cellStyle name="Cálculo 2 5 5 6" xfId="7317" xr:uid="{5F32FA7C-91CC-4219-BAFB-D9A17B1F435B}"/>
    <cellStyle name="Cálculo 2 5 5 6 2" xfId="12889" xr:uid="{974A9E77-16E4-4141-97D7-35899A619EE0}"/>
    <cellStyle name="Cálculo 2 5 5 7" xfId="7852" xr:uid="{928F65BC-3CC9-4E0E-BA56-01B76493B6E9}"/>
    <cellStyle name="Cálculo 2 5 5 7 2" xfId="13424" xr:uid="{C314765E-9EF3-4B50-B417-B07923AA5F7F}"/>
    <cellStyle name="Cálculo 2 5 5 8" xfId="9104" xr:uid="{06B0E816-DF82-4692-BB46-216C19AC178F}"/>
    <cellStyle name="Cálculo 2 5 6" xfId="2758" xr:uid="{5A1E6F76-4989-4BB1-BACE-6CA1FE69C2B4}"/>
    <cellStyle name="Cálculo 2 5 6 2" xfId="3190" xr:uid="{D2F90ABE-5974-4421-95D6-861AF8403AF3}"/>
    <cellStyle name="Cálculo 2 5 6 2 2" xfId="4148" xr:uid="{343D89FC-F970-48DB-966D-2D61703383E9}"/>
    <cellStyle name="Cálculo 2 5 6 2 2 2" xfId="10244" xr:uid="{21364917-AC6D-43AC-BA8E-DAB6578069D5}"/>
    <cellStyle name="Cálculo 2 5 6 2 3" xfId="7119" xr:uid="{64E5BB44-078E-48CD-9178-7CE21CEEC0EB}"/>
    <cellStyle name="Cálculo 2 5 6 2 3 2" xfId="12707" xr:uid="{40C00A83-2F8C-4B82-8B76-055CD404C8E5}"/>
    <cellStyle name="Cálculo 2 5 6 2 4" xfId="7780" xr:uid="{13089459-7CC6-432B-9F23-5B4560699235}"/>
    <cellStyle name="Cálculo 2 5 6 2 4 2" xfId="13352" xr:uid="{179E22F1-EAB5-410C-959C-178634C7034A}"/>
    <cellStyle name="Cálculo 2 5 6 2 5" xfId="8272" xr:uid="{C5B802BC-7D20-4DAB-AD2F-CAB6F8A92D66}"/>
    <cellStyle name="Cálculo 2 5 6 2 5 2" xfId="13844" xr:uid="{875AC9DE-AE16-44EF-A386-1BB4126C4EE5}"/>
    <cellStyle name="Cálculo 2 5 6 2 6" xfId="9524" xr:uid="{C49CE49B-2E10-4356-9227-82FB0AD46E12}"/>
    <cellStyle name="Cálculo 2 5 6 3" xfId="3668" xr:uid="{B0DA9BBA-A267-4330-87F0-CF0C18AE7052}"/>
    <cellStyle name="Cálculo 2 5 6 3 2" xfId="9884" xr:uid="{4571882C-1BEB-4455-BC41-C6A66A096E2A}"/>
    <cellStyle name="Cálculo 2 5 6 4" xfId="6125" xr:uid="{F701AA2D-A062-439A-B581-C079D683FD88}"/>
    <cellStyle name="Cálculo 2 5 6 4 2" xfId="11837" xr:uid="{49D168BA-7B02-4BD7-AE6B-9DC5DAFF90AD}"/>
    <cellStyle name="Cálculo 2 5 6 5" xfId="6635" xr:uid="{FD0041F2-CF6E-482F-A5AA-16ED886AF520}"/>
    <cellStyle name="Cálculo 2 5 6 5 2" xfId="12339" xr:uid="{18EF5EBB-1916-493C-8E13-4A1481145B92}"/>
    <cellStyle name="Cálculo 2 5 6 6" xfId="7379" xr:uid="{27AED69C-6FDF-464D-88BF-D7733A6F78C6}"/>
    <cellStyle name="Cálculo 2 5 6 6 2" xfId="12951" xr:uid="{6584EF6C-DDB6-4816-827F-F153D98B7A7E}"/>
    <cellStyle name="Cálculo 2 5 6 7" xfId="7912" xr:uid="{F277D84E-BC70-4E48-9DF3-6280ECFC48FF}"/>
    <cellStyle name="Cálculo 2 5 6 7 2" xfId="13484" xr:uid="{66DBF2C8-2912-43E7-B07E-D55510C2F482}"/>
    <cellStyle name="Cálculo 2 5 6 8" xfId="9164" xr:uid="{67F30290-165A-4A9C-8064-EC34BABF6BCF}"/>
    <cellStyle name="Cálculo 2 5 7" xfId="2858" xr:uid="{A6945998-D847-4517-858A-D496B80BAD37}"/>
    <cellStyle name="Cálculo 2 5 7 2" xfId="3782" xr:uid="{F7A2B873-DD87-4064-A155-188068DBA088}"/>
    <cellStyle name="Cálculo 2 5 7 2 2" xfId="9944" xr:uid="{DBD092EE-5E2C-4D08-A600-D5276EDB702D}"/>
    <cellStyle name="Cálculo 2 5 7 3" xfId="6753" xr:uid="{772427DF-3A34-4468-9515-8A69686E6D0A}"/>
    <cellStyle name="Cálculo 2 5 7 3 2" xfId="12407" xr:uid="{4EC9D629-F11C-4494-9131-CD5EB8FCD8F8}"/>
    <cellStyle name="Cálculo 2 5 7 4" xfId="7463" xr:uid="{5982E397-D070-430E-A229-D0224854BDB7}"/>
    <cellStyle name="Cálculo 2 5 7 4 2" xfId="13035" xr:uid="{E5FBEC61-4648-4062-A014-1FEF9D890256}"/>
    <cellStyle name="Cálculo 2 5 7 5" xfId="7972" xr:uid="{BFAF0FBF-F8A1-40C2-AB12-0049069ADF48}"/>
    <cellStyle name="Cálculo 2 5 7 5 2" xfId="13544" xr:uid="{AD23102D-BA35-4388-8B87-68ABF49E52D8}"/>
    <cellStyle name="Cálculo 2 5 7 6" xfId="9224" xr:uid="{119A853D-D12D-4BB3-A2ED-ACA703E1939F}"/>
    <cellStyle name="Cálculo 2 5 8" xfId="3302" xr:uid="{84F616DE-7C76-4CCD-ADC3-B4A51A14D08D}"/>
    <cellStyle name="Cálculo 2 5 8 2" xfId="9584" xr:uid="{3604CC0D-6DE7-43CD-8799-1BB079A10766}"/>
    <cellStyle name="Cálculo 2 5 9" xfId="4469" xr:uid="{15A6885C-B784-47DF-B7C8-29839C3556EF}"/>
    <cellStyle name="Cálculo 2 5 9 2" xfId="10381" xr:uid="{69E7298E-2CC6-457B-8FC2-D260F0DFEDED}"/>
    <cellStyle name="Cálculo 2 6" xfId="1513" xr:uid="{4F7D8F97-0B50-47DA-8877-A41756489548}"/>
    <cellStyle name="Cálculo 2 6 10" xfId="4399" xr:uid="{312D7D9B-5B9F-4FFA-BC7B-1948264C11F9}"/>
    <cellStyle name="Cálculo 2 6 10 2" xfId="10357" xr:uid="{53AB6B8F-6C2B-4D4A-B1D1-76258EA98D4D}"/>
    <cellStyle name="Cálculo 2 6 11" xfId="4946" xr:uid="{F37CEF9E-7960-4752-9172-AE3988EED93B}"/>
    <cellStyle name="Cálculo 2 6 11 2" xfId="10792" xr:uid="{14584F16-128D-4C7C-B05B-DF8E9539DEF3}"/>
    <cellStyle name="Cálculo 2 6 12" xfId="5398" xr:uid="{7AD0EC05-36D9-4BC6-8E5F-0E51400AFD0A}"/>
    <cellStyle name="Cálculo 2 6 12 2" xfId="11196" xr:uid="{61EB0ADD-0D27-4076-8420-FC0DE9CDD0F5}"/>
    <cellStyle name="Cálculo 2 6 13" xfId="5566" xr:uid="{6B506607-A54D-46EE-B398-FDB6C2369591}"/>
    <cellStyle name="Cálculo 2 6 13 2" xfId="11294" xr:uid="{D80944A1-5691-4189-AC9B-E5DAA1A70366}"/>
    <cellStyle name="Cálculo 2 6 14" xfId="5210" xr:uid="{FB77A12B-A1E9-46C1-A566-362506F0E53D}"/>
    <cellStyle name="Cálculo 2 6 14 2" xfId="11056" xr:uid="{AFBA9A50-FC2F-44D5-8F8F-0AAE205D2262}"/>
    <cellStyle name="Cálculo 2 6 15" xfId="6016" xr:uid="{07C2D3E4-A431-47CF-81FA-9B6839D5E39D}"/>
    <cellStyle name="Cálculo 2 6 15 2" xfId="11728" xr:uid="{91A2D22B-17A4-4678-9D00-A943416640B1}"/>
    <cellStyle name="Cálculo 2 6 16" xfId="6204" xr:uid="{18C37781-2613-4477-8401-C4088FEA72EE}"/>
    <cellStyle name="Cálculo 2 6 16 2" xfId="11908" xr:uid="{128D7BE5-3007-4B2B-B619-AE99788FD978}"/>
    <cellStyle name="Cálculo 2 6 17" xfId="5741" xr:uid="{2F13195F-820F-48A7-BF1F-78B75F09EA99}"/>
    <cellStyle name="Cálculo 2 6 17 2" xfId="11469" xr:uid="{A91DCFBD-33CD-4819-8A4B-383C9F648735}"/>
    <cellStyle name="Cálculo 2 6 18" xfId="7289" xr:uid="{52282933-EC9C-4606-A5AE-3B171D368B06}"/>
    <cellStyle name="Cálculo 2 6 18 2" xfId="12861" xr:uid="{45381D3A-844C-445C-9B53-57D902BAAF18}"/>
    <cellStyle name="Cálculo 2 6 19" xfId="8418" xr:uid="{12C3E882-C4B4-4A7E-81C2-3BA434DAA4C0}"/>
    <cellStyle name="Cálculo 2 6 19 2" xfId="13898" xr:uid="{26A29D0E-7E66-47A1-97F0-01224E2E3E7A}"/>
    <cellStyle name="Cálculo 2 6 2" xfId="2396" xr:uid="{54FAAF35-D302-4490-9A77-0795774CC413}"/>
    <cellStyle name="Cálculo 2 6 2 10" xfId="5777" xr:uid="{B6976F0F-6C33-4A09-AD6E-5E5752D28BD1}"/>
    <cellStyle name="Cálculo 2 6 2 10 2" xfId="11505" xr:uid="{3F44FC83-3045-4059-B721-36B7DEDF07EB}"/>
    <cellStyle name="Cálculo 2 6 2 11" xfId="5187" xr:uid="{0AF1D196-8CA1-4A91-8ADD-6B228090DF56}"/>
    <cellStyle name="Cálculo 2 6 2 11 2" xfId="11033" xr:uid="{1C3A0C81-B759-44AE-8F79-255F66A421D0}"/>
    <cellStyle name="Cálculo 2 6 2 12" xfId="8610" xr:uid="{02CB2CE6-1F1F-4FB6-AA0D-2C7C4BC5C01F}"/>
    <cellStyle name="Cálculo 2 6 2 12 2" xfId="13998" xr:uid="{755FFDD6-F223-43B7-899A-5A7FC4EED057}"/>
    <cellStyle name="Cálculo 2 6 2 13" xfId="8958" xr:uid="{A0F518C0-A832-4B70-B1D1-09FCF62E629B}"/>
    <cellStyle name="Cálculo 2 6 2 2" xfId="2984" xr:uid="{68AFF4C5-7AE5-449D-992E-600DE49B9505}"/>
    <cellStyle name="Cálculo 2 6 2 2 2" xfId="3924" xr:uid="{45903521-3267-41F4-9A31-45740051EF99}"/>
    <cellStyle name="Cálculo 2 6 2 2 2 2" xfId="10038" xr:uid="{0B5265D9-988F-4DF9-99D9-E0F54C00DEFC}"/>
    <cellStyle name="Cálculo 2 6 2 2 3" xfId="6895" xr:uid="{FE93CF81-DBDC-483C-B4DE-84B76395F744}"/>
    <cellStyle name="Cálculo 2 6 2 2 3 2" xfId="12501" xr:uid="{BAD41BD9-CA65-4ABE-B2A0-DFA37E038278}"/>
    <cellStyle name="Cálculo 2 6 2 2 4" xfId="7573" xr:uid="{50EABB98-D686-42BF-82A1-50A2FACCED57}"/>
    <cellStyle name="Cálculo 2 6 2 2 4 2" xfId="13145" xr:uid="{8A6E7225-C738-4676-B7FC-5BC9C6356AFC}"/>
    <cellStyle name="Cálculo 2 6 2 2 5" xfId="8066" xr:uid="{B1B66692-46E7-4F9B-A6A5-93CFB01793B8}"/>
    <cellStyle name="Cálculo 2 6 2 2 5 2" xfId="13638" xr:uid="{0F245214-528C-4532-8C99-9E05A023C462}"/>
    <cellStyle name="Cálculo 2 6 2 2 6" xfId="9318" xr:uid="{62F284D9-331B-4E75-A602-48A9EE04B789}"/>
    <cellStyle name="Cálculo 2 6 2 3" xfId="3444" xr:uid="{D1168C08-2E0C-42A6-9A21-772C338F18DE}"/>
    <cellStyle name="Cálculo 2 6 2 3 2" xfId="9678" xr:uid="{3073E712-B9B9-4281-BEA5-C3262C24A2EF}"/>
    <cellStyle name="Cálculo 2 6 2 4" xfId="4637" xr:uid="{0FD12007-A071-49A0-B02D-6224822AC4D8}"/>
    <cellStyle name="Cálculo 2 6 2 4 2" xfId="10501" xr:uid="{736DE71B-0669-4549-8ACD-AA5D413B27E0}"/>
    <cellStyle name="Cálculo 2 6 2 5" xfId="4876" xr:uid="{31690BAD-DA2C-4B4E-82AD-3FFD721E314F}"/>
    <cellStyle name="Cálculo 2 6 2 5 2" xfId="10722" xr:uid="{B1DD0656-4278-4231-AF53-1382834A4B98}"/>
    <cellStyle name="Cálculo 2 6 2 6" xfId="5032" xr:uid="{9EA2987F-9AF9-4943-968D-1244F219CD2A}"/>
    <cellStyle name="Cálculo 2 6 2 6 2" xfId="10878" xr:uid="{9AE08D21-1A4B-4184-AAF9-1DF653C859E3}"/>
    <cellStyle name="Cálculo 2 6 2 7" xfId="5802" xr:uid="{23910101-69B8-4FB8-8848-68241FFC032F}"/>
    <cellStyle name="Cálculo 2 6 2 7 2" xfId="11530" xr:uid="{DCF04937-2E25-47C5-ACB2-947DCF5C7B26}"/>
    <cellStyle name="Cálculo 2 6 2 8" xfId="5345" xr:uid="{DF657A06-9B7D-446B-9A7F-EDEF0D78C4DC}"/>
    <cellStyle name="Cálculo 2 6 2 8 2" xfId="11177" xr:uid="{AD87F5E4-8A28-4985-9D35-DAC8EEB53902}"/>
    <cellStyle name="Cálculo 2 6 2 9" xfId="6339" xr:uid="{CD5E10A8-E020-4A96-8FC3-E5B72680F01E}"/>
    <cellStyle name="Cálculo 2 6 2 9 2" xfId="12043" xr:uid="{782179E2-5406-43FA-B751-9F598F359F08}"/>
    <cellStyle name="Cálculo 2 6 20" xfId="8858" xr:uid="{9E41D0D8-A982-4366-A1C7-367CA184808D}"/>
    <cellStyle name="Cálculo 2 6 21" xfId="2204" xr:uid="{270FC99E-C7A4-47C0-BCB7-ECDC8B595236}"/>
    <cellStyle name="Cálculo 2 6 3" xfId="2502" xr:uid="{0C4D3C80-51E1-4B5F-93AA-131C4E6B3242}"/>
    <cellStyle name="Cálculo 2 6 3 10" xfId="7194" xr:uid="{2F060D42-43B7-41AA-BDD8-C50F5601FD92}"/>
    <cellStyle name="Cálculo 2 6 3 10 2" xfId="12766" xr:uid="{29D7F9EA-B051-4B4F-A0E0-0EE9FCF5D34C}"/>
    <cellStyle name="Cálculo 2 6 3 11" xfId="6406" xr:uid="{625A62DA-32F0-4173-B3C4-6C7BE566BF76}"/>
    <cellStyle name="Cálculo 2 6 3 11 2" xfId="12110" xr:uid="{9A4FED9D-BF35-4BAC-9B79-533557C0BB7A}"/>
    <cellStyle name="Cálculo 2 6 3 12" xfId="8716" xr:uid="{A7BE1EEB-4CA3-46C2-8DE3-738B2DC1ACC1}"/>
    <cellStyle name="Cálculo 2 6 3 12 2" xfId="14072" xr:uid="{050D719D-CAC7-4A2B-9741-C06041EEFAB6}"/>
    <cellStyle name="Cálculo 2 6 3 13" xfId="9032" xr:uid="{0473E98C-47F8-4CB9-9781-91B9E2A086DE}"/>
    <cellStyle name="Cálculo 2 6 3 2" xfId="3058" xr:uid="{EA8EB457-B65B-4C3A-BC9D-D918E62362CD}"/>
    <cellStyle name="Cálculo 2 6 3 2 2" xfId="3998" xr:uid="{AD043AA3-6E7C-4D04-8756-6BF0D5C1F33D}"/>
    <cellStyle name="Cálculo 2 6 3 2 2 2" xfId="10112" xr:uid="{BA4B79D5-2E15-4D7E-A3A1-B6518146208C}"/>
    <cellStyle name="Cálculo 2 6 3 2 3" xfId="6969" xr:uid="{EA6A8909-2679-4794-ACAF-B1AA2EC21CBC}"/>
    <cellStyle name="Cálculo 2 6 3 2 3 2" xfId="12575" xr:uid="{45675405-789F-4F0B-8D5F-0FDEDBA81467}"/>
    <cellStyle name="Cálculo 2 6 3 2 4" xfId="7647" xr:uid="{18FA0722-20B9-4F9A-A965-A07F1820BEAC}"/>
    <cellStyle name="Cálculo 2 6 3 2 4 2" xfId="13219" xr:uid="{76D0996A-90DD-443A-A6F9-7AC39C334E51}"/>
    <cellStyle name="Cálculo 2 6 3 2 5" xfId="8140" xr:uid="{53DA71AB-B750-41DA-8515-8C19B1F7AC6A}"/>
    <cellStyle name="Cálculo 2 6 3 2 5 2" xfId="13712" xr:uid="{9ADA37C3-411F-4FA8-B673-BBD56F62AAB9}"/>
    <cellStyle name="Cálculo 2 6 3 2 6" xfId="9392" xr:uid="{B3CFA740-8D84-45D2-B0DC-205175CEF78C}"/>
    <cellStyle name="Cálculo 2 6 3 3" xfId="3518" xr:uid="{D1986019-031C-42C2-9F8E-1A3126E47458}"/>
    <cellStyle name="Cálculo 2 6 3 3 2" xfId="9752" xr:uid="{FEF6ECE3-7928-4367-80D7-22602487E268}"/>
    <cellStyle name="Cálculo 2 6 3 4" xfId="4715" xr:uid="{D3E200ED-BE81-4EB3-85D8-BC4DC4CC076C}"/>
    <cellStyle name="Cálculo 2 6 3 4 2" xfId="10579" xr:uid="{FCD60572-1B40-4156-890F-9A1AF7BE4E50}"/>
    <cellStyle name="Cálculo 2 6 3 5" xfId="4958" xr:uid="{258B4B71-45B0-44DD-8AC9-E5DB3527D5F0}"/>
    <cellStyle name="Cálculo 2 6 3 5 2" xfId="10804" xr:uid="{222D0968-F196-42D7-ADB5-E6DF695E11DC}"/>
    <cellStyle name="Cálculo 2 6 3 6" xfId="5106" xr:uid="{4ECC2B73-F27C-4CFC-868A-018146850988}"/>
    <cellStyle name="Cálculo 2 6 3 6 2" xfId="10952" xr:uid="{27EBDBFC-F34F-4A17-A40B-3486DD99950C}"/>
    <cellStyle name="Cálculo 2 6 3 7" xfId="5897" xr:uid="{1E48AD9F-BEBC-4AF0-A3FC-109AEBB6E951}"/>
    <cellStyle name="Cálculo 2 6 3 7 2" xfId="11625" xr:uid="{E2AB3F13-E307-49DE-90AD-B453230B1C7D}"/>
    <cellStyle name="Cálculo 2 6 3 8" xfId="6227" xr:uid="{FEF2DFC2-FFE2-4794-A426-A59553017C63}"/>
    <cellStyle name="Cálculo 2 6 3 8 2" xfId="11931" xr:uid="{A38F5BBE-9EA9-465D-B5D3-DE56D29C513E}"/>
    <cellStyle name="Cálculo 2 6 3 9" xfId="6429" xr:uid="{CAC6948F-71E2-4D25-BEDA-870F17438CAE}"/>
    <cellStyle name="Cálculo 2 6 3 9 2" xfId="12133" xr:uid="{D6618E70-D6CD-497E-9228-F03F6A4BE0C9}"/>
    <cellStyle name="Cálculo 2 6 4" xfId="2460" xr:uid="{E8EC3AA1-ADD0-472E-B408-E80079D038F7}"/>
    <cellStyle name="Cálculo 2 6 4 10" xfId="5183" xr:uid="{6002E399-FC9E-4257-A7CE-6FA2CFB3FDDA}"/>
    <cellStyle name="Cálculo 2 6 4 10 2" xfId="11029" xr:uid="{204ED2A5-90D5-4EA7-BC15-DE40BFE78F2A}"/>
    <cellStyle name="Cálculo 2 6 4 11" xfId="6023" xr:uid="{B445BCF1-D926-488F-A107-455096339974}"/>
    <cellStyle name="Cálculo 2 6 4 11 2" xfId="11735" xr:uid="{322DAA40-63B7-46CA-9FB9-85B7EADE43EA}"/>
    <cellStyle name="Cálculo 2 6 4 12" xfId="8674" xr:uid="{75A024DB-27BD-41D3-ABBA-76E1BFD94A1A}"/>
    <cellStyle name="Cálculo 2 6 4 12 2" xfId="14062" xr:uid="{0826E2E0-AEF1-4917-A71E-1CD59FF51BA2}"/>
    <cellStyle name="Cálculo 2 6 4 13" xfId="9022" xr:uid="{06803916-013D-431D-A568-4E5C623D6E4E}"/>
    <cellStyle name="Cálculo 2 6 4 2" xfId="3048" xr:uid="{A9B3D26C-1ECA-4670-93FB-D5035B9DD863}"/>
    <cellStyle name="Cálculo 2 6 4 2 2" xfId="3988" xr:uid="{6DD1B5E1-1F3D-4D23-A005-304AD3CF4DB5}"/>
    <cellStyle name="Cálculo 2 6 4 2 2 2" xfId="10102" xr:uid="{BEEA2171-D343-4719-BCE0-B8682E5E32ED}"/>
    <cellStyle name="Cálculo 2 6 4 2 3" xfId="6959" xr:uid="{1585B24E-7956-4914-8846-866FF9951EEE}"/>
    <cellStyle name="Cálculo 2 6 4 2 3 2" xfId="12565" xr:uid="{D0F62C15-C6DA-4B22-9316-FBA5165D37E7}"/>
    <cellStyle name="Cálculo 2 6 4 2 4" xfId="7637" xr:uid="{27EE13BF-05F0-4C46-97A8-02E797A0BD17}"/>
    <cellStyle name="Cálculo 2 6 4 2 4 2" xfId="13209" xr:uid="{80AAE932-3957-4124-9B94-FA6DB309FDF5}"/>
    <cellStyle name="Cálculo 2 6 4 2 5" xfId="8130" xr:uid="{976A6B0E-C136-438B-A9BB-1ECDD1D967C6}"/>
    <cellStyle name="Cálculo 2 6 4 2 5 2" xfId="13702" xr:uid="{D3FA251F-EB19-47F4-9EC3-5DEA90C71E23}"/>
    <cellStyle name="Cálculo 2 6 4 2 6" xfId="9382" xr:uid="{CE39D925-7C2B-4EB7-B210-C1D534478D55}"/>
    <cellStyle name="Cálculo 2 6 4 3" xfId="3508" xr:uid="{7E2CF473-CBFA-4385-B812-0E20D6110014}"/>
    <cellStyle name="Cálculo 2 6 4 3 2" xfId="9742" xr:uid="{8D2B30A1-7453-4420-BE92-E68D1A72FBE6}"/>
    <cellStyle name="Cálculo 2 6 4 4" xfId="4701" xr:uid="{954BF408-55B0-4C0E-92BC-0721D0A1F265}"/>
    <cellStyle name="Cálculo 2 6 4 4 2" xfId="10565" xr:uid="{B0FA96BF-7113-4E18-8429-C8F39FF9FEC4}"/>
    <cellStyle name="Cálculo 2 6 4 5" xfId="4940" xr:uid="{51655B1A-182A-4E0B-8107-F89B35D412C3}"/>
    <cellStyle name="Cálculo 2 6 4 5 2" xfId="10786" xr:uid="{B6A2AC40-9492-44DC-9B55-166101206D89}"/>
    <cellStyle name="Cálculo 2 6 4 6" xfId="5096" xr:uid="{977DCB63-FBDB-45D7-87B3-0FDB3D121102}"/>
    <cellStyle name="Cálculo 2 6 4 6 2" xfId="10942" xr:uid="{F84F135A-3DDB-4A71-B7B5-0CB9D2041FA6}"/>
    <cellStyle name="Cálculo 2 6 4 7" xfId="5866" xr:uid="{101B8410-E2F6-46BF-8982-2D1B62A18969}"/>
    <cellStyle name="Cálculo 2 6 4 7 2" xfId="11594" xr:uid="{14FFFD45-2623-4426-B283-8DE373394860}"/>
    <cellStyle name="Cálculo 2 6 4 8" xfId="6195" xr:uid="{13DA664D-5236-4AB0-8BF2-E25099390D9F}"/>
    <cellStyle name="Cálculo 2 6 4 8 2" xfId="11899" xr:uid="{4D80B150-AFBE-45C4-B047-753733CD12FB}"/>
    <cellStyle name="Cálculo 2 6 4 9" xfId="6403" xr:uid="{BCDE6376-AF01-40B3-A495-6D61E26759DE}"/>
    <cellStyle name="Cálculo 2 6 4 9 2" xfId="12107" xr:uid="{CCF6BA8F-71D7-4E17-BAF5-3784A5AC8B09}"/>
    <cellStyle name="Cálculo 2 6 5" xfId="2660" xr:uid="{5C522DCE-444C-4648-B7E8-8F4C60187023}"/>
    <cellStyle name="Cálculo 2 6 5 2" xfId="3124" xr:uid="{5700984D-F024-4161-98ED-0E3C8C72BB5C}"/>
    <cellStyle name="Cálculo 2 6 5 2 2" xfId="4082" xr:uid="{E35B5015-86A7-4EAA-B301-53232E55EFFC}"/>
    <cellStyle name="Cálculo 2 6 5 2 2 2" xfId="10178" xr:uid="{6219422A-402A-4D06-AF6B-F7735FA1E631}"/>
    <cellStyle name="Cálculo 2 6 5 2 3" xfId="7053" xr:uid="{EFAD3771-6B9D-492B-B7C1-B46C77F398EC}"/>
    <cellStyle name="Cálculo 2 6 5 2 3 2" xfId="12641" xr:uid="{3A53E61A-57B8-4A3F-9C4A-ADD8E6CFFCB9}"/>
    <cellStyle name="Cálculo 2 6 5 2 4" xfId="7714" xr:uid="{DF6684BF-DE64-4F93-8E56-4D1E5E2A4C00}"/>
    <cellStyle name="Cálculo 2 6 5 2 4 2" xfId="13286" xr:uid="{F2B4EAA5-0C64-4B59-87C0-E0A24E666F36}"/>
    <cellStyle name="Cálculo 2 6 5 2 5" xfId="8206" xr:uid="{C7F7FD2D-CF62-4C8F-B96D-A4E7F944C6B4}"/>
    <cellStyle name="Cálculo 2 6 5 2 5 2" xfId="13778" xr:uid="{26C609F5-2FAA-4646-B53C-3801EC8BA32D}"/>
    <cellStyle name="Cálculo 2 6 5 2 6" xfId="9458" xr:uid="{E9FBF54F-E567-4F11-8CF9-8D53D2D21B2F}"/>
    <cellStyle name="Cálculo 2 6 5 3" xfId="3602" xr:uid="{92A930EB-7004-4BD2-84F0-0955C28B2D2E}"/>
    <cellStyle name="Cálculo 2 6 5 3 2" xfId="9818" xr:uid="{3535B776-3414-4C0C-B04D-797F16EBE2A1}"/>
    <cellStyle name="Cálculo 2 6 5 4" xfId="6039" xr:uid="{703BE9FA-DD3E-4DC3-8FBB-D74AEFB40CB1}"/>
    <cellStyle name="Cálculo 2 6 5 4 2" xfId="11751" xr:uid="{7D338FA2-A585-4974-AB68-C021A89CFD2B}"/>
    <cellStyle name="Cálculo 2 6 5 5" xfId="6557" xr:uid="{B3ED1175-7B45-40D8-8CBF-2F5F9B5C614F}"/>
    <cellStyle name="Cálculo 2 6 5 5 2" xfId="12261" xr:uid="{CD2394AD-A1FD-46F2-9969-C35B39311DE1}"/>
    <cellStyle name="Cálculo 2 6 5 6" xfId="7311" xr:uid="{4644D32E-EF7A-403F-B79D-A3211E698533}"/>
    <cellStyle name="Cálculo 2 6 5 6 2" xfId="12883" xr:uid="{FF2FB7DC-BB89-4C1C-BDD1-EBD557775E1B}"/>
    <cellStyle name="Cálculo 2 6 5 7" xfId="7846" xr:uid="{39457DB6-79AE-43EF-8E70-4A4F8201EC3A}"/>
    <cellStyle name="Cálculo 2 6 5 7 2" xfId="13418" xr:uid="{234162C4-0C6D-4CD7-8B18-5BDECF1EEADE}"/>
    <cellStyle name="Cálculo 2 6 5 8" xfId="9098" xr:uid="{1482747A-0CC0-44AB-B3B8-4A8A8726704B}"/>
    <cellStyle name="Cálculo 2 6 6" xfId="2752" xr:uid="{7C3C9BA5-49C8-4C11-80D9-B5AB59217D00}"/>
    <cellStyle name="Cálculo 2 6 6 2" xfId="3184" xr:uid="{E468C6E9-D8CC-4AF2-9C0E-0731E0783EF5}"/>
    <cellStyle name="Cálculo 2 6 6 2 2" xfId="4142" xr:uid="{4FE143B0-B9A5-467F-B24C-9B89BE94AA67}"/>
    <cellStyle name="Cálculo 2 6 6 2 2 2" xfId="10238" xr:uid="{E44B05DD-7610-431A-B1BF-7DAC857CCD09}"/>
    <cellStyle name="Cálculo 2 6 6 2 3" xfId="7113" xr:uid="{35656840-A877-4270-9EF6-F93E65F1E083}"/>
    <cellStyle name="Cálculo 2 6 6 2 3 2" xfId="12701" xr:uid="{1D16867B-8576-40DE-AC19-B715B76A62A3}"/>
    <cellStyle name="Cálculo 2 6 6 2 4" xfId="7774" xr:uid="{E184BF7D-9564-4B70-82C8-9464DA43E6DA}"/>
    <cellStyle name="Cálculo 2 6 6 2 4 2" xfId="13346" xr:uid="{1725746A-F29B-4E71-8FD5-F115BDAC6900}"/>
    <cellStyle name="Cálculo 2 6 6 2 5" xfId="8266" xr:uid="{32EDE136-67C9-409A-80D2-A84E023118D9}"/>
    <cellStyle name="Cálculo 2 6 6 2 5 2" xfId="13838" xr:uid="{5E99E112-625D-4A63-9821-6C4BED22EBBC}"/>
    <cellStyle name="Cálculo 2 6 6 2 6" xfId="9518" xr:uid="{FF2AD2AD-47D8-4C7B-98DA-A5FFB4D700D7}"/>
    <cellStyle name="Cálculo 2 6 6 3" xfId="3662" xr:uid="{10172509-9382-4231-B573-EBCE2226F208}"/>
    <cellStyle name="Cálculo 2 6 6 3 2" xfId="9878" xr:uid="{880BC602-8BFA-4870-B766-AD41BAB17D2C}"/>
    <cellStyle name="Cálculo 2 6 6 4" xfId="6119" xr:uid="{7A21CA0F-9175-4376-8EB0-9656DD6AC067}"/>
    <cellStyle name="Cálculo 2 6 6 4 2" xfId="11831" xr:uid="{A85D70D6-EB82-45C4-8585-0CE85C47DCAF}"/>
    <cellStyle name="Cálculo 2 6 6 5" xfId="6629" xr:uid="{A6EC6D58-3064-4911-8183-F475BC301C9E}"/>
    <cellStyle name="Cálculo 2 6 6 5 2" xfId="12333" xr:uid="{35397782-E419-4C19-B744-804DA2A15575}"/>
    <cellStyle name="Cálculo 2 6 6 6" xfId="7373" xr:uid="{19CE5A00-8801-4B28-A7C0-78369E97848A}"/>
    <cellStyle name="Cálculo 2 6 6 6 2" xfId="12945" xr:uid="{5D2F187B-D10B-430E-BFC0-E6D74507B79F}"/>
    <cellStyle name="Cálculo 2 6 6 7" xfId="7906" xr:uid="{3E724F35-CE1F-41E6-84A9-E16FF2F25972}"/>
    <cellStyle name="Cálculo 2 6 6 7 2" xfId="13478" xr:uid="{A73628A9-49D6-4660-921A-345B479F92B1}"/>
    <cellStyle name="Cálculo 2 6 6 8" xfId="9158" xr:uid="{6D43E53F-162A-4FCF-84D2-CDAD01D77285}"/>
    <cellStyle name="Cálculo 2 6 7" xfId="2852" xr:uid="{A58A4235-3B6D-4649-84A1-A691F1D77CF8}"/>
    <cellStyle name="Cálculo 2 6 7 2" xfId="3776" xr:uid="{728C756F-C86A-4088-AC38-E55BA61A3CD2}"/>
    <cellStyle name="Cálculo 2 6 7 2 2" xfId="9938" xr:uid="{1549E6F4-6CEE-4084-96CB-727FC4BD15D5}"/>
    <cellStyle name="Cálculo 2 6 7 3" xfId="6747" xr:uid="{D1574CD4-A3FB-4CE6-93A6-7D4550D0D88E}"/>
    <cellStyle name="Cálculo 2 6 7 3 2" xfId="12401" xr:uid="{443703D9-D047-4414-B922-A068450E3C74}"/>
    <cellStyle name="Cálculo 2 6 7 4" xfId="7457" xr:uid="{4182BE32-DFA5-4573-8B69-651B81F8BF7E}"/>
    <cellStyle name="Cálculo 2 6 7 4 2" xfId="13029" xr:uid="{C30B5BE1-19E2-4B20-9051-FC50AC473B42}"/>
    <cellStyle name="Cálculo 2 6 7 5" xfId="7966" xr:uid="{BC138569-EC63-4CD5-861D-FE7F3A9A03B1}"/>
    <cellStyle name="Cálculo 2 6 7 5 2" xfId="13538" xr:uid="{AE499F0A-F08A-4539-B031-CF3A2F3DA015}"/>
    <cellStyle name="Cálculo 2 6 7 6" xfId="9218" xr:uid="{590AB9BB-39C8-46F5-8921-709793942BC5}"/>
    <cellStyle name="Cálculo 2 6 8" xfId="3296" xr:uid="{40F276BF-5D7B-4969-88C2-A272141AD726}"/>
    <cellStyle name="Cálculo 2 6 8 2" xfId="9578" xr:uid="{4CD71D18-908E-4680-9376-2B62A504E27B}"/>
    <cellStyle name="Cálculo 2 6 9" xfId="4463" xr:uid="{AB17A997-18F7-4BF2-8972-D0F1150416AC}"/>
    <cellStyle name="Cálculo 2 6 9 2" xfId="10375" xr:uid="{B3459731-D4DC-4218-A123-F33B833D69EF}"/>
    <cellStyle name="Cálculo 2 7" xfId="1534" xr:uid="{450396D7-E01E-47E3-B759-084739AACCCA}"/>
    <cellStyle name="Cálculo 2 7 2" xfId="4232" xr:uid="{CA1551E2-C201-4958-81BF-43CB749332D5}"/>
    <cellStyle name="Cálculo 2 8" xfId="2079" xr:uid="{77E176D8-C2BC-4CFD-86E4-CEAE0F2B52DB}"/>
    <cellStyle name="Cálculo 2 9" xfId="1642" xr:uid="{FE5CBC3E-5E6A-4E92-B4A8-2732F85255E9}"/>
    <cellStyle name="Cálculo 3" xfId="1944" xr:uid="{2E1E365F-3F59-4C6E-B317-C1146D34A66C}"/>
    <cellStyle name="Cálculo 4" xfId="1723" xr:uid="{783643EF-B492-4953-8B1C-99FF7DAC6B60}"/>
    <cellStyle name="Celda de comprobación" xfId="18" builtinId="23" customBuiltin="1"/>
    <cellStyle name="Celda de comprobación 2" xfId="258" xr:uid="{AEC01BA5-8BF2-4F3F-85D0-CC6CD5D75FC6}"/>
    <cellStyle name="Celda de comprobación 2 2" xfId="360" xr:uid="{838B7C8B-1DBD-4A5C-B9F2-9E574497C2D3}"/>
    <cellStyle name="Celda de comprobación 2 2 2" xfId="4233" xr:uid="{136DC2D5-EB1F-4EAA-BC57-2029CB8CE5EF}"/>
    <cellStyle name="Celda de comprobación 2 3" xfId="325" xr:uid="{0C711AE7-70DE-4AA9-96F6-4DFC6067E2AB}"/>
    <cellStyle name="Celda vinculada" xfId="17" builtinId="24" customBuiltin="1"/>
    <cellStyle name="Celda vinculada 2" xfId="259" xr:uid="{065D4CA1-9007-45A6-9E83-991CD35E61FA}"/>
    <cellStyle name="Celda vinculada 2 2" xfId="4234" xr:uid="{5AFEA9B7-2D34-4900-9605-352E8C3F366C}"/>
    <cellStyle name="Celda vinculada 3" xfId="4292" xr:uid="{0872C1D1-7F3B-4933-9697-C14A937F3358}"/>
    <cellStyle name="Check Cell" xfId="414" xr:uid="{2E5BD0D6-6F1D-419F-9460-31E1C5DD0FED}"/>
    <cellStyle name="Check Cell 2" xfId="1488" xr:uid="{E11F274B-AF4E-46F1-A4C4-A29DB091CC3A}"/>
    <cellStyle name="Check Cell 2 2" xfId="1596" xr:uid="{9C1F9BB4-397B-4A08-B4D3-35C81E82FA49}"/>
    <cellStyle name="Column Heads" xfId="1724" xr:uid="{9B1BA10C-E8AF-403C-8AD3-AF222810B108}"/>
    <cellStyle name="Comma" xfId="431" xr:uid="{0E8601A5-FB72-40EB-9254-55BDCBF844AE}"/>
    <cellStyle name="Comma [0]" xfId="432" xr:uid="{8A37018B-DFD8-413F-97E9-B129C09676F3}"/>
    <cellStyle name="Comma [0] 10" xfId="851" xr:uid="{F9E16FC2-1B52-4C3E-93A0-E70BF6400FA5}"/>
    <cellStyle name="Comma [0] 10 2" xfId="1345" xr:uid="{884EA824-FC1A-4A2C-9BC2-FE4398CD8573}"/>
    <cellStyle name="Comma [0] 10 2 2" xfId="14446" xr:uid="{543D2FAD-1C1D-46CE-80B7-3C08EFF85878}"/>
    <cellStyle name="Comma [0] 10 2 3" xfId="2719" xr:uid="{3B71E243-305F-4184-AA57-E61D5B3FEC08}"/>
    <cellStyle name="Comma [0] 10 3" xfId="5505" xr:uid="{707103AD-8F82-4C78-B4F2-8681C02411DC}"/>
    <cellStyle name="Comma [0] 10 3 2" xfId="15487" xr:uid="{E40237A0-A265-4040-82AF-052169B4F0B9}"/>
    <cellStyle name="Comma [0] 10 4" xfId="8680" xr:uid="{6FD188D2-DA02-4B79-996B-0F6210C7B11C}"/>
    <cellStyle name="Comma [0] 10 4 2" xfId="14680" xr:uid="{89762D6D-F3A9-4EFE-9716-E40E67920F08}"/>
    <cellStyle name="Comma [0] 10 5" xfId="14322" xr:uid="{D0DE9401-2E83-4FE1-904C-34A07928813F}"/>
    <cellStyle name="Comma [0] 10 6" xfId="2466" xr:uid="{370B3A8B-F5C5-4225-9327-CBE10647E7BB}"/>
    <cellStyle name="Comma [0] 11" xfId="855" xr:uid="{AF3BEDBD-4223-4920-83A6-9B375179864E}"/>
    <cellStyle name="Comma [0] 11 2" xfId="1349" xr:uid="{F3779CF9-8445-4CBA-B3FD-01A35AD279A1}"/>
    <cellStyle name="Comma [0] 11 2 2" xfId="4063" xr:uid="{8383DEDD-A8F6-45D7-AA25-36C71F217A5F}"/>
    <cellStyle name="Comma [0] 11 2 2 2" xfId="15236" xr:uid="{2B3C1C56-0F9A-48DF-8E75-D29AD972158B}"/>
    <cellStyle name="Comma [0] 11 2 3" xfId="7034" xr:uid="{E27341A1-28E7-4841-BD56-3E55BFDF6C66}"/>
    <cellStyle name="Comma [0] 11 2 3 2" xfId="15631" xr:uid="{7EB9ED47-635A-4595-BF60-75CA5300EF3F}"/>
    <cellStyle name="Comma [0] 11 2 4" xfId="14980" xr:uid="{9F7C4E64-3FA5-4B03-BCC8-88215EFC2776}"/>
    <cellStyle name="Comma [0] 11 3" xfId="3583" xr:uid="{99565554-C267-4291-9A2D-25292E01EC2A}"/>
    <cellStyle name="Comma [0] 11 3 2" xfId="15112" xr:uid="{A3A3A517-C457-4499-BE15-913990BAEFEE}"/>
    <cellStyle name="Comma [0] 11 4" xfId="4780" xr:uid="{0D1D8E46-43A5-4E4E-A5AF-65AFAB8D9AB8}"/>
    <cellStyle name="Comma [0] 11 4 2" xfId="15371" xr:uid="{53341732-7D17-4EF7-B0E2-FDEABC76E198}"/>
    <cellStyle name="Comma [0] 11 5" xfId="5513" xr:uid="{0DCC43F7-C790-4A82-A321-10B8AF5D6A81}"/>
    <cellStyle name="Comma [0] 11 5 2" xfId="15495" xr:uid="{06512A46-D092-4DA4-A723-A0849A7434B7}"/>
    <cellStyle name="Comma [0] 11 6" xfId="14856" xr:uid="{2781A442-AB8F-491B-B05A-F9E221AB2B1A}"/>
    <cellStyle name="Comma [0] 12" xfId="863" xr:uid="{D36944C0-A633-4E65-887A-31625496264C}"/>
    <cellStyle name="Comma [0] 12 2" xfId="1357" xr:uid="{F71B0764-70E4-4675-BB2B-AB1AB09ADD3D}"/>
    <cellStyle name="Comma [0] 12 2 2" xfId="4201" xr:uid="{61DEE014-8598-4782-8F04-51522AA9F47B}"/>
    <cellStyle name="Comma [0] 12 2 2 2" xfId="15254" xr:uid="{077F6D9C-6C3D-4B91-B7FF-19FC50A29218}"/>
    <cellStyle name="Comma [0] 12 2 3" xfId="7172" xr:uid="{B7AFD218-B4F0-4CDC-94BF-A72106840682}"/>
    <cellStyle name="Comma [0] 12 2 3 2" xfId="15649" xr:uid="{861F255D-FCA0-404F-A3E5-15E763D19F6E}"/>
    <cellStyle name="Comma [0] 12 2 4" xfId="14998" xr:uid="{E97CFDFF-CB0A-4665-A362-9191407B4ACA}"/>
    <cellStyle name="Comma [0] 12 3" xfId="3721" xr:uid="{5CC5B0C8-C1A8-41D9-9A94-A543C7DE9AE9}"/>
    <cellStyle name="Comma [0] 12 3 2" xfId="15130" xr:uid="{AC5414AA-E7BA-437A-8360-5635A76D70EA}"/>
    <cellStyle name="Comma [0] 12 4" xfId="6178" xr:uid="{3AF7C916-E7ED-4F8F-AD1C-7B6E59723058}"/>
    <cellStyle name="Comma [0] 12 4 2" xfId="15525" xr:uid="{9FCF8443-54D1-48C2-8714-1031A36D36E3}"/>
    <cellStyle name="Comma [0] 12 5" xfId="14874" xr:uid="{F5A22274-C742-43D0-A604-6EBCA636D609}"/>
    <cellStyle name="Comma [0] 13" xfId="873" xr:uid="{13B2A450-1916-419B-895E-29EFA72B5E2C}"/>
    <cellStyle name="Comma [0] 13 2" xfId="1367" xr:uid="{23FFD8E6-6DD3-44F9-9E05-57CD86CD6369}"/>
    <cellStyle name="Comma [0] 13 2 2" xfId="14478" xr:uid="{0B9E5965-3DE0-4C24-B7BD-1EE2637DD627}"/>
    <cellStyle name="Comma [0] 13 3" xfId="2811" xr:uid="{C54A281B-C206-4632-BEB1-7CED28113558}"/>
    <cellStyle name="Comma [0] 14" xfId="895" xr:uid="{A7EFCC73-A6A4-4CC9-8A4A-E9DC003ABBF7}"/>
    <cellStyle name="Comma [0] 14 2" xfId="1389" xr:uid="{D3AA193C-E76E-4882-8F0C-F9E8B2E79C62}"/>
    <cellStyle name="Comma [0] 14 2 2" xfId="15138" xr:uid="{5F933A3C-A79F-49BF-B7CA-07B43E69A239}"/>
    <cellStyle name="Comma [0] 14 3" xfId="6696" xr:uid="{A1510800-81C9-46D2-97F1-2CAB2E4A67CD}"/>
    <cellStyle name="Comma [0] 14 3 2" xfId="15533" xr:uid="{C2E08A54-3DC7-434C-9889-1800E19338E8}"/>
    <cellStyle name="Comma [0] 14 4" xfId="14882" xr:uid="{D3FA7FAF-AFD0-4505-A4CD-FBC3DA3BC72A}"/>
    <cellStyle name="Comma [0] 15" xfId="919" xr:uid="{02DD801C-FF0F-4A5C-8547-0C3B5B39B827}"/>
    <cellStyle name="Comma [0] 15 2" xfId="1413" xr:uid="{090F0024-BA89-43BC-B1AF-3D03D70DE641}"/>
    <cellStyle name="Comma [0] 15 2 2" xfId="15262" xr:uid="{0CB9FC4C-1CA4-4417-B24E-C2A51E6E5141}"/>
    <cellStyle name="Comma [0] 15 3" xfId="7180" xr:uid="{F6BA38DB-4377-41FC-956D-0A3C0041939D}"/>
    <cellStyle name="Comma [0] 15 3 2" xfId="15657" xr:uid="{0CFF9024-CFF0-4298-A718-8FC390FC3B6B}"/>
    <cellStyle name="Comma [0] 15 4" xfId="15006" xr:uid="{61C8E231-A2FE-4552-BA51-4B413193CE37}"/>
    <cellStyle name="Comma [0] 16" xfId="927" xr:uid="{8B71C20F-7932-4441-9A4F-4BE41D09F2C0}"/>
    <cellStyle name="Comma [0] 16 2" xfId="14486" xr:uid="{8F57881A-EE20-4069-B268-01D7D52F8CCF}"/>
    <cellStyle name="Comma [0] 16 3" xfId="3243" xr:uid="{C31F9CBD-BF1C-4EB8-963F-68A07B68CD74}"/>
    <cellStyle name="Comma [0] 17" xfId="1422" xr:uid="{21F30756-4BEA-47D4-B8F6-ABE8D031B98E}"/>
    <cellStyle name="Comma [0] 17 2" xfId="15014" xr:uid="{F70EBA9A-1D70-48A6-B1FD-068AD0675009}"/>
    <cellStyle name="Comma [0] 18" xfId="1432" xr:uid="{54217C8F-5887-4488-BFB5-47F4DE6564BF}"/>
    <cellStyle name="Comma [0] 18 2" xfId="14492" xr:uid="{26038975-C60C-42FC-869E-5BDFB4AEC5A2}"/>
    <cellStyle name="Comma [0] 18 3" xfId="4326" xr:uid="{DECB9E5E-FAD8-4700-976B-EFAE2A1EFEEF}"/>
    <cellStyle name="Comma [0] 19" xfId="4382" xr:uid="{3F853C20-404C-4689-9C43-BA92A54460D6}"/>
    <cellStyle name="Comma [0] 19 2" xfId="15271" xr:uid="{BB9CEDE9-0232-4AF9-B531-917C0FF0F15F}"/>
    <cellStyle name="Comma [0] 2" xfId="435" xr:uid="{4124E9BE-29C2-4ED2-9313-FE391951A1BD}"/>
    <cellStyle name="Comma [0] 2 2" xfId="666" xr:uid="{1C1D0CE4-0ABE-4D6B-9EB1-5DDBC9E5AC86}"/>
    <cellStyle name="Comma [0] 2 2 2" xfId="1160" xr:uid="{41EE36BB-C330-48FA-AE7A-E12CD1AB948A}"/>
    <cellStyle name="Comma [0] 2 2 2 2" xfId="8540" xr:uid="{BA65F7DA-72BA-4182-9B96-7C1C25B3121D}"/>
    <cellStyle name="Comma [0] 2 2 2 2 2" xfId="14618" xr:uid="{ECA04277-5D58-4BA6-A44C-B9203ED448D1}"/>
    <cellStyle name="Comma [0] 2 2 2 3" xfId="14260" xr:uid="{223235FE-FE1E-4285-A6EC-306BDD63CCAC}"/>
    <cellStyle name="Comma [0] 2 2 2 4" xfId="2326" xr:uid="{F98F54BC-1985-4CC0-9406-83935C8C0FF5}"/>
    <cellStyle name="Comma [0] 2 2 3" xfId="2597" xr:uid="{15484712-B763-4B66-98E0-0F0152150203}"/>
    <cellStyle name="Comma [0] 2 2 3 2" xfId="14384" xr:uid="{5400743F-0AC5-43B5-A42F-9945A8AD6F9A}"/>
    <cellStyle name="Comma [0] 2 2 4" xfId="8355" xr:uid="{27A7782B-F862-4FAC-8178-1D20C5A143DC}"/>
    <cellStyle name="Comma [0] 2 2 4 2" xfId="14526" xr:uid="{DED80C14-04CA-4955-887A-42EE31652786}"/>
    <cellStyle name="Comma [0] 2 2 5" xfId="14168" xr:uid="{C42544F5-00EC-44F4-B2F7-DC65DF36C827}"/>
    <cellStyle name="Comma [0] 2 2 6" xfId="2136" xr:uid="{92D3276C-D828-40E5-93F5-1903B978EE3E}"/>
    <cellStyle name="Comma [0] 2 3" xfId="931" xr:uid="{7016F3BB-434B-4C19-8ADF-77E66B553C6F}"/>
    <cellStyle name="Comma [0] 2 3 2" xfId="8506" xr:uid="{9B1E625C-6DFC-4854-BF14-CA6586E5A504}"/>
    <cellStyle name="Comma [0] 2 3 2 2" xfId="14588" xr:uid="{83835102-6B0E-47F9-9100-58A8E962033D}"/>
    <cellStyle name="Comma [0] 2 3 3" xfId="14230" xr:uid="{C5B89CDD-F6E6-4A9A-B12D-21B6612F912E}"/>
    <cellStyle name="Comma [0] 2 3 4" xfId="2292" xr:uid="{35CFEB68-8EA5-4CC3-9806-E50482BB3108}"/>
    <cellStyle name="Comma [0] 2 4" xfId="2567" xr:uid="{4B8B7150-A806-4225-B5DA-069F6B2402E1}"/>
    <cellStyle name="Comma [0] 2 4 2" xfId="14354" xr:uid="{8CA1E01A-3AA2-477B-9F03-F1A52E963721}"/>
    <cellStyle name="Comma [0] 2 5" xfId="8325" xr:uid="{211A4F2A-F571-4009-8FD2-55D2E104F51B}"/>
    <cellStyle name="Comma [0] 2 5 2" xfId="14496" xr:uid="{55076FA3-F08E-44FD-BC00-F57BD0C4CDC7}"/>
    <cellStyle name="Comma [0] 2 6" xfId="14138" xr:uid="{E869D567-C22B-45A5-B9AD-48F9257306A0}"/>
    <cellStyle name="Comma [0] 2 7" xfId="2091" xr:uid="{A208FA4D-49C2-455D-8320-ADCAA967F195}"/>
    <cellStyle name="Comma [0] 20" xfId="5273" xr:uid="{A0CF223E-7D77-42FE-9B66-E4D8E41965B0}"/>
    <cellStyle name="Comma [0] 20 2" xfId="15389" xr:uid="{43CA9A30-716A-4E24-BB18-752E0BCFC578}"/>
    <cellStyle name="Comma [0] 21" xfId="8781" xr:uid="{E6581356-17E0-4E42-84EA-EACA50AB92D3}"/>
    <cellStyle name="Comma [0] 21 2" xfId="14712" xr:uid="{6DFECBE0-7154-45D7-A9A2-2F70E4F9C1A4}"/>
    <cellStyle name="Comma [0] 22" xfId="8801" xr:uid="{C1CFB73F-394B-47FD-9FFE-7EC28B4216F6}"/>
    <cellStyle name="Comma [0] 22 2" xfId="14732" xr:uid="{114629DE-A6CB-47D4-822A-C356AF3943FF}"/>
    <cellStyle name="Comma [0] 23" xfId="8819" xr:uid="{90EC9DAF-99D5-48E0-BDB1-38272C3728CF}"/>
    <cellStyle name="Comma [0] 23 2" xfId="14750" xr:uid="{BD0E2FA3-A174-41DE-B218-3F3D209C775F}"/>
    <cellStyle name="Comma [0] 24" xfId="14758" xr:uid="{45A29F88-D8B3-4FDB-95F2-43D03EFC2542}"/>
    <cellStyle name="Comma [0] 3" xfId="468" xr:uid="{AFCF59A6-62D2-4012-A97E-DF3C25FB34B2}"/>
    <cellStyle name="Comma [0] 3 2" xfId="963" xr:uid="{61AF823D-E53F-425C-9728-FAC3E732055C}"/>
    <cellStyle name="Comma [0] 3 2 2" xfId="2907" xr:uid="{B96924F0-930D-4612-BD16-6FFBB2AA5EF3}"/>
    <cellStyle name="Comma [0] 3 2 2 2" xfId="3837" xr:uid="{B61A7A23-B45B-48C9-862F-50625539DC9D}"/>
    <cellStyle name="Comma [0] 3 2 2 2 2" xfId="15192" xr:uid="{1DABEE20-5283-4530-A386-279BFFD4DD03}"/>
    <cellStyle name="Comma [0] 3 2 2 3" xfId="6808" xr:uid="{F68BE2D0-8D1B-45D6-B1CF-89BF605CBD04}"/>
    <cellStyle name="Comma [0] 3 2 2 3 2" xfId="15587" xr:uid="{B2AAF0D7-7012-408B-AE7D-84E7EB133310}"/>
    <cellStyle name="Comma [0] 3 2 2 4" xfId="14936" xr:uid="{2AE6B3E6-6EBC-4E05-8681-3904B7C5419F}"/>
    <cellStyle name="Comma [0] 3 2 3" xfId="3357" xr:uid="{7103E343-9A62-4CA4-BBB9-6E33A6DB7B10}"/>
    <cellStyle name="Comma [0] 3 2 3 2" xfId="15068" xr:uid="{C72585DC-9725-4950-8BED-3192A914EC0E}"/>
    <cellStyle name="Comma [0] 3 2 4" xfId="4524" xr:uid="{B0E45039-8B48-411C-9A3E-099148BD93EA}"/>
    <cellStyle name="Comma [0] 3 2 4 2" xfId="15326" xr:uid="{92149F20-103C-4428-AF13-C33EB4EFE394}"/>
    <cellStyle name="Comma [0] 3 2 5" xfId="5459" xr:uid="{740CD96E-19BF-41E5-96E8-2F3538DE217C}"/>
    <cellStyle name="Comma [0] 3 2 5 2" xfId="15443" xr:uid="{2E9E6A64-8FFD-4E29-A792-84E4A8656033}"/>
    <cellStyle name="Comma [0] 3 2 6" xfId="14812" xr:uid="{51A04238-EE70-45F2-8F3E-92567FA8D6D9}"/>
    <cellStyle name="Comma [0] 3 3" xfId="2817" xr:uid="{6EE0B402-42BD-4EA3-80AA-91AAAE486776}"/>
    <cellStyle name="Comma [0] 3 3 2" xfId="3729" xr:uid="{98B1F8FB-944F-43DE-A873-A338F1A31684}"/>
    <cellStyle name="Comma [0] 3 3 2 2" xfId="15142" xr:uid="{A45F88C1-1DE7-405E-A7E5-A0EF75D7211A}"/>
    <cellStyle name="Comma [0] 3 3 3" xfId="6700" xr:uid="{5796A311-81DB-41F5-9216-E49212244B94}"/>
    <cellStyle name="Comma [0] 3 3 3 2" xfId="15537" xr:uid="{436A6866-3990-4B02-A7C4-945FA9DEA584}"/>
    <cellStyle name="Comma [0] 3 3 4" xfId="14886" xr:uid="{9A31A173-AF96-4541-A7D7-F75CFF36A412}"/>
    <cellStyle name="Comma [0] 3 4" xfId="3249" xr:uid="{B26A3795-51F8-463E-8008-94BD5FED759A}"/>
    <cellStyle name="Comma [0] 3 4 2" xfId="15018" xr:uid="{BF73F9F4-84E5-4686-9980-09D4F74A29E2}"/>
    <cellStyle name="Comma [0] 3 5" xfId="4407" xr:uid="{6173C0C1-3231-4A24-8C48-70F7139A012B}"/>
    <cellStyle name="Comma [0] 3 5 2" xfId="15276" xr:uid="{6BE51BFF-CEDF-404C-A99A-2C0F0FB6B9BE}"/>
    <cellStyle name="Comma [0] 3 6" xfId="5329" xr:uid="{7432EAA5-2526-4DE5-B88B-239E9127CEAE}"/>
    <cellStyle name="Comma [0] 3 6 2" xfId="15393" xr:uid="{CCA167AE-C247-4CB0-B927-BB0C0B71F9D8}"/>
    <cellStyle name="Comma [0] 3 7" xfId="14762" xr:uid="{59216573-0996-4844-B444-EE1E61BAD089}"/>
    <cellStyle name="Comma [0] 4" xfId="510" xr:uid="{1BE81059-A672-47F3-BE61-28686476585C}"/>
    <cellStyle name="Comma [0] 4 2" xfId="1005" xr:uid="{AF1120B6-D899-4764-80E4-3D97C3F4FDD9}"/>
    <cellStyle name="Comma [0] 4 2 2" xfId="8573" xr:uid="{2EA39E96-D7E6-49B4-B008-6AAF17B5ED5B}"/>
    <cellStyle name="Comma [0] 4 2 2 2" xfId="14648" xr:uid="{759DD46E-A468-4F19-AF0B-7A7BA476F70C}"/>
    <cellStyle name="Comma [0] 4 2 3" xfId="14290" xr:uid="{1B6AC794-7C97-48FB-B62B-E1B92BF5ED74}"/>
    <cellStyle name="Comma [0] 4 2 4" xfId="2359" xr:uid="{AD729614-61A5-45E6-8AF4-428E23351FBC}"/>
    <cellStyle name="Comma [0] 4 3" xfId="2627" xr:uid="{D4DB9FFD-1DCE-40F3-99D5-187C794398A9}"/>
    <cellStyle name="Comma [0] 4 3 2" xfId="14414" xr:uid="{7055E8F9-CA28-4DE3-B1E7-186F936BE9AF}"/>
    <cellStyle name="Comma [0] 4 4" xfId="8385" xr:uid="{B00BB2A7-DDA0-4DE4-A952-3A1653332BA4}"/>
    <cellStyle name="Comma [0] 4 4 2" xfId="14556" xr:uid="{4F408953-D025-4D52-A796-C19D8B6B7814}"/>
    <cellStyle name="Comma [0] 4 5" xfId="14198" xr:uid="{A11352C3-2AE7-4E59-A7C0-50F60BB31400}"/>
    <cellStyle name="Comma [0] 4 6" xfId="2170" xr:uid="{AD494260-BDC2-47E4-AB68-40C691E38634}"/>
    <cellStyle name="Comma [0] 5" xfId="604" xr:uid="{6B40D675-00C0-4D56-85BA-C05C9E2822E0}"/>
    <cellStyle name="Comma [0] 5 2" xfId="1099" xr:uid="{AC256777-DC29-470A-8BFB-5865AFB62177}"/>
    <cellStyle name="Comma [0] 5 2 2" xfId="8579" xr:uid="{3F4428CC-E86D-4A77-B4C9-AC6407E79402}"/>
    <cellStyle name="Comma [0] 5 2 2 2" xfId="14654" xr:uid="{1DCA9AF2-DD0C-460A-95CA-0E50065C9EE8}"/>
    <cellStyle name="Comma [0] 5 2 3" xfId="14296" xr:uid="{FAE11284-A9C9-479A-9952-0F35E772AA51}"/>
    <cellStyle name="Comma [0] 5 2 4" xfId="2365" xr:uid="{F2BB366F-C321-4362-ACD5-18BD069F0855}"/>
    <cellStyle name="Comma [0] 5 3" xfId="2633" xr:uid="{E85DB0CC-5319-4059-9318-EFA79C1749A4}"/>
    <cellStyle name="Comma [0] 5 3 2" xfId="14420" xr:uid="{8DB578B3-9FF0-4E29-A360-AE54E2FBADA7}"/>
    <cellStyle name="Comma [0] 5 4" xfId="8391" xr:uid="{52089CE8-8B93-43FC-A649-6E4F434C8891}"/>
    <cellStyle name="Comma [0] 5 4 2" xfId="14562" xr:uid="{CAFF2E61-7D75-4C73-AED9-E6A24228F33F}"/>
    <cellStyle name="Comma [0] 5 5" xfId="14204" xr:uid="{0D3EDB40-55F5-4F09-8EFA-69BEA3EE6FAD}"/>
    <cellStyle name="Comma [0] 5 6" xfId="2176" xr:uid="{240D592E-BA3E-4955-935C-F153AD179657}"/>
    <cellStyle name="Comma [0] 6" xfId="711" xr:uid="{584C37BE-E9BA-4397-9031-02873E158F6B}"/>
    <cellStyle name="Comma [0] 6 2" xfId="1205" xr:uid="{E5B35C23-89CE-47F6-BDDE-577827A8FC1A}"/>
    <cellStyle name="Comma [0] 6 2 2" xfId="2913" xr:uid="{66DD19D3-5D77-4F7D-8419-0FFF731747AE}"/>
    <cellStyle name="Comma [0] 6 2 2 2" xfId="3853" xr:uid="{9ACE163A-F36A-457A-B216-5D40AD043DE9}"/>
    <cellStyle name="Comma [0] 6 2 2 2 2" xfId="15206" xr:uid="{AA3B3964-21EF-4346-85F9-0FAC1234D740}"/>
    <cellStyle name="Comma [0] 6 2 2 3" xfId="6824" xr:uid="{59EB8411-1BED-46C3-B58A-278C51C12FC9}"/>
    <cellStyle name="Comma [0] 6 2 2 3 2" xfId="15601" xr:uid="{98413998-B437-43D4-937A-4DCEC4B31F1F}"/>
    <cellStyle name="Comma [0] 6 2 2 4" xfId="14950" xr:uid="{774B3980-F2FD-4E6F-9F4E-85A3C2023C17}"/>
    <cellStyle name="Comma [0] 6 2 3" xfId="3373" xr:uid="{590127CC-D1FE-4E83-8554-152605DEA195}"/>
    <cellStyle name="Comma [0] 6 2 3 2" xfId="15082" xr:uid="{0C7BFBA0-5F12-460A-8BF6-730E54BCAECA}"/>
    <cellStyle name="Comma [0] 6 2 4" xfId="4540" xr:uid="{65BCB766-43DF-416B-B162-70490D7E4750}"/>
    <cellStyle name="Comma [0] 6 2 4 2" xfId="15340" xr:uid="{5D3328DE-4089-41A1-BC29-EDEF1D985607}"/>
    <cellStyle name="Comma [0] 6 2 5" xfId="5475" xr:uid="{975511BB-33F2-4868-9253-C05EFB6FA482}"/>
    <cellStyle name="Comma [0] 6 2 5 2" xfId="15457" xr:uid="{14F21110-687A-4032-97AE-30D6B0AE3CFC}"/>
    <cellStyle name="Comma [0] 6 2 6" xfId="14826" xr:uid="{BAE5EE41-A385-4520-B853-7E11EEA613AB}"/>
    <cellStyle name="Comma [0] 6 3" xfId="2821" xr:uid="{9658FFB9-ADBA-4851-8812-ECE269013E1D}"/>
    <cellStyle name="Comma [0] 6 3 2" xfId="3741" xr:uid="{F5A02A1F-4A6E-4A01-9D5B-66AE2BEAC664}"/>
    <cellStyle name="Comma [0] 6 3 2 2" xfId="15154" xr:uid="{938B6C1E-97A2-4DE3-A9AA-1CE14799C6E5}"/>
    <cellStyle name="Comma [0] 6 3 3" xfId="6712" xr:uid="{8D79CC7A-AB17-4CD5-98BF-D5DA37FC26D5}"/>
    <cellStyle name="Comma [0] 6 3 3 2" xfId="15549" xr:uid="{AFE743FF-5CBE-40C6-B00B-7795283E8BAC}"/>
    <cellStyle name="Comma [0] 6 3 4" xfId="14898" xr:uid="{BB89A5D1-D78D-43F7-8EF2-B59B33A7AC99}"/>
    <cellStyle name="Comma [0] 6 4" xfId="3261" xr:uid="{2254B443-620F-4786-B9D0-B17429C9AAA1}"/>
    <cellStyle name="Comma [0] 6 4 2" xfId="15030" xr:uid="{DD772392-0C8B-4914-9466-8353469B35E2}"/>
    <cellStyle name="Comma [0] 6 5" xfId="4428" xr:uid="{69E998F3-0247-4059-8777-C3A1D45051EF}"/>
    <cellStyle name="Comma [0] 6 5 2" xfId="15288" xr:uid="{C1981C5E-6288-403A-87A9-300514A7F385}"/>
    <cellStyle name="Comma [0] 6 6" xfId="5363" xr:uid="{99BA02BE-E91B-45A4-9BCF-77CD19C62398}"/>
    <cellStyle name="Comma [0] 6 6 2" xfId="15405" xr:uid="{0C34233E-A696-4746-94D9-6343A9545B73}"/>
    <cellStyle name="Comma [0] 6 7" xfId="14774" xr:uid="{AB5390BF-2445-4561-8C12-8707A05D2D67}"/>
    <cellStyle name="Comma [0] 7" xfId="803" xr:uid="{F625B0CC-0D05-4D2B-AB8D-21FE79FA512B}"/>
    <cellStyle name="Comma [0] 7 2" xfId="1297" xr:uid="{9192DA09-4AA3-43B6-9F03-2CC5E3B073E6}"/>
    <cellStyle name="Comma [0] 7 2 2" xfId="2927" xr:uid="{26E6F135-D49E-49AF-BB53-4080EAE50EDC}"/>
    <cellStyle name="Comma [0] 7 2 2 2" xfId="3867" xr:uid="{B0E60032-83D6-4DB1-8DEC-B55584B09243}"/>
    <cellStyle name="Comma [0] 7 2 2 2 2" xfId="15220" xr:uid="{C988A596-782F-4216-B769-E8DE924B9D49}"/>
    <cellStyle name="Comma [0] 7 2 2 3" xfId="6838" xr:uid="{8B526E00-5032-4D53-B969-81D0776718E5}"/>
    <cellStyle name="Comma [0] 7 2 2 3 2" xfId="15615" xr:uid="{2348C677-16D6-4EC1-9C2C-03195B9832E9}"/>
    <cellStyle name="Comma [0] 7 2 2 4" xfId="14964" xr:uid="{4FB4C471-0368-4298-BEC8-0819FF649DBC}"/>
    <cellStyle name="Comma [0] 7 2 3" xfId="3387" xr:uid="{DEA7C5FC-4E19-4625-A7CD-89868A4AFD68}"/>
    <cellStyle name="Comma [0] 7 2 3 2" xfId="15096" xr:uid="{3E21ED20-643E-4943-AE28-AE55DAFE55FA}"/>
    <cellStyle name="Comma [0] 7 2 4" xfId="4554" xr:uid="{B8604FA0-53A7-447A-B62F-0566B0CC16FB}"/>
    <cellStyle name="Comma [0] 7 2 4 2" xfId="15354" xr:uid="{0A0190BE-162A-41FF-8D1C-F189ADDF65C8}"/>
    <cellStyle name="Comma [0] 7 2 5" xfId="5489" xr:uid="{6F1EA156-1D07-42B2-927F-3D444498E638}"/>
    <cellStyle name="Comma [0] 7 2 5 2" xfId="15471" xr:uid="{AEDBB5BA-936E-4895-92D1-0CF91510AAA6}"/>
    <cellStyle name="Comma [0] 7 2 6" xfId="14840" xr:uid="{7501250D-92CC-41FA-AAE8-5FB7CC67A8A2}"/>
    <cellStyle name="Comma [0] 7 3" xfId="2835" xr:uid="{A4022583-F015-4F8D-877B-2B38C50351F2}"/>
    <cellStyle name="Comma [0] 7 3 2" xfId="3755" xr:uid="{14E9A106-E3C6-43F7-AB15-6321EC1D1041}"/>
    <cellStyle name="Comma [0] 7 3 2 2" xfId="15168" xr:uid="{8E7B3CDF-0287-45CE-8191-8F4B4ED663BA}"/>
    <cellStyle name="Comma [0] 7 3 3" xfId="6726" xr:uid="{4C9C1AE6-6AAA-4237-AC58-30343EB1B5BD}"/>
    <cellStyle name="Comma [0] 7 3 3 2" xfId="15563" xr:uid="{8989938B-5714-4C2D-92C7-37C6149759CB}"/>
    <cellStyle name="Comma [0] 7 3 4" xfId="14912" xr:uid="{0C713E93-57AF-4F9E-AC74-D347405A864A}"/>
    <cellStyle name="Comma [0] 7 4" xfId="3275" xr:uid="{221AF5D8-9076-44CD-B209-34C2D25D26EF}"/>
    <cellStyle name="Comma [0] 7 4 2" xfId="15044" xr:uid="{C16DC018-E2E5-4198-A720-022537A5ED99}"/>
    <cellStyle name="Comma [0] 7 5" xfId="4442" xr:uid="{98A8C645-D0AA-44DF-B868-A378868BAC8B}"/>
    <cellStyle name="Comma [0] 7 5 2" xfId="15302" xr:uid="{7E9E3A96-BBB0-4EA5-A8EE-6BB15211B52E}"/>
    <cellStyle name="Comma [0] 7 6" xfId="5377" xr:uid="{0D433487-C433-43B1-8A97-CE5F88EE70EF}"/>
    <cellStyle name="Comma [0] 7 6 2" xfId="15419" xr:uid="{C16DC0D3-D47F-4CB2-9582-5A512C4B5E30}"/>
    <cellStyle name="Comma [0] 7 7" xfId="14788" xr:uid="{E6A83EAD-9231-42DB-9220-DA772CDCBF81}"/>
    <cellStyle name="Comma [0] 8" xfId="817" xr:uid="{CF01535F-545A-4184-BDB8-AE8D2BCFBDE4}"/>
    <cellStyle name="Comma [0] 8 2" xfId="1311" xr:uid="{4AECC3C0-64E2-464D-B284-759C5F756D95}"/>
    <cellStyle name="Comma [0] 8 2 2" xfId="2937" xr:uid="{E400DA08-57AB-4483-BC1C-37D034B2E077}"/>
    <cellStyle name="Comma [0] 8 2 2 2" xfId="3877" xr:uid="{DFCB8FAE-AC68-4514-AA2E-C17962F156EB}"/>
    <cellStyle name="Comma [0] 8 2 2 2 2" xfId="15230" xr:uid="{84E6EEC3-1F31-48EA-B945-2C505A1A9A27}"/>
    <cellStyle name="Comma [0] 8 2 2 3" xfId="6848" xr:uid="{7052E1ED-AEB9-4F5E-B228-F841C5B9D76C}"/>
    <cellStyle name="Comma [0] 8 2 2 3 2" xfId="15625" xr:uid="{AD42AB3A-27F0-40BD-AC59-EDBA993E1573}"/>
    <cellStyle name="Comma [0] 8 2 2 4" xfId="14974" xr:uid="{E1C85E7C-B913-4301-AEDF-F329156FFA04}"/>
    <cellStyle name="Comma [0] 8 2 3" xfId="3397" xr:uid="{76CC5889-E791-4C4C-8706-9DDF89824826}"/>
    <cellStyle name="Comma [0] 8 2 3 2" xfId="15106" xr:uid="{0C1728EE-924D-491B-8441-D472838D7449}"/>
    <cellStyle name="Comma [0] 8 2 4" xfId="4564" xr:uid="{34CE8E74-F774-4012-8BB6-D60958C82623}"/>
    <cellStyle name="Comma [0] 8 2 4 2" xfId="15364" xr:uid="{809C8810-B7D7-49B8-B29C-61A8F84B5EEF}"/>
    <cellStyle name="Comma [0] 8 2 5" xfId="5499" xr:uid="{FF0D8242-B103-43F3-8F95-7DD7479EA63C}"/>
    <cellStyle name="Comma [0] 8 2 5 2" xfId="15481" xr:uid="{6EB5B126-A2E3-4562-8461-5A782B146B81}"/>
    <cellStyle name="Comma [0] 8 2 6" xfId="14850" xr:uid="{F8163A67-B85B-46A3-BAB9-45D00F16C4A5}"/>
    <cellStyle name="Comma [0] 8 3" xfId="2845" xr:uid="{85D004A7-83CE-4177-B601-7FE40B1C8E58}"/>
    <cellStyle name="Comma [0] 8 3 2" xfId="3765" xr:uid="{9F762A75-0BD1-4D98-9F2F-6678353E73A5}"/>
    <cellStyle name="Comma [0] 8 3 2 2" xfId="15178" xr:uid="{A11E7F8C-0E00-4F33-A756-603E112BFB79}"/>
    <cellStyle name="Comma [0] 8 3 3" xfId="6736" xr:uid="{3FAFA5F6-9F54-4190-B303-B94F7ED1ABD3}"/>
    <cellStyle name="Comma [0] 8 3 3 2" xfId="15573" xr:uid="{3D55F480-CE80-4B3C-88D2-444EDCBFF3D6}"/>
    <cellStyle name="Comma [0] 8 3 4" xfId="14922" xr:uid="{C96D30E3-6EF6-444A-8CF6-B419192E861B}"/>
    <cellStyle name="Comma [0] 8 4" xfId="3285" xr:uid="{A2F1F7D4-61B0-4AC6-8202-3924836CAE8C}"/>
    <cellStyle name="Comma [0] 8 4 2" xfId="15054" xr:uid="{ADA70D6A-1C6A-4B29-B0A1-FEE920B18F2C}"/>
    <cellStyle name="Comma [0] 8 5" xfId="4452" xr:uid="{655C3D07-E90C-4AEE-9E59-F435DD485DCE}"/>
    <cellStyle name="Comma [0] 8 5 2" xfId="15312" xr:uid="{8C6B25B7-C2A6-4B66-88BE-CFA2E96B95FA}"/>
    <cellStyle name="Comma [0] 8 6" xfId="5387" xr:uid="{1090B599-34A0-49BB-9E99-EB0FAF89533A}"/>
    <cellStyle name="Comma [0] 8 6 2" xfId="15429" xr:uid="{98DA5CDD-B3DA-4B3B-8222-5C38169E83FE}"/>
    <cellStyle name="Comma [0] 8 7" xfId="14798" xr:uid="{0C1D5F06-65A3-4DBD-BF2D-233D00B245F2}"/>
    <cellStyle name="Comma [0] 9" xfId="837" xr:uid="{3A9EB9B3-93F1-4FC1-8894-1C4FCA7A4B78}"/>
    <cellStyle name="Comma [0] 9 2" xfId="1331" xr:uid="{E2D59D0F-A7CB-4946-B5A5-0C948CF3083E}"/>
    <cellStyle name="Comma [0] 9 2 2" xfId="3806" xr:uid="{D075D3A2-9B74-47BC-9BB2-EE1E12B88C3C}"/>
    <cellStyle name="Comma [0] 9 2 2 2" xfId="15188" xr:uid="{B2DB7613-E0FD-4A12-8216-A11A263C9BC2}"/>
    <cellStyle name="Comma [0] 9 2 3" xfId="6777" xr:uid="{D3682859-18B7-4E97-8AD0-02D57329B10E}"/>
    <cellStyle name="Comma [0] 9 2 3 2" xfId="15583" xr:uid="{DDB0B497-B0B4-493A-B5F3-2FBA935F77E3}"/>
    <cellStyle name="Comma [0] 9 2 4" xfId="14932" xr:uid="{C21962D3-9A03-453A-955B-F4A38E643EAF}"/>
    <cellStyle name="Comma [0] 9 3" xfId="3326" xr:uid="{8E5C7F8B-22C4-4E84-AA46-BD1200DD9F24}"/>
    <cellStyle name="Comma [0] 9 3 2" xfId="15064" xr:uid="{4558F85C-C246-4C92-B166-70C09DC00F2A}"/>
    <cellStyle name="Comma [0] 9 4" xfId="4493" xr:uid="{960588CF-050F-41E8-981D-E010D6758CD7}"/>
    <cellStyle name="Comma [0] 9 4 2" xfId="15322" xr:uid="{C025D63B-77B0-47D9-8A2D-B920AC902A0F}"/>
    <cellStyle name="Comma [0] 9 5" xfId="5428" xr:uid="{6E4216EB-95EE-482E-BC30-0C56C49BA070}"/>
    <cellStyle name="Comma [0] 9 5 2" xfId="15439" xr:uid="{F4B9B4DF-C1AD-40A5-AC6F-775B4A3041F5}"/>
    <cellStyle name="Comma [0] 9 6" xfId="14808" xr:uid="{526165AC-BDA1-4F95-8B92-791DE941DDF0}"/>
    <cellStyle name="Comma 10" xfId="452" xr:uid="{DCE452E0-14FC-43B0-B23F-1C3199F160DE}"/>
    <cellStyle name="Comma 10 2" xfId="683" xr:uid="{5D285B08-9C39-4E36-9E04-317B2DBC057A}"/>
    <cellStyle name="Comma 10 2 2" xfId="1177" xr:uid="{85036FE6-5657-4421-B1AA-C1E2272F05DD}"/>
    <cellStyle name="Comma 10 2 2 2" xfId="8557" xr:uid="{707B7170-31EA-4DF0-8BBE-F9D6E4E2736C}"/>
    <cellStyle name="Comma 10 2 2 2 2" xfId="14635" xr:uid="{233F213C-5DAD-43D8-971B-65312E896183}"/>
    <cellStyle name="Comma 10 2 2 3" xfId="14277" xr:uid="{1DA2578B-ACBE-4736-97FF-78CAF9E21CBE}"/>
    <cellStyle name="Comma 10 2 2 4" xfId="2343" xr:uid="{B57752F2-5D95-47DD-8713-319B19151ADF}"/>
    <cellStyle name="Comma 10 2 3" xfId="2614" xr:uid="{4C51C08A-3949-41A0-965A-641F968B6F0E}"/>
    <cellStyle name="Comma 10 2 3 2" xfId="14401" xr:uid="{44064EB5-B8D7-4055-81B7-E0FA89594D8A}"/>
    <cellStyle name="Comma 10 2 4" xfId="8372" xr:uid="{5250C39B-ACBD-41EC-87CD-EB9093E29FE9}"/>
    <cellStyle name="Comma 10 2 4 2" xfId="14543" xr:uid="{047F60D6-5C28-411F-B3A1-6745FAC31FA1}"/>
    <cellStyle name="Comma 10 2 5" xfId="14185" xr:uid="{8FDF4365-A651-4391-9E4C-8B45C6FBBB70}"/>
    <cellStyle name="Comma 10 2 6" xfId="2153" xr:uid="{DBCFA510-B20A-4EE8-80D5-C135DA89683A}"/>
    <cellStyle name="Comma 10 3" xfId="948" xr:uid="{70437F84-87B0-459C-BA48-8C61C4111C8F}"/>
    <cellStyle name="Comma 10 3 2" xfId="8523" xr:uid="{004E8A17-84CE-4C80-B223-3A91FDA7131E}"/>
    <cellStyle name="Comma 10 3 2 2" xfId="14605" xr:uid="{1F8D384F-3FB7-4626-9EBB-1FFEC5E8B4F8}"/>
    <cellStyle name="Comma 10 3 3" xfId="14247" xr:uid="{495A70A5-9DF6-4583-8D75-F596A1AA409B}"/>
    <cellStyle name="Comma 10 3 4" xfId="2309" xr:uid="{ABF2E9FF-257E-4957-90E6-D62FD8F28173}"/>
    <cellStyle name="Comma 10 4" xfId="2584" xr:uid="{E1D2ABFD-09F3-4BEF-BB72-25C078CDE5B5}"/>
    <cellStyle name="Comma 10 4 2" xfId="14371" xr:uid="{80DE5958-54B3-43EE-A580-E65EEA4DD084}"/>
    <cellStyle name="Comma 10 5" xfId="8342" xr:uid="{0FD063C5-CE0D-484A-B580-FFD132C20CE4}"/>
    <cellStyle name="Comma 10 5 2" xfId="14513" xr:uid="{46C00135-47A1-49C9-A00D-FA283482D650}"/>
    <cellStyle name="Comma 10 6" xfId="14155" xr:uid="{DB1F4145-1C60-4573-93D8-D9556BA1F485}"/>
    <cellStyle name="Comma 10 7" xfId="2108" xr:uid="{6FBBE603-3670-4D13-9B81-ADE27EE3003C}"/>
    <cellStyle name="Comma 100" xfId="639" xr:uid="{4353C8B9-3060-41DB-82E0-D0690C64281A}"/>
    <cellStyle name="Comma 100 2" xfId="1134" xr:uid="{59FCCF4E-2FDF-49EB-ADA2-EF041A33005E}"/>
    <cellStyle name="Comma 101" xfId="641" xr:uid="{0466D5A2-3940-423F-B48C-EF46959A33BE}"/>
    <cellStyle name="Comma 101 2" xfId="1136" xr:uid="{3982FF43-0A9A-45E3-9AAA-12ECBAF2A91D}"/>
    <cellStyle name="Comma 102" xfId="642" xr:uid="{CDF08183-9647-4820-88B3-11A0737FEAA5}"/>
    <cellStyle name="Comma 102 2" xfId="1137" xr:uid="{320A6517-1907-44E0-BECE-686158E05931}"/>
    <cellStyle name="Comma 103" xfId="645" xr:uid="{ED392CC1-1436-47E2-8DB2-FD99F6332761}"/>
    <cellStyle name="Comma 103 2" xfId="1140" xr:uid="{15F649C1-343D-4B98-83AE-8057134240BC}"/>
    <cellStyle name="Comma 104" xfId="647" xr:uid="{5737125C-A91F-46ED-9229-5D49B27E9E66}"/>
    <cellStyle name="Comma 104 2" xfId="1142" xr:uid="{7DCE9BB6-1FC8-472C-8F10-B07B8A0D7714}"/>
    <cellStyle name="Comma 105" xfId="649" xr:uid="{38E7B9D3-17E1-4354-88ED-F818F5492582}"/>
    <cellStyle name="Comma 105 2" xfId="1144" xr:uid="{1AB1F23A-738B-450B-9C1B-59282C3EB319}"/>
    <cellStyle name="Comma 106" xfId="651" xr:uid="{736A007A-42FD-47A3-82E1-F93052C61318}"/>
    <cellStyle name="Comma 106 2" xfId="1146" xr:uid="{B9B5595E-B91F-4EDE-820C-F6B54DA31E6B}"/>
    <cellStyle name="Comma 107" xfId="653" xr:uid="{3460CEB0-88E1-4E9B-8F89-3593DFBB5389}"/>
    <cellStyle name="Comma 107 2" xfId="1148" xr:uid="{37DB957A-2128-4983-806D-844AACFB25D8}"/>
    <cellStyle name="Comma 108" xfId="655" xr:uid="{72C042A6-3035-4ADF-9588-D9C4CFE9D9E9}"/>
    <cellStyle name="Comma 108 2" xfId="1150" xr:uid="{DD4A3E68-EC4F-42EB-8A69-10757A3308EC}"/>
    <cellStyle name="Comma 108 2 2" xfId="14711" xr:uid="{586D0E94-18A6-4BE7-B578-9D06F83C4DEA}"/>
    <cellStyle name="Comma 108 3" xfId="8780" xr:uid="{E0C10EAF-CC1D-4307-996F-CDC5A8F3DAF2}"/>
    <cellStyle name="Comma 109" xfId="657" xr:uid="{C6ACCBF3-BF66-48E7-9F5C-04B2C180B429}"/>
    <cellStyle name="Comma 109 2" xfId="1152" xr:uid="{40564A3E-4D38-447F-9A66-36DFDCC595AA}"/>
    <cellStyle name="Comma 109 2 2" xfId="14715" xr:uid="{E1EDC41D-A983-4CA4-A6D0-08C0B152D5BE}"/>
    <cellStyle name="Comma 109 3" xfId="8784" xr:uid="{58EFDC12-1A64-4B57-A1B5-A92BB181F960}"/>
    <cellStyle name="Comma 11" xfId="454" xr:uid="{FA9DF6BD-B069-4E5C-8092-4AF706DFA948}"/>
    <cellStyle name="Comma 11 2" xfId="685" xr:uid="{EBCF4F45-D956-4AFA-BDEE-0AF9B9137306}"/>
    <cellStyle name="Comma 11 2 2" xfId="1179" xr:uid="{159F7B47-F59A-41FD-9602-7333B49E01BD}"/>
    <cellStyle name="Comma 11 2 2 2" xfId="8559" xr:uid="{A02365C9-01AB-4F36-98D0-568451670D92}"/>
    <cellStyle name="Comma 11 2 2 2 2" xfId="14637" xr:uid="{71439BCE-4B6D-4BCC-B5FF-30C717F6CECD}"/>
    <cellStyle name="Comma 11 2 2 3" xfId="14279" xr:uid="{C17DFCFB-6EEB-4AC8-8812-2F5B30BDBA68}"/>
    <cellStyle name="Comma 11 2 2 4" xfId="2345" xr:uid="{E058437B-8FF1-4C85-9353-3B56EAB34280}"/>
    <cellStyle name="Comma 11 2 3" xfId="2616" xr:uid="{1C514AA7-990C-4389-A7E7-121E4E0A731B}"/>
    <cellStyle name="Comma 11 2 3 2" xfId="14403" xr:uid="{D3488F46-2079-49EF-95DB-E234FC0812A2}"/>
    <cellStyle name="Comma 11 2 4" xfId="8374" xr:uid="{43265C3A-16AB-4654-A294-79E64F35369F}"/>
    <cellStyle name="Comma 11 2 4 2" xfId="14545" xr:uid="{CB6BF6C3-9731-46EC-8D93-02924BC17AAB}"/>
    <cellStyle name="Comma 11 2 5" xfId="14187" xr:uid="{3DF7BE19-FAB3-4D50-B5D5-268489D520ED}"/>
    <cellStyle name="Comma 11 2 6" xfId="2155" xr:uid="{604E5A12-B9B0-4FD9-8AF9-E7BA6DFC859E}"/>
    <cellStyle name="Comma 11 3" xfId="950" xr:uid="{1597623C-8255-4486-BD70-12231F0C453E}"/>
    <cellStyle name="Comma 11 3 2" xfId="8525" xr:uid="{398533E1-7263-400B-A5D5-BC728DA56137}"/>
    <cellStyle name="Comma 11 3 2 2" xfId="14607" xr:uid="{F9465649-993D-49A7-84FC-358505341FB5}"/>
    <cellStyle name="Comma 11 3 3" xfId="14249" xr:uid="{D2C8C265-4463-4093-9649-7F1C8A2A0EB6}"/>
    <cellStyle name="Comma 11 3 4" xfId="2311" xr:uid="{9AA3E871-9F9F-400D-B3D0-5FE97FC50C2D}"/>
    <cellStyle name="Comma 11 4" xfId="2586" xr:uid="{ADC8B95D-9EA5-41D3-8E01-913B68E449DB}"/>
    <cellStyle name="Comma 11 4 2" xfId="14373" xr:uid="{D91FEF78-65C1-4EC7-BC21-A85D655355E3}"/>
    <cellStyle name="Comma 11 5" xfId="8344" xr:uid="{EA1FA5EC-1A4E-4E1A-A1A1-16293568A5A1}"/>
    <cellStyle name="Comma 11 5 2" xfId="14515" xr:uid="{2AF4A870-2A47-44FC-B50B-05F0AA852433}"/>
    <cellStyle name="Comma 11 6" xfId="14157" xr:uid="{0E6B1A9A-3BC2-4488-961A-56237CA63331}"/>
    <cellStyle name="Comma 11 7" xfId="2110" xr:uid="{D99526BB-DD96-4516-944E-FF52EE238C1D}"/>
    <cellStyle name="Comma 110" xfId="659" xr:uid="{3C55A782-2988-41B2-98E1-5A4022B4DB0B}"/>
    <cellStyle name="Comma 110 2" xfId="1153" xr:uid="{2C695A16-7B5A-4428-8384-7F44A7AB0FF6}"/>
    <cellStyle name="Comma 110 2 2" xfId="14717" xr:uid="{B08DA232-2A74-442A-B9FB-F7ADBA7DA990}"/>
    <cellStyle name="Comma 110 3" xfId="8786" xr:uid="{824D1F7C-A0CA-4690-A28E-3B127C2B94AD}"/>
    <cellStyle name="Comma 111" xfId="661" xr:uid="{AA130FA1-3711-4288-8581-BC94C8C377EC}"/>
    <cellStyle name="Comma 111 2" xfId="1155" xr:uid="{9B3FDDEA-4E4F-469D-8A07-A0946D26A9B6}"/>
    <cellStyle name="Comma 111 2 2" xfId="14719" xr:uid="{DD157CC8-5C6F-4408-A5B2-B86F40B5869F}"/>
    <cellStyle name="Comma 111 3" xfId="8788" xr:uid="{007A1065-26D1-457F-8E98-BB29B3AD1F92}"/>
    <cellStyle name="Comma 112" xfId="703" xr:uid="{FC4C57D6-5CFD-405D-B043-43F3656F52D8}"/>
    <cellStyle name="Comma 112 2" xfId="1197" xr:uid="{5FFF6548-C70F-4CE9-94BC-7D597179C8B4}"/>
    <cellStyle name="Comma 112 2 2" xfId="14721" xr:uid="{57A58260-BFE2-4343-8E1F-78AC9C551060}"/>
    <cellStyle name="Comma 112 3" xfId="8790" xr:uid="{052E20E7-E86C-4210-BA75-888F2A19E168}"/>
    <cellStyle name="Comma 113" xfId="705" xr:uid="{365C9407-4E1E-4326-BDAF-ACB734743BFF}"/>
    <cellStyle name="Comma 113 2" xfId="1199" xr:uid="{0B19A443-0845-474E-BB62-FC7C1F1236F6}"/>
    <cellStyle name="Comma 113 2 2" xfId="14723" xr:uid="{F3796F37-ED98-47B0-9128-87FE1CED89BD}"/>
    <cellStyle name="Comma 113 3" xfId="8792" xr:uid="{FBACC2AF-DE94-4D01-93BD-C004179346A0}"/>
    <cellStyle name="Comma 114" xfId="707" xr:uid="{45325322-FEAE-4744-B215-E52200661B1D}"/>
    <cellStyle name="Comma 114 2" xfId="1201" xr:uid="{082E6795-A310-4AE8-92BD-408776F2C6D7}"/>
    <cellStyle name="Comma 114 2 2" xfId="14725" xr:uid="{56A56A8F-E5D9-4AC0-B911-8C4FDA75CDE9}"/>
    <cellStyle name="Comma 114 3" xfId="8794" xr:uid="{8917CDC2-54F0-4707-978B-982305ADB5CF}"/>
    <cellStyle name="Comma 115" xfId="710" xr:uid="{05915820-11AA-4E14-89F1-38365956DBD7}"/>
    <cellStyle name="Comma 115 2" xfId="1204" xr:uid="{9335713A-7A53-40C9-9ABB-3AF09CEED064}"/>
    <cellStyle name="Comma 115 2 2" xfId="14727" xr:uid="{528715F5-6448-42BB-A1CE-F409929E7E39}"/>
    <cellStyle name="Comma 115 3" xfId="8796" xr:uid="{62198BC9-0E41-449B-B25B-291EBF5888DA}"/>
    <cellStyle name="Comma 116" xfId="714" xr:uid="{7E63A265-8EC3-4247-8F75-691FDB535CB8}"/>
    <cellStyle name="Comma 116 2" xfId="1208" xr:uid="{21497792-FE5E-4D13-8BC2-5E73ABFE7BBA}"/>
    <cellStyle name="Comma 116 2 2" xfId="14728" xr:uid="{E882281F-FE91-48D8-BDD5-76050FDDFF89}"/>
    <cellStyle name="Comma 116 3" xfId="8797" xr:uid="{95E072CC-2E97-4B31-8E4F-A6B6AFD0B3CE}"/>
    <cellStyle name="Comma 117" xfId="716" xr:uid="{8C23EB99-DBC3-4B52-B70C-5DF7A982EDF3}"/>
    <cellStyle name="Comma 117 2" xfId="1210" xr:uid="{D3FBAFBE-3B60-4252-B469-884D1459644A}"/>
    <cellStyle name="Comma 117 2 2" xfId="14731" xr:uid="{2D777D41-4560-4E4C-A22A-99D571B2904B}"/>
    <cellStyle name="Comma 117 3" xfId="8800" xr:uid="{725DE998-811F-48E9-B20D-BF2E55DE9915}"/>
    <cellStyle name="Comma 118" xfId="718" xr:uid="{9395DC40-0875-4A0A-83B9-CF859BA50F67}"/>
    <cellStyle name="Comma 118 2" xfId="1212" xr:uid="{A6742E66-095C-4682-99E2-F9C00962D3A6}"/>
    <cellStyle name="Comma 118 2 2" xfId="14735" xr:uid="{30461DEE-9441-4460-9317-47817EB709F7}"/>
    <cellStyle name="Comma 118 3" xfId="8804" xr:uid="{59FF05B7-A124-4C8C-8175-2382CDB2E11B}"/>
    <cellStyle name="Comma 119" xfId="720" xr:uid="{BD8E18CC-43F0-4AE8-8A6C-54A8009378D7}"/>
    <cellStyle name="Comma 119 2" xfId="1214" xr:uid="{AD2400F0-F251-4E6D-8430-8D3C5DC49060}"/>
    <cellStyle name="Comma 119 2 2" xfId="14736" xr:uid="{D3BC7ED7-21BE-4CA7-A8AE-A177DAC52A8B}"/>
    <cellStyle name="Comma 119 3" xfId="8805" xr:uid="{D4FAF704-B109-4313-A744-B728D645D0B1}"/>
    <cellStyle name="Comma 12" xfId="456" xr:uid="{59C9AD8F-B40A-4AA9-BDA2-958AE388E9C8}"/>
    <cellStyle name="Comma 12 2" xfId="687" xr:uid="{9061B8F7-A786-40EE-9063-D350AB0A001E}"/>
    <cellStyle name="Comma 12 2 2" xfId="1181" xr:uid="{FAF352E3-1B24-4C3C-B9DC-F6E7C260E294}"/>
    <cellStyle name="Comma 12 2 2 2" xfId="8561" xr:uid="{58127341-A7AF-4E87-9E37-4A23790E9B59}"/>
    <cellStyle name="Comma 12 2 2 2 2" xfId="14639" xr:uid="{D8929C19-DFEE-4863-8C6D-3959B4C30897}"/>
    <cellStyle name="Comma 12 2 2 3" xfId="14281" xr:uid="{19665152-524E-40AF-BBF9-672235136752}"/>
    <cellStyle name="Comma 12 2 2 4" xfId="2347" xr:uid="{8D8801F8-4F42-43AF-A405-46ED15911D3B}"/>
    <cellStyle name="Comma 12 2 3" xfId="2618" xr:uid="{73C5A08E-60CF-4F0C-A96B-9B27905A1922}"/>
    <cellStyle name="Comma 12 2 3 2" xfId="14405" xr:uid="{A0E1AD53-ECC0-4EA0-AA29-AE2822425719}"/>
    <cellStyle name="Comma 12 2 4" xfId="8376" xr:uid="{AE614813-7115-45D7-9EA4-051525A46BB9}"/>
    <cellStyle name="Comma 12 2 4 2" xfId="14547" xr:uid="{3B5EBD07-3E7B-4457-A0C1-407DCBD7943B}"/>
    <cellStyle name="Comma 12 2 5" xfId="14189" xr:uid="{8CED030D-CB07-4C41-B87B-AC8703430FDD}"/>
    <cellStyle name="Comma 12 2 6" xfId="2157" xr:uid="{1CAA92BA-F0DA-42FB-B1A0-58FAF6F8EED1}"/>
    <cellStyle name="Comma 12 3" xfId="952" xr:uid="{8BCD0D50-582E-4872-A369-485E7B52F63A}"/>
    <cellStyle name="Comma 12 3 2" xfId="8527" xr:uid="{28647CF1-58A3-4CE6-A1B1-9971A956C30F}"/>
    <cellStyle name="Comma 12 3 2 2" xfId="14609" xr:uid="{93901520-2844-4DE3-81F9-3A5924F599FC}"/>
    <cellStyle name="Comma 12 3 3" xfId="14251" xr:uid="{C63FA304-13CF-4832-9301-3641D37C1B23}"/>
    <cellStyle name="Comma 12 3 4" xfId="2313" xr:uid="{97FD07A5-9D4D-4574-9162-690D7F13BF02}"/>
    <cellStyle name="Comma 12 4" xfId="2588" xr:uid="{8833E599-2A1D-4A2A-9194-579638ABE554}"/>
    <cellStyle name="Comma 12 4 2" xfId="14375" xr:uid="{F9407AFD-48EF-4529-868B-0AE215E87AD1}"/>
    <cellStyle name="Comma 12 5" xfId="8346" xr:uid="{19BC6B22-2A7E-4E3F-820E-3A88FAD7B2AD}"/>
    <cellStyle name="Comma 12 5 2" xfId="14517" xr:uid="{ACD8424F-E6AF-4D7C-990B-50B2709528DF}"/>
    <cellStyle name="Comma 12 6" xfId="14159" xr:uid="{0996492D-B1CE-4F25-B991-81FC31D1ACD7}"/>
    <cellStyle name="Comma 12 7" xfId="2112" xr:uid="{66D70DFD-5B53-41C6-AE1E-824700F08B3C}"/>
    <cellStyle name="Comma 120" xfId="722" xr:uid="{74326080-1758-4BCF-BE24-3F89EC1901B3}"/>
    <cellStyle name="Comma 120 2" xfId="1216" xr:uid="{9531C04D-C9EF-4E45-8C83-F6313EDC07AC}"/>
    <cellStyle name="Comma 120 2 2" xfId="14739" xr:uid="{90E3936A-76A9-4C0A-BC66-AD5501CFBEB1}"/>
    <cellStyle name="Comma 120 3" xfId="8808" xr:uid="{18A87411-71A4-4792-A0C1-8B2CBBC72BCE}"/>
    <cellStyle name="Comma 121" xfId="724" xr:uid="{75B692AD-3402-49EE-A78F-88AA8F468896}"/>
    <cellStyle name="Comma 121 2" xfId="1218" xr:uid="{8A2A70C5-7B31-43CC-AA57-E591A91EBECF}"/>
    <cellStyle name="Comma 121 2 2" xfId="14741" xr:uid="{86006A28-9C2C-4AED-9C6F-A9BA8F175662}"/>
    <cellStyle name="Comma 121 3" xfId="8810" xr:uid="{0D9C729B-518F-4589-9F7F-3D83F1EF0E8E}"/>
    <cellStyle name="Comma 122" xfId="726" xr:uid="{A23F7F0F-411D-4066-BA85-B9003C60F4EF}"/>
    <cellStyle name="Comma 122 2" xfId="1220" xr:uid="{3801EF63-4336-4F8E-A1B1-B3407ECD6397}"/>
    <cellStyle name="Comma 122 2 2" xfId="14743" xr:uid="{20C3C141-DEAE-4EF7-8104-13073B980D5E}"/>
    <cellStyle name="Comma 122 3" xfId="8812" xr:uid="{A74A923A-BF2F-4196-91FD-7C558462D72B}"/>
    <cellStyle name="Comma 123" xfId="728" xr:uid="{216BA6B0-4069-44AA-89ED-77B203170B20}"/>
    <cellStyle name="Comma 123 2" xfId="1222" xr:uid="{9F73D9E6-351D-4222-916F-EBCFF553873E}"/>
    <cellStyle name="Comma 123 2 2" xfId="14745" xr:uid="{DAE1E172-C0FF-46AB-9B6A-A6A6FF2AD775}"/>
    <cellStyle name="Comma 123 3" xfId="8814" xr:uid="{884D6D88-9C81-4ADF-AAF1-54DB2492C177}"/>
    <cellStyle name="Comma 124" xfId="730" xr:uid="{6E80117F-7023-4352-8436-E4CB565E2919}"/>
    <cellStyle name="Comma 124 2" xfId="1224" xr:uid="{FF524932-8FC6-4646-91D9-CDBDBE551B27}"/>
    <cellStyle name="Comma 124 2 2" xfId="14746" xr:uid="{852C5BCD-4CFA-4EE5-925A-6F45CA2314E8}"/>
    <cellStyle name="Comma 124 3" xfId="8815" xr:uid="{D229AF4B-7E64-4021-B236-D13BF56C5498}"/>
    <cellStyle name="Comma 125" xfId="732" xr:uid="{DEE42030-491C-40D6-8E42-72CE2E460353}"/>
    <cellStyle name="Comma 125 2" xfId="1226" xr:uid="{2827D9DE-BB4F-447D-867E-A0A0B37CB62E}"/>
    <cellStyle name="Comma 125 2 2" xfId="14749" xr:uid="{4BF8A5CB-DA14-407F-AEA7-02DFA659CC0D}"/>
    <cellStyle name="Comma 125 3" xfId="8818" xr:uid="{A303C31D-6B9E-4786-9EB3-B141C1BFB1E5}"/>
    <cellStyle name="Comma 126" xfId="734" xr:uid="{5DFCADB7-0687-4132-B413-C1D3C09BE24F}"/>
    <cellStyle name="Comma 126 2" xfId="1228" xr:uid="{8D666221-5ABF-4064-B5F5-453302997B8A}"/>
    <cellStyle name="Comma 126 2 2" xfId="14753" xr:uid="{92BB95FC-A850-4849-A00C-5474B07CB1F2}"/>
    <cellStyle name="Comma 126 3" xfId="8822" xr:uid="{294F5835-91DC-419C-911B-8D5197883176}"/>
    <cellStyle name="Comma 127" xfId="736" xr:uid="{156261B9-739C-4005-BABC-FB238EC4E9EB}"/>
    <cellStyle name="Comma 127 2" xfId="1230" xr:uid="{097A9B1A-DC81-47DB-8EFE-47A74ACBE7DD}"/>
    <cellStyle name="Comma 127 2 2" xfId="14755" xr:uid="{D26E6AC4-DE4C-4CBC-B4E5-8B7286B44D2E}"/>
    <cellStyle name="Comma 127 3" xfId="8824" xr:uid="{DA09832A-42E3-452E-A65B-24663004A89B}"/>
    <cellStyle name="Comma 128" xfId="738" xr:uid="{328B68D3-73D1-4547-8CF9-757671D6C852}"/>
    <cellStyle name="Comma 128 2" xfId="1232" xr:uid="{051C9553-D1E9-47E1-A997-0A9FCCF38E4C}"/>
    <cellStyle name="Comma 128 2 2" xfId="14756" xr:uid="{489AA01E-FECA-4954-9803-AF821706ECD8}"/>
    <cellStyle name="Comma 128 3" xfId="8825" xr:uid="{B577B97A-7C6C-45D3-BB44-D990C43BCD3C}"/>
    <cellStyle name="Comma 129" xfId="740" xr:uid="{CC9B3FBC-CB4C-4A49-9BC7-79D785A31AA2}"/>
    <cellStyle name="Comma 129 2" xfId="1234" xr:uid="{633F0241-D919-483B-85DA-0E2A5FEB122E}"/>
    <cellStyle name="Comma 13" xfId="458" xr:uid="{79CAEF5B-9CB2-429A-B976-AE98E6E474C6}"/>
    <cellStyle name="Comma 13 2" xfId="689" xr:uid="{64D3A2D2-BDD3-4EE7-A413-381BC70ED68E}"/>
    <cellStyle name="Comma 13 2 2" xfId="1183" xr:uid="{646D9743-EE36-4E42-A583-A71D0A2BB96C}"/>
    <cellStyle name="Comma 13 2 2 2" xfId="8563" xr:uid="{462B0B7A-31F3-44D0-8D20-D65F61C4B4F6}"/>
    <cellStyle name="Comma 13 2 2 2 2" xfId="14641" xr:uid="{F3AD5DD2-6562-44C3-907D-1A1C228D8FE7}"/>
    <cellStyle name="Comma 13 2 2 3" xfId="14283" xr:uid="{BD6C1CBC-B752-40EA-973E-8A29641E4504}"/>
    <cellStyle name="Comma 13 2 2 4" xfId="2349" xr:uid="{7409D687-3709-43D0-82AD-ADF2DBB2FF5B}"/>
    <cellStyle name="Comma 13 2 3" xfId="2620" xr:uid="{5F810885-341F-490C-A201-89E1D05F7BE1}"/>
    <cellStyle name="Comma 13 2 3 2" xfId="14407" xr:uid="{517A6B31-3D0B-4F13-A048-5A17ADDDCAC5}"/>
    <cellStyle name="Comma 13 2 4" xfId="8378" xr:uid="{99343A90-8C4B-4E82-86C2-D9970407E6B8}"/>
    <cellStyle name="Comma 13 2 4 2" xfId="14549" xr:uid="{0C463225-AF4F-44D8-9987-0DCC9E39309D}"/>
    <cellStyle name="Comma 13 2 5" xfId="14191" xr:uid="{3469FD04-5D16-4137-91D5-2F2DEE02ADE4}"/>
    <cellStyle name="Comma 13 2 6" xfId="2159" xr:uid="{04821201-962D-4696-B89C-0DEB6430472D}"/>
    <cellStyle name="Comma 13 3" xfId="954" xr:uid="{864A4639-A284-420E-A537-C43194BE8AF7}"/>
    <cellStyle name="Comma 13 3 2" xfId="8529" xr:uid="{533094C1-8A12-44AC-88F0-8919A71E69E7}"/>
    <cellStyle name="Comma 13 3 2 2" xfId="14611" xr:uid="{E30554C1-8EEB-499E-B743-FF1129551CCA}"/>
    <cellStyle name="Comma 13 3 3" xfId="14253" xr:uid="{DC511383-F459-4E7C-9504-B7A2B992446C}"/>
    <cellStyle name="Comma 13 3 4" xfId="2315" xr:uid="{C282E4D1-E2B8-4573-B216-4F4B977F8A16}"/>
    <cellStyle name="Comma 13 4" xfId="2590" xr:uid="{79A74C53-22C3-4B53-939B-7016CB60F0DF}"/>
    <cellStyle name="Comma 13 4 2" xfId="14377" xr:uid="{ABEB15EB-2C62-43C6-97F9-85A05190967D}"/>
    <cellStyle name="Comma 13 5" xfId="8348" xr:uid="{FF14BD47-265B-4572-94D6-F4A3DDD26B6F}"/>
    <cellStyle name="Comma 13 5 2" xfId="14519" xr:uid="{A0B9A434-9F55-4349-8040-D6ED5646BA14}"/>
    <cellStyle name="Comma 13 6" xfId="14161" xr:uid="{90D1EFC6-67F1-4E6C-9894-7EB713561F8A}"/>
    <cellStyle name="Comma 13 7" xfId="2114" xr:uid="{B6E36CBF-036F-4DA7-B0F9-CADAA8DFE874}"/>
    <cellStyle name="Comma 130" xfId="742" xr:uid="{8B00B9D9-B7CD-4095-B5F3-8DEDE4F04D93}"/>
    <cellStyle name="Comma 130 2" xfId="1236" xr:uid="{2CA95D76-0555-4430-B8D9-CA90A5E3093A}"/>
    <cellStyle name="Comma 131" xfId="744" xr:uid="{91C09793-AFC3-4376-91C3-D0CE207E3BFD}"/>
    <cellStyle name="Comma 131 2" xfId="1238" xr:uid="{5AB044BC-9AEA-4D2E-93B2-C99C147B4DCC}"/>
    <cellStyle name="Comma 132" xfId="746" xr:uid="{07B6EB45-4180-4127-8823-AF8798214D1E}"/>
    <cellStyle name="Comma 132 2" xfId="1240" xr:uid="{EC10F59B-0E72-4210-B261-3BFA52E86AB9}"/>
    <cellStyle name="Comma 133" xfId="748" xr:uid="{D3E3A149-9F59-4670-B272-E898BCFDCFBB}"/>
    <cellStyle name="Comma 133 2" xfId="1242" xr:uid="{DE12AEAE-BD68-42B7-B0E5-3A9BADF3C646}"/>
    <cellStyle name="Comma 134" xfId="750" xr:uid="{479D68A6-37DE-42E3-99C5-1E7FD9C13B04}"/>
    <cellStyle name="Comma 134 2" xfId="1244" xr:uid="{95D226B5-170E-43A4-9505-9F74686C9EE1}"/>
    <cellStyle name="Comma 135" xfId="752" xr:uid="{082A7901-7F16-4FDC-A101-826B3B9F0AC4}"/>
    <cellStyle name="Comma 135 2" xfId="1246" xr:uid="{C81A3F64-B75E-42C0-900C-C791CE578112}"/>
    <cellStyle name="Comma 136" xfId="754" xr:uid="{1485D0BC-F6C7-4072-8FD5-D27EA56D4E71}"/>
    <cellStyle name="Comma 136 2" xfId="1248" xr:uid="{1938E675-667C-4A5D-B27D-5773DCE3F4AC}"/>
    <cellStyle name="Comma 137" xfId="755" xr:uid="{018E001E-47E7-4C11-A7A8-B39806F2BDE6}"/>
    <cellStyle name="Comma 137 2" xfId="1249" xr:uid="{25C984F6-4491-4CC3-A419-1BF556632F10}"/>
    <cellStyle name="Comma 138" xfId="758" xr:uid="{97FBC48E-7917-428D-9E2F-B08EF4276313}"/>
    <cellStyle name="Comma 138 2" xfId="1252" xr:uid="{373B9A98-BDE6-4FF6-BF87-948350CDBDD2}"/>
    <cellStyle name="Comma 139" xfId="760" xr:uid="{CAE6499F-EB26-4351-A75A-AB678E9EF81B}"/>
    <cellStyle name="Comma 139 2" xfId="1254" xr:uid="{2BF0BD3F-EA08-4759-826B-2567EBED51B3}"/>
    <cellStyle name="Comma 14" xfId="460" xr:uid="{00CD9019-6EF6-4AA3-802B-DB8FED7BB992}"/>
    <cellStyle name="Comma 14 2" xfId="691" xr:uid="{DE8C8C73-06CE-481E-829F-0C79C694B35C}"/>
    <cellStyle name="Comma 14 2 2" xfId="1185" xr:uid="{77315EDD-8EC4-4020-AE6B-9A17FBF2AC09}"/>
    <cellStyle name="Comma 14 2 2 2" xfId="8565" xr:uid="{917EB90F-3C8B-4EA4-94EB-293500267890}"/>
    <cellStyle name="Comma 14 2 2 2 2" xfId="14643" xr:uid="{B5F87AA1-FB88-469B-984F-5658167BCAC6}"/>
    <cellStyle name="Comma 14 2 2 3" xfId="14285" xr:uid="{10AD3C70-F3C7-4328-8831-64FE8558D98D}"/>
    <cellStyle name="Comma 14 2 2 4" xfId="2351" xr:uid="{E169081C-109F-4343-A03D-B32935310E19}"/>
    <cellStyle name="Comma 14 2 3" xfId="2622" xr:uid="{2BD24AA1-08FB-4F07-9DC7-D09CEFC4DA13}"/>
    <cellStyle name="Comma 14 2 3 2" xfId="14409" xr:uid="{3B93B869-2466-4E13-B61E-E35370F9FAB8}"/>
    <cellStyle name="Comma 14 2 4" xfId="8380" xr:uid="{8E7DAA96-6652-4B0F-B066-3B4670FF5908}"/>
    <cellStyle name="Comma 14 2 4 2" xfId="14551" xr:uid="{D7EEB5EA-E2CE-4CA1-8A71-FAEE89064119}"/>
    <cellStyle name="Comma 14 2 5" xfId="14193" xr:uid="{E0B385CA-09C2-49BC-8A0B-D8C5662AE86D}"/>
    <cellStyle name="Comma 14 2 6" xfId="2161" xr:uid="{24EADDAA-06B3-4AAF-AEFB-6046A47FA217}"/>
    <cellStyle name="Comma 14 3" xfId="956" xr:uid="{C96A9352-7AE8-4AC1-A5F3-B91AFF46BAE8}"/>
    <cellStyle name="Comma 14 3 2" xfId="8531" xr:uid="{2EE2E9F2-109A-4936-8F2C-85A6ABAF257D}"/>
    <cellStyle name="Comma 14 3 2 2" xfId="14613" xr:uid="{7229C2C7-6A45-4D34-BB5A-2D82F0E7F7EB}"/>
    <cellStyle name="Comma 14 3 3" xfId="14255" xr:uid="{5243CBAD-3356-4BB9-BC52-56674D35561B}"/>
    <cellStyle name="Comma 14 3 4" xfId="2317" xr:uid="{A6441B41-4DAF-4B1D-84C7-7332989E6CBA}"/>
    <cellStyle name="Comma 14 4" xfId="2592" xr:uid="{46A55294-B84E-4A08-8116-9FD07B688EF2}"/>
    <cellStyle name="Comma 14 4 2" xfId="14379" xr:uid="{F5AB4BD8-D282-49DE-B4F4-33579F3A59EA}"/>
    <cellStyle name="Comma 14 5" xfId="8350" xr:uid="{3F58E2A9-42A3-44D8-9DFD-D118EB163B93}"/>
    <cellStyle name="Comma 14 5 2" xfId="14521" xr:uid="{EB91F769-372D-428E-90A4-254AF55B152D}"/>
    <cellStyle name="Comma 14 6" xfId="14163" xr:uid="{11C53B7A-F3E5-4C87-B8E6-0E3336D5763A}"/>
    <cellStyle name="Comma 14 7" xfId="2116" xr:uid="{0248B195-F68C-4A11-8A36-14D908205377}"/>
    <cellStyle name="Comma 140" xfId="762" xr:uid="{A857A630-7278-4EE1-9C92-A1683C96F516}"/>
    <cellStyle name="Comma 140 2" xfId="1256" xr:uid="{0ADE38BF-985F-43B1-92C0-7AF29E1FBC59}"/>
    <cellStyle name="Comma 141" xfId="764" xr:uid="{A3CEE403-E911-4E27-B15A-05FE38A2F0FF}"/>
    <cellStyle name="Comma 141 2" xfId="1258" xr:uid="{27A8CB1F-5846-4A46-805D-ED63024DDBEC}"/>
    <cellStyle name="Comma 142" xfId="766" xr:uid="{3B66F774-D37A-4529-A2B5-16BD2FD398EB}"/>
    <cellStyle name="Comma 142 2" xfId="1260" xr:uid="{28C67653-73EE-43B3-8219-DD488FB1DEFC}"/>
    <cellStyle name="Comma 143" xfId="768" xr:uid="{50623476-2AA5-4382-8738-A12878DC83B1}"/>
    <cellStyle name="Comma 143 2" xfId="1262" xr:uid="{A7354717-FAA1-49DF-A6AE-259C54087BB3}"/>
    <cellStyle name="Comma 144" xfId="770" xr:uid="{0BA938A5-AD1E-477B-94A3-4E0D19880A11}"/>
    <cellStyle name="Comma 144 2" xfId="1264" xr:uid="{0098EEC2-D875-413D-9164-E43AF31E1271}"/>
    <cellStyle name="Comma 145" xfId="772" xr:uid="{E37E592C-73EC-4111-832C-332CEA2A9486}"/>
    <cellStyle name="Comma 145 2" xfId="1266" xr:uid="{5BC66A1E-80CB-492E-9416-D3295819AEA3}"/>
    <cellStyle name="Comma 146" xfId="774" xr:uid="{4BBCD84A-3204-4D6F-A67F-316FAD68C612}"/>
    <cellStyle name="Comma 146 2" xfId="1268" xr:uid="{AA6608FC-CD1C-42AA-9601-F46447D5A050}"/>
    <cellStyle name="Comma 147" xfId="776" xr:uid="{8ED540F9-8B00-42DD-BADD-34D0DC0E3A49}"/>
    <cellStyle name="Comma 147 2" xfId="1270" xr:uid="{D52611AC-0467-4A3E-BCED-8F3AE11C4C33}"/>
    <cellStyle name="Comma 148" xfId="778" xr:uid="{2333FCFE-2EE9-4522-B18A-F7EDF94FBB9C}"/>
    <cellStyle name="Comma 148 2" xfId="1272" xr:uid="{D29EF1AB-D5E1-4B55-B1BC-F6F45A53F7BA}"/>
    <cellStyle name="Comma 149" xfId="780" xr:uid="{99BC8525-00F1-4962-8B9B-8486F03880A5}"/>
    <cellStyle name="Comma 149 2" xfId="1274" xr:uid="{FC71F717-76D1-441D-8533-C141BB8CEC82}"/>
    <cellStyle name="Comma 15" xfId="462" xr:uid="{368CED74-C70D-4ECA-9110-093DD670F398}"/>
    <cellStyle name="Comma 15 2" xfId="693" xr:uid="{F3B4DD1B-E038-404E-A0E6-FE354C232A13}"/>
    <cellStyle name="Comma 15 2 2" xfId="1187" xr:uid="{40793F08-0629-4D5F-A5BB-E605AFF40524}"/>
    <cellStyle name="Comma 15 2 2 2" xfId="8566" xr:uid="{48A221A4-1B2B-4389-9402-B75BF6C7EF8F}"/>
    <cellStyle name="Comma 15 2 2 2 2" xfId="14644" xr:uid="{1D93D3E5-03C2-478D-9A8D-564C15CB3765}"/>
    <cellStyle name="Comma 15 2 2 3" xfId="14286" xr:uid="{61E9F895-4893-4090-B472-95639C457AEA}"/>
    <cellStyle name="Comma 15 2 2 4" xfId="2352" xr:uid="{0D4E2E55-BA0B-4638-BD49-EE174165FC76}"/>
    <cellStyle name="Comma 15 2 3" xfId="2623" xr:uid="{5E3ACFC7-4E2A-46CB-8DBF-1BDE9029F3C4}"/>
    <cellStyle name="Comma 15 2 3 2" xfId="14410" xr:uid="{179374D3-80E6-4E0F-921E-D705203B2CFE}"/>
    <cellStyle name="Comma 15 2 4" xfId="8381" xr:uid="{22F67B64-A768-484D-AA74-3C6AAECFEA44}"/>
    <cellStyle name="Comma 15 2 4 2" xfId="14552" xr:uid="{9D993088-C814-4BBE-B316-948BB0177C2B}"/>
    <cellStyle name="Comma 15 2 5" xfId="14194" xr:uid="{BF32A52B-3964-41EF-BF99-C583E4BFCAEF}"/>
    <cellStyle name="Comma 15 2 6" xfId="2162" xr:uid="{34E6F56B-2B75-458C-B721-016BBC7E6AD9}"/>
    <cellStyle name="Comma 15 3" xfId="958" xr:uid="{E9206AC7-4621-4CEF-80C0-E0077DB577A9}"/>
    <cellStyle name="Comma 15 3 2" xfId="8532" xr:uid="{DE45305A-DD12-4542-BA05-EFA3F5606044}"/>
    <cellStyle name="Comma 15 3 2 2" xfId="14614" xr:uid="{71A8D312-3BA6-44ED-B2BE-77BEC1996EC7}"/>
    <cellStyle name="Comma 15 3 3" xfId="14256" xr:uid="{2602FA1D-C9BD-4580-8D3C-881CB76E31CD}"/>
    <cellStyle name="Comma 15 3 4" xfId="2318" xr:uid="{B34F7BD5-6C32-4F13-8178-AD9F6F115DA6}"/>
    <cellStyle name="Comma 15 4" xfId="2593" xr:uid="{77235233-3C77-4497-A03A-8656786782C4}"/>
    <cellStyle name="Comma 15 4 2" xfId="14380" xr:uid="{253F1C7A-7BF9-4BEB-828C-394B91C86EDA}"/>
    <cellStyle name="Comma 15 5" xfId="8351" xr:uid="{D712CE40-690A-4527-942E-1DF14961E25D}"/>
    <cellStyle name="Comma 15 5 2" xfId="14522" xr:uid="{C4BF0CB7-58A4-4B83-8820-294297585AEC}"/>
    <cellStyle name="Comma 15 6" xfId="14164" xr:uid="{DD8D42E0-C5E7-4A1C-B96A-94CAD334E023}"/>
    <cellStyle name="Comma 15 7" xfId="2117" xr:uid="{8D8CCB9B-AC02-4120-A43D-C5B5EDAF5CD3}"/>
    <cellStyle name="Comma 150" xfId="782" xr:uid="{8E90B141-80FB-43B8-90E3-FB39DE400A8D}"/>
    <cellStyle name="Comma 150 2" xfId="1276" xr:uid="{BE240061-DB3B-48C5-8F47-FC110B3A936A}"/>
    <cellStyle name="Comma 151" xfId="784" xr:uid="{D8E2AC89-804F-4D75-9693-ED1F652553DA}"/>
    <cellStyle name="Comma 151 2" xfId="1278" xr:uid="{37F1D204-1857-4F92-916E-D5BDD6D35DD9}"/>
    <cellStyle name="Comma 152" xfId="786" xr:uid="{2605C8E3-7A38-4122-A628-A74597AD2F4F}"/>
    <cellStyle name="Comma 152 2" xfId="1280" xr:uid="{3701D1FD-EB2A-42AC-8B73-BDD331A24FFE}"/>
    <cellStyle name="Comma 153" xfId="788" xr:uid="{B615D136-BD25-44BB-B708-6FA85E7AF5CC}"/>
    <cellStyle name="Comma 153 2" xfId="1282" xr:uid="{E3369885-55A1-4695-90EE-A622A5AE7907}"/>
    <cellStyle name="Comma 154" xfId="790" xr:uid="{2A5FA4CE-8A64-48E4-A308-27C3C02671B6}"/>
    <cellStyle name="Comma 154 2" xfId="1284" xr:uid="{A06682F0-C8B7-4A45-9CDE-C41FE6AE34DB}"/>
    <cellStyle name="Comma 155" xfId="792" xr:uid="{87AFC058-503B-4CE7-AD13-38776F848D62}"/>
    <cellStyle name="Comma 155 2" xfId="1286" xr:uid="{B44FA741-1480-44B3-A327-7B02EA45C062}"/>
    <cellStyle name="Comma 156" xfId="794" xr:uid="{D566BB75-7CAA-427D-8AF0-7E5C60313C21}"/>
    <cellStyle name="Comma 156 2" xfId="1288" xr:uid="{250CC784-170A-4E6E-B4AF-363F433E0F35}"/>
    <cellStyle name="Comma 157" xfId="796" xr:uid="{1699E2A3-CFD4-4D6D-901B-E625EC317C29}"/>
    <cellStyle name="Comma 157 2" xfId="1290" xr:uid="{D28315C7-00E1-4E8A-9EF2-5F040A863FA5}"/>
    <cellStyle name="Comma 158" xfId="798" xr:uid="{1077F2DE-64ED-4443-81F3-DED23DFE8941}"/>
    <cellStyle name="Comma 158 2" xfId="1292" xr:uid="{DBFF5E30-F8DC-4A2B-8245-66B859FE6AA1}"/>
    <cellStyle name="Comma 159" xfId="799" xr:uid="{56B1706F-F601-4C7A-86F2-0FE4F6A4A797}"/>
    <cellStyle name="Comma 159 2" xfId="1293" xr:uid="{F5E15322-B705-45DD-82AF-0139CAB0C8D0}"/>
    <cellStyle name="Comma 16" xfId="463" xr:uid="{F43F172E-7D06-4560-B7E3-7ECA1D6E3A2B}"/>
    <cellStyle name="Comma 16 2" xfId="695" xr:uid="{643BF70E-09B5-4E25-BCED-70EB8F02BA7D}"/>
    <cellStyle name="Comma 16 2 2" xfId="1189" xr:uid="{BD23C8CA-5B62-4CC5-8F08-CFC86C8D013E}"/>
    <cellStyle name="Comma 16 2 2 2" xfId="3836" xr:uid="{F4FC6829-9436-43ED-AE37-63C7D9549E0C}"/>
    <cellStyle name="Comma 16 2 2 2 2" xfId="15191" xr:uid="{D9D5F7B1-43A7-4E1D-AADE-CC203D8937ED}"/>
    <cellStyle name="Comma 16 2 2 3" xfId="6807" xr:uid="{393AE029-509B-4C61-BE95-9BC99F14FAD7}"/>
    <cellStyle name="Comma 16 2 2 3 2" xfId="15586" xr:uid="{1A4A1343-F6AA-45F2-8257-02602E3F6D05}"/>
    <cellStyle name="Comma 16 2 2 4" xfId="14935" xr:uid="{816EE6A2-E856-4B5B-B99F-1BFE322068B6}"/>
    <cellStyle name="Comma 16 2 3" xfId="3356" xr:uid="{C390AF1D-733B-4B43-BC6D-E5AF8D103183}"/>
    <cellStyle name="Comma 16 2 3 2" xfId="15067" xr:uid="{464031BA-8709-482C-9D74-795498202578}"/>
    <cellStyle name="Comma 16 2 4" xfId="4523" xr:uid="{2FB401D7-0690-4F80-880C-9AA845593E99}"/>
    <cellStyle name="Comma 16 2 4 2" xfId="15325" xr:uid="{E5C59087-C698-4605-89B2-435C4510C8E1}"/>
    <cellStyle name="Comma 16 2 5" xfId="5458" xr:uid="{D08F1CB9-9381-4359-B7E1-FFD7F0D3B730}"/>
    <cellStyle name="Comma 16 2 5 2" xfId="15442" xr:uid="{ACA9D41B-F784-461D-8EDE-2D1D3EEA3EA8}"/>
    <cellStyle name="Comma 16 2 6" xfId="14811" xr:uid="{E225B4E7-7E72-4367-98D4-DF8781964A0E}"/>
    <cellStyle name="Comma 16 3" xfId="959" xr:uid="{B9784F25-F345-4539-AC9C-8173A68B356C}"/>
    <cellStyle name="Comma 16 3 2" xfId="3728" xr:uid="{A9EFEBA8-7A06-4435-B8CF-62C58B224034}"/>
    <cellStyle name="Comma 16 3 2 2" xfId="15141" xr:uid="{5333E9B9-8A1E-4BB6-B5E8-532901AE4A62}"/>
    <cellStyle name="Comma 16 3 3" xfId="6699" xr:uid="{00F66860-C948-4F1C-8E0C-44C118B69C96}"/>
    <cellStyle name="Comma 16 3 3 2" xfId="15536" xr:uid="{362CF688-572A-46A2-9750-7B5A000380BE}"/>
    <cellStyle name="Comma 16 3 4" xfId="14885" xr:uid="{DC83A352-0169-4E3D-B1FF-0FCA9FA39A95}"/>
    <cellStyle name="Comma 16 4" xfId="3248" xr:uid="{CE49E897-B276-46AE-92DC-AF435AA93BAD}"/>
    <cellStyle name="Comma 16 4 2" xfId="15017" xr:uid="{EF21A6D9-41C0-49A2-A7F9-7506062E0795}"/>
    <cellStyle name="Comma 16 5" xfId="4406" xr:uid="{92129C84-3DB3-4A4C-8DDA-E623E144864E}"/>
    <cellStyle name="Comma 16 5 2" xfId="15275" xr:uid="{A90DD19F-4DBB-4A12-94F3-95C6064BA9E9}"/>
    <cellStyle name="Comma 16 6" xfId="5328" xr:uid="{A475FC15-D4A1-4182-8C88-9241BBE33A8F}"/>
    <cellStyle name="Comma 16 6 2" xfId="15392" xr:uid="{2D83F09A-AFFC-4881-9A15-C2AA1703081A}"/>
    <cellStyle name="Comma 16 7" xfId="14761" xr:uid="{B5754AB2-B511-4100-B3DF-743D599CB51A}"/>
    <cellStyle name="Comma 160" xfId="802" xr:uid="{E4573471-DD68-4394-B5F2-835CA8380409}"/>
    <cellStyle name="Comma 160 2" xfId="1296" xr:uid="{1B540ABF-33CE-41E5-8FF1-BE108C528F8B}"/>
    <cellStyle name="Comma 161" xfId="806" xr:uid="{4898CB76-20E2-41EE-B968-04486957FD59}"/>
    <cellStyle name="Comma 161 2" xfId="1300" xr:uid="{54AA2F24-BA00-4971-A594-BDE8346709B4}"/>
    <cellStyle name="Comma 162" xfId="808" xr:uid="{B43A07F3-3C6D-4971-80BB-704246239F70}"/>
    <cellStyle name="Comma 162 2" xfId="1302" xr:uid="{DBD88610-7F7E-4055-BB62-ACCA06B094E5}"/>
    <cellStyle name="Comma 163" xfId="810" xr:uid="{80D46931-ACB6-4B4D-B965-EF3B92D52985}"/>
    <cellStyle name="Comma 163 2" xfId="1304" xr:uid="{6FD4167A-59DC-4CEA-8C90-519BBF747CD7}"/>
    <cellStyle name="Comma 164" xfId="812" xr:uid="{562ABD4B-E629-4899-A6DC-4969BFD7F06A}"/>
    <cellStyle name="Comma 164 2" xfId="1306" xr:uid="{B2B17280-9ECE-418D-82D5-01D25A30195B}"/>
    <cellStyle name="Comma 165" xfId="813" xr:uid="{8D9150C4-0461-493C-A5A6-B82B8F6F8D3D}"/>
    <cellStyle name="Comma 165 2" xfId="1307" xr:uid="{4A42B6FE-1A7B-4D90-88AB-FA12F96CB340}"/>
    <cellStyle name="Comma 166" xfId="816" xr:uid="{A7D3662B-D0FF-4A26-8CFD-096B0BE07A34}"/>
    <cellStyle name="Comma 166 2" xfId="1310" xr:uid="{B65A0B32-FDA4-40F8-B887-7F683DC7D354}"/>
    <cellStyle name="Comma 167" xfId="820" xr:uid="{37447826-F200-480F-9959-4436DFFE7B40}"/>
    <cellStyle name="Comma 167 2" xfId="1314" xr:uid="{BC8A6F75-EF1D-4C7B-8053-7A8C220084CD}"/>
    <cellStyle name="Comma 168" xfId="822" xr:uid="{537ADAD5-BAD3-48B2-86A5-578F5E8E8EF4}"/>
    <cellStyle name="Comma 168 2" xfId="1316" xr:uid="{58D19C8F-A14F-479F-8DF7-3368FD755A2D}"/>
    <cellStyle name="Comma 169" xfId="824" xr:uid="{425E0818-AEC3-4AAB-B19B-A45DB584CFE8}"/>
    <cellStyle name="Comma 169 2" xfId="1318" xr:uid="{96785474-48A7-4CF2-92DB-C82F5C93AB89}"/>
    <cellStyle name="Comma 17" xfId="467" xr:uid="{C3B6A709-8982-490B-9F3C-19E77171B425}"/>
    <cellStyle name="Comma 17 2" xfId="697" xr:uid="{6ECA1FB1-79F5-4D6E-B5E2-084C2C28D38E}"/>
    <cellStyle name="Comma 17 2 2" xfId="1191" xr:uid="{AA05C004-9FEA-49EB-BE96-E5BE9B4B9CFA}"/>
    <cellStyle name="Comma 17 2 2 2" xfId="3840" xr:uid="{41B4FC1D-CAD9-4CEC-BD65-5388BB8017B9}"/>
    <cellStyle name="Comma 17 2 2 2 2" xfId="15195" xr:uid="{1807711A-132C-4026-9A49-3B1C94DA4056}"/>
    <cellStyle name="Comma 17 2 2 3" xfId="6811" xr:uid="{108B7E6F-ABB0-4F32-9EF4-70D8FA1C7C90}"/>
    <cellStyle name="Comma 17 2 2 3 2" xfId="15590" xr:uid="{445D1751-9FA0-436F-B920-19FD05124C37}"/>
    <cellStyle name="Comma 17 2 2 4" xfId="14939" xr:uid="{EAD58C2A-7B69-4C55-AC9F-38593BFEBDE3}"/>
    <cellStyle name="Comma 17 2 3" xfId="3360" xr:uid="{EDABB177-4FCA-4597-B50C-925D925DA6AC}"/>
    <cellStyle name="Comma 17 2 3 2" xfId="15071" xr:uid="{5357238B-A3A3-480E-84F4-7AC250C31CF8}"/>
    <cellStyle name="Comma 17 2 4" xfId="4527" xr:uid="{AE8D0537-9C50-4EA5-947D-EECFC04FB1EA}"/>
    <cellStyle name="Comma 17 2 4 2" xfId="15329" xr:uid="{B4061BFD-C752-4F6F-B670-47857702D3C0}"/>
    <cellStyle name="Comma 17 2 5" xfId="5462" xr:uid="{D31BE5AE-38DB-4F6C-897C-494DC978812C}"/>
    <cellStyle name="Comma 17 2 5 2" xfId="15446" xr:uid="{8768B240-E12D-4B3E-AB25-06EBFEA9E847}"/>
    <cellStyle name="Comma 17 2 6" xfId="14815" xr:uid="{15C21E91-AE84-4EE8-99CB-72AADF25F622}"/>
    <cellStyle name="Comma 17 3" xfId="962" xr:uid="{FE31B978-D712-4278-8762-DAE0017B4E96}"/>
    <cellStyle name="Comma 17 3 2" xfId="3732" xr:uid="{265DB0C9-2DE0-4682-B0F5-6F2179C82AAD}"/>
    <cellStyle name="Comma 17 3 2 2" xfId="15145" xr:uid="{7DA9897C-F596-40AE-A417-09AC1F656215}"/>
    <cellStyle name="Comma 17 3 3" xfId="6703" xr:uid="{6E370462-9C0B-4239-BCD9-89E49C5F3588}"/>
    <cellStyle name="Comma 17 3 3 2" xfId="15540" xr:uid="{D0E08F27-2AD5-496B-8843-35B8DAE25FF1}"/>
    <cellStyle name="Comma 17 3 4" xfId="14889" xr:uid="{D017F028-2F1D-4771-808E-B9819F9E2D37}"/>
    <cellStyle name="Comma 17 4" xfId="3252" xr:uid="{2E63F823-99B7-4E42-9491-CBE0EED80CB7}"/>
    <cellStyle name="Comma 17 4 2" xfId="15021" xr:uid="{AC117D8F-EE33-4466-A1A5-31D28B8ED758}"/>
    <cellStyle name="Comma 17 5" xfId="4410" xr:uid="{B8EC8BF1-8699-4188-8121-C8D66C2C7391}"/>
    <cellStyle name="Comma 17 5 2" xfId="15279" xr:uid="{AA3EC863-D613-48AF-96E3-60276DB8A0D7}"/>
    <cellStyle name="Comma 17 6" xfId="5332" xr:uid="{E189DA25-8EDE-4540-A4EC-972F9027D3D5}"/>
    <cellStyle name="Comma 17 6 2" xfId="15396" xr:uid="{91F39264-E02B-45E9-8032-9F9EA973BA9D}"/>
    <cellStyle name="Comma 17 7" xfId="14765" xr:uid="{D7C9E2FA-93D9-4675-A464-82F54A745A5B}"/>
    <cellStyle name="Comma 170" xfId="826" xr:uid="{10953DB3-8F7D-40ED-B61F-CECA6D5F0DDA}"/>
    <cellStyle name="Comma 170 2" xfId="1320" xr:uid="{9D437759-13BF-4EF4-9204-9B39ED54D97C}"/>
    <cellStyle name="Comma 171" xfId="828" xr:uid="{4660B76B-1CBF-47DC-9045-46E8BE3AD98D}"/>
    <cellStyle name="Comma 171 2" xfId="1322" xr:uid="{8334C977-D0F2-4EA0-8A97-F813549248E1}"/>
    <cellStyle name="Comma 172" xfId="830" xr:uid="{848F722C-213D-4008-A763-14BFE99D2643}"/>
    <cellStyle name="Comma 172 2" xfId="1324" xr:uid="{5C7057B4-B653-4F12-B4AE-32F1A25279BA}"/>
    <cellStyle name="Comma 173" xfId="832" xr:uid="{8AD050CB-849B-4728-A920-F9E89905B724}"/>
    <cellStyle name="Comma 173 2" xfId="1326" xr:uid="{33EB091C-D95E-439B-82F7-EF08C2A23E6F}"/>
    <cellStyle name="Comma 174" xfId="833" xr:uid="{EE9A8D65-A744-4ED1-9693-7F801F848196}"/>
    <cellStyle name="Comma 174 2" xfId="1327" xr:uid="{28D2C6D5-7AE8-4EED-BCFE-B4DCBDFF0041}"/>
    <cellStyle name="Comma 175" xfId="836" xr:uid="{D1D763D2-3BA7-4E24-9879-6499135B878C}"/>
    <cellStyle name="Comma 175 2" xfId="1330" xr:uid="{9D852330-3CB7-4E94-AB0D-5E3A55E6A43C}"/>
    <cellStyle name="Comma 176" xfId="840" xr:uid="{C15CCFF5-C3D1-438A-BE71-6A7E025A531D}"/>
    <cellStyle name="Comma 176 2" xfId="1334" xr:uid="{3F0C1520-C7C9-405E-BFA9-C25FB2BC2BBA}"/>
    <cellStyle name="Comma 177" xfId="842" xr:uid="{3E5AC13B-6AA4-408E-8E02-87B12497E552}"/>
    <cellStyle name="Comma 177 2" xfId="1336" xr:uid="{9F698062-4590-42A3-BEBF-A5DCFA9B325C}"/>
    <cellStyle name="Comma 178" xfId="844" xr:uid="{63EA0357-A9FB-4072-88DD-D749B348515E}"/>
    <cellStyle name="Comma 178 2" xfId="1338" xr:uid="{0A187483-8EA8-4A63-8642-36F065D67134}"/>
    <cellStyle name="Comma 179" xfId="846" xr:uid="{AD803930-149D-44E5-BC69-0F29FAA86F7C}"/>
    <cellStyle name="Comma 179 2" xfId="1340" xr:uid="{6047416F-8166-4AC1-A825-9EB5B5CAC6CE}"/>
    <cellStyle name="Comma 18" xfId="471" xr:uid="{4079AA6B-52D5-4F47-96AE-6F6DB5D91530}"/>
    <cellStyle name="Comma 18 2" xfId="699" xr:uid="{43C8B6A7-BE36-416A-945F-47E85F6150D9}"/>
    <cellStyle name="Comma 18 2 2" xfId="1193" xr:uid="{985DCE11-B00B-488F-AA1D-8879BAA37138}"/>
    <cellStyle name="Comma 18 2 2 2" xfId="3842" xr:uid="{F85CE1B7-E4D5-4BD1-94E5-9D93783F510B}"/>
    <cellStyle name="Comma 18 2 2 2 2" xfId="15197" xr:uid="{3C424C2C-3FCC-4870-8D13-34A6A0A7B9F1}"/>
    <cellStyle name="Comma 18 2 2 3" xfId="6813" xr:uid="{1C2639CE-36EA-4530-A9DD-6553E482C432}"/>
    <cellStyle name="Comma 18 2 2 3 2" xfId="15592" xr:uid="{0CA0563F-7EEB-4AA2-A253-D11ED74DF682}"/>
    <cellStyle name="Comma 18 2 2 4" xfId="14941" xr:uid="{97AD1109-1B69-4344-80C5-7503E3FBCE74}"/>
    <cellStyle name="Comma 18 2 3" xfId="3362" xr:uid="{772F74D1-7BBD-4B84-909C-17EFF46ABA7B}"/>
    <cellStyle name="Comma 18 2 3 2" xfId="15073" xr:uid="{3C6B730C-956A-4114-BBC1-6A947F4AB2A8}"/>
    <cellStyle name="Comma 18 2 4" xfId="4529" xr:uid="{A527F6C9-6B6D-413E-916F-1CC5193E319C}"/>
    <cellStyle name="Comma 18 2 4 2" xfId="15331" xr:uid="{193ED8AD-2870-4FE1-8D45-8B28DB09F444}"/>
    <cellStyle name="Comma 18 2 5" xfId="5464" xr:uid="{BC143DFA-CF68-41F4-A85F-70ECCC5EB6D2}"/>
    <cellStyle name="Comma 18 2 5 2" xfId="15448" xr:uid="{52BED66C-3EF2-4449-9744-22333F5B132A}"/>
    <cellStyle name="Comma 18 2 6" xfId="14817" xr:uid="{5AE4B47C-7F58-410F-98C3-C6FFF2AC07FE}"/>
    <cellStyle name="Comma 18 3" xfId="966" xr:uid="{FD83C0A0-2FE1-4148-A04C-CA5A02C15408}"/>
    <cellStyle name="Comma 18 3 2" xfId="3734" xr:uid="{4BB0EAFF-9706-4AD7-8040-F43FA7A63F8A}"/>
    <cellStyle name="Comma 18 3 2 2" xfId="15147" xr:uid="{A6B62537-963D-4EB8-A9AA-86DE2B39E0AE}"/>
    <cellStyle name="Comma 18 3 3" xfId="6705" xr:uid="{4258B8E4-3005-4DF0-ADAF-B9E3BEE47904}"/>
    <cellStyle name="Comma 18 3 3 2" xfId="15542" xr:uid="{FAF0A59B-BF41-4F45-B54A-4462B2F60947}"/>
    <cellStyle name="Comma 18 3 4" xfId="14891" xr:uid="{788372F1-7D3D-496A-BCAA-0A9E35333044}"/>
    <cellStyle name="Comma 18 4" xfId="3254" xr:uid="{CBFB263F-488E-4C98-9EC3-C30080F7CFCC}"/>
    <cellStyle name="Comma 18 4 2" xfId="15023" xr:uid="{BE3DACAB-A10C-4882-883B-CEAF37DB0F02}"/>
    <cellStyle name="Comma 18 5" xfId="4412" xr:uid="{BDA03E6D-5EF1-4391-80D0-20AB2953B8D9}"/>
    <cellStyle name="Comma 18 5 2" xfId="15281" xr:uid="{5D2EC981-1705-49C2-8456-4809C89A0482}"/>
    <cellStyle name="Comma 18 6" xfId="5334" xr:uid="{CE58C238-2B4A-4AA8-BCAA-D55347183FFD}"/>
    <cellStyle name="Comma 18 6 2" xfId="15398" xr:uid="{5B2376F5-6820-4154-8504-D875815004E0}"/>
    <cellStyle name="Comma 18 7" xfId="14767" xr:uid="{612559EB-DD56-4C20-BD83-864A506422DE}"/>
    <cellStyle name="Comma 180" xfId="847" xr:uid="{BFA643E2-DD5F-4049-A720-73590E90E589}"/>
    <cellStyle name="Comma 180 2" xfId="1341" xr:uid="{05B15852-CB09-4282-AF47-DD48653AEA77}"/>
    <cellStyle name="Comma 181" xfId="850" xr:uid="{5B2D5B75-C939-420B-9CA9-8B059A0F0689}"/>
    <cellStyle name="Comma 181 2" xfId="1344" xr:uid="{75C1B2A6-95FF-468C-9A41-C667E42AC549}"/>
    <cellStyle name="Comma 182" xfId="854" xr:uid="{DA12CAED-DB74-4BAF-9330-5CAB24528ED0}"/>
    <cellStyle name="Comma 182 2" xfId="1348" xr:uid="{18B26814-A7EC-4C10-B1E9-A0FD684115AA}"/>
    <cellStyle name="Comma 183" xfId="857" xr:uid="{001FEA66-D8B1-4E2E-9381-F0C197274F27}"/>
    <cellStyle name="Comma 183 2" xfId="1351" xr:uid="{D1B0F802-328F-47E6-8025-046D4F69BE3A}"/>
    <cellStyle name="Comma 184" xfId="859" xr:uid="{4CBB5E2C-F824-4499-B468-1D11F86B7DF6}"/>
    <cellStyle name="Comma 184 2" xfId="1353" xr:uid="{FD21C0C6-6B19-49CA-9C4E-555389CD9F38}"/>
    <cellStyle name="Comma 185" xfId="862" xr:uid="{0C320B71-27BB-415E-B5BC-5958E6CD6B08}"/>
    <cellStyle name="Comma 185 2" xfId="1356" xr:uid="{9585C805-4139-4EB8-975E-6AABDA314AE0}"/>
    <cellStyle name="Comma 186" xfId="866" xr:uid="{85209B27-919E-41DB-9FD9-32619700C3FA}"/>
    <cellStyle name="Comma 186 2" xfId="1360" xr:uid="{46D7CB89-DF0F-4173-8A2B-E5FDE269A55A}"/>
    <cellStyle name="Comma 187" xfId="867" xr:uid="{A72B014B-5CBA-42B6-893A-A83D4868FD6E}"/>
    <cellStyle name="Comma 187 2" xfId="1361" xr:uid="{48C48855-6A01-4961-B214-AD88E13049AA}"/>
    <cellStyle name="Comma 188" xfId="869" xr:uid="{C822745E-EF6D-460A-B4C3-3AB0D95DD725}"/>
    <cellStyle name="Comma 188 2" xfId="1363" xr:uid="{A9346370-97EA-4E45-9A4F-2DE03137E77F}"/>
    <cellStyle name="Comma 189" xfId="872" xr:uid="{672184F9-1ECA-4C0C-A61B-C40832E44106}"/>
    <cellStyle name="Comma 189 2" xfId="1366" xr:uid="{C434ACCD-903C-4ACA-A988-722962FBFC7C}"/>
    <cellStyle name="Comma 19" xfId="473" xr:uid="{76BBDCC2-F5A6-4E0E-9E71-CE95CEC6D99E}"/>
    <cellStyle name="Comma 19 2" xfId="701" xr:uid="{0C65A7E6-1C8B-4DF4-94ED-5771BC7A3D90}"/>
    <cellStyle name="Comma 19 2 2" xfId="1195" xr:uid="{E2846DB7-4B63-4F21-901A-A8F4CB89A4D5}"/>
    <cellStyle name="Comma 19 2 2 2" xfId="3844" xr:uid="{E27CB787-808D-4B68-9789-7A3761677366}"/>
    <cellStyle name="Comma 19 2 2 2 2" xfId="15199" xr:uid="{B7D1A82A-C602-41C9-A083-23AABF54741A}"/>
    <cellStyle name="Comma 19 2 2 3" xfId="6815" xr:uid="{5B400154-ACB2-4688-B033-E9A84C262509}"/>
    <cellStyle name="Comma 19 2 2 3 2" xfId="15594" xr:uid="{0A22C626-4DB0-4385-9403-A853D11D5B87}"/>
    <cellStyle name="Comma 19 2 2 4" xfId="14943" xr:uid="{5AF7026D-0CC5-44F8-A1D2-4CDC048B25A4}"/>
    <cellStyle name="Comma 19 2 3" xfId="3364" xr:uid="{1DA20E92-C6A6-4813-81B0-5C98986568D0}"/>
    <cellStyle name="Comma 19 2 3 2" xfId="15075" xr:uid="{594FA122-BE49-4143-82CC-A98FC8D44950}"/>
    <cellStyle name="Comma 19 2 4" xfId="4531" xr:uid="{E3B9C7EA-8136-401B-8573-2C9570E4C541}"/>
    <cellStyle name="Comma 19 2 4 2" xfId="15333" xr:uid="{9879D4E0-A28A-4155-A1A4-4D3DE4395719}"/>
    <cellStyle name="Comma 19 2 5" xfId="5466" xr:uid="{564755DA-A0E8-4F0E-B446-97A5442363A4}"/>
    <cellStyle name="Comma 19 2 5 2" xfId="15450" xr:uid="{B7080DD3-769B-4985-882F-D8F9BBE6DAAE}"/>
    <cellStyle name="Comma 19 2 6" xfId="14819" xr:uid="{03370005-5038-444A-A650-8714BB7FAB46}"/>
    <cellStyle name="Comma 19 3" xfId="968" xr:uid="{88473791-D27F-4AF8-8572-24A2BC1055CF}"/>
    <cellStyle name="Comma 19 3 2" xfId="3736" xr:uid="{74D6A4D3-F877-4939-9614-BAB0FFA601B9}"/>
    <cellStyle name="Comma 19 3 2 2" xfId="15149" xr:uid="{AC723E48-E609-49F6-88BB-E72337531CB6}"/>
    <cellStyle name="Comma 19 3 3" xfId="6707" xr:uid="{790E9FCE-86F9-4D4F-BAD5-B18B59CEDEE0}"/>
    <cellStyle name="Comma 19 3 3 2" xfId="15544" xr:uid="{809592AF-21AB-4B6A-B210-B9E2E84CD64F}"/>
    <cellStyle name="Comma 19 3 4" xfId="14893" xr:uid="{A5444262-9DD3-4F2D-9827-280628C6D88A}"/>
    <cellStyle name="Comma 19 4" xfId="3256" xr:uid="{8E686C7D-A39D-483A-9091-BB1B09F95A70}"/>
    <cellStyle name="Comma 19 4 2" xfId="15025" xr:uid="{49DF8700-5E73-4C52-A5C4-6D06E9211CD6}"/>
    <cellStyle name="Comma 19 5" xfId="4414" xr:uid="{9A1A3855-1525-45B8-B191-46E1CE8E9F84}"/>
    <cellStyle name="Comma 19 5 2" xfId="15283" xr:uid="{432031E5-EDCC-4462-86B7-535BC5E686DF}"/>
    <cellStyle name="Comma 19 6" xfId="5336" xr:uid="{B2B09D9A-FBA1-4996-BAA1-D34F84B85904}"/>
    <cellStyle name="Comma 19 6 2" xfId="15400" xr:uid="{C71A2674-579F-4D9F-ACA3-50F5B8538965}"/>
    <cellStyle name="Comma 19 7" xfId="14769" xr:uid="{25E98B97-4FA8-4AF5-A652-9914BEC3BDF5}"/>
    <cellStyle name="Comma 190" xfId="876" xr:uid="{AEF77FED-7C06-42C9-8FC0-A2FBECA1861B}"/>
    <cellStyle name="Comma 190 2" xfId="1370" xr:uid="{81DF8F43-5483-416D-91B3-A86AACBF59A3}"/>
    <cellStyle name="Comma 191" xfId="878" xr:uid="{AEDE052E-9C94-4AB5-BB47-165406C34C7D}"/>
    <cellStyle name="Comma 191 2" xfId="1372" xr:uid="{1DA873D4-3426-4E3D-AC09-BEAC48FE0AAD}"/>
    <cellStyle name="Comma 192" xfId="879" xr:uid="{D8C2DC9C-1DFB-4314-A0F1-BC7F561A20C9}"/>
    <cellStyle name="Comma 192 2" xfId="1373" xr:uid="{64603806-6141-45B7-A266-EA85115BAA1B}"/>
    <cellStyle name="Comma 193" xfId="882" xr:uid="{576772FE-4D11-48FC-8E10-7BD1F53A69E4}"/>
    <cellStyle name="Comma 193 2" xfId="1376" xr:uid="{BB969612-C0FB-444E-826F-A5F7B20DCA22}"/>
    <cellStyle name="Comma 194" xfId="884" xr:uid="{E99647AA-5D7D-428E-A8D6-394BBCCFB035}"/>
    <cellStyle name="Comma 194 2" xfId="1378" xr:uid="{539575E8-B3A3-4793-B0BD-00E0919B0505}"/>
    <cellStyle name="Comma 195" xfId="886" xr:uid="{D1D8D654-BB07-4A49-B951-9B9846F5A774}"/>
    <cellStyle name="Comma 195 2" xfId="1380" xr:uid="{CA08A08E-16A7-4F41-BED7-466CE77AAF52}"/>
    <cellStyle name="Comma 196" xfId="887" xr:uid="{A85FD9FD-12B5-4D3A-953E-F0F929C6E754}"/>
    <cellStyle name="Comma 196 2" xfId="1381" xr:uid="{DA42D4C5-FFE0-4A2B-BBE1-8D756CD47902}"/>
    <cellStyle name="Comma 197" xfId="890" xr:uid="{6AF96559-7104-47C2-B988-817183127A87}"/>
    <cellStyle name="Comma 197 2" xfId="1384" xr:uid="{D40A044F-D08E-4BAC-A8C9-31C25588F316}"/>
    <cellStyle name="Comma 198" xfId="891" xr:uid="{09BB83B3-6134-4E89-84DC-60B62007C2B8}"/>
    <cellStyle name="Comma 198 2" xfId="1385" xr:uid="{4E402DC9-AE7E-4CD6-92DB-DFDAEE831CF7}"/>
    <cellStyle name="Comma 199" xfId="894" xr:uid="{731ABA43-81E6-435E-9734-222BBDEEEDDB}"/>
    <cellStyle name="Comma 199 2" xfId="1388" xr:uid="{AA1AE43F-B6A0-4FA7-807A-E1F8FE63CA15}"/>
    <cellStyle name="Comma 2" xfId="57" xr:uid="{A3CAD0D3-C3CB-4620-9412-A72D63EB02D8}"/>
    <cellStyle name="Comma 2 2" xfId="665" xr:uid="{5DA518C8-F0DD-4995-ACF1-A401F3BB3904}"/>
    <cellStyle name="Comma 2 2 2" xfId="1159" xr:uid="{05B040C7-260F-4F9E-8B9E-728F8D1EE23F}"/>
    <cellStyle name="Comma 2 2 2 2" xfId="8539" xr:uid="{172E95D6-212F-4171-90AF-7F4A16F23E23}"/>
    <cellStyle name="Comma 2 2 2 2 2" xfId="14617" xr:uid="{1D7ED998-2305-4C49-90F4-B3B9845E2D48}"/>
    <cellStyle name="Comma 2 2 2 3" xfId="14259" xr:uid="{84E0CCEE-B04D-4BEF-884E-C91F788FFC5F}"/>
    <cellStyle name="Comma 2 2 2 4" xfId="2325" xr:uid="{F37A9621-E042-416A-8DC2-741000612780}"/>
    <cellStyle name="Comma 2 2 3" xfId="2596" xr:uid="{1BA3012F-72DD-4613-A292-96B6253254E4}"/>
    <cellStyle name="Comma 2 2 3 2" xfId="14383" xr:uid="{BC4707BA-FB3F-47FD-9515-F18DC13062C5}"/>
    <cellStyle name="Comma 2 2 4" xfId="8354" xr:uid="{D218BA04-703E-487A-AC07-D64326A406CE}"/>
    <cellStyle name="Comma 2 2 4 2" xfId="14525" xr:uid="{CA921FA4-7A6C-4CD9-AB17-B70E8CA7C242}"/>
    <cellStyle name="Comma 2 2 5" xfId="14167" xr:uid="{56AA08B0-D973-4F3D-AB5A-799E88A7127B}"/>
    <cellStyle name="Comma 2 2 6" xfId="2135" xr:uid="{494E9155-A9FA-4F6E-B2BE-B4BBFED0F112}"/>
    <cellStyle name="Comma 2 3" xfId="930" xr:uid="{41C752A4-E5C4-4F36-93DA-F0329BDBE549}"/>
    <cellStyle name="Comma 2 3 2" xfId="8505" xr:uid="{D0EB6C13-CBE2-4DAB-9AC8-DEFFA3F39365}"/>
    <cellStyle name="Comma 2 3 2 2" xfId="14587" xr:uid="{197B0748-2C46-4323-B3A6-44DEF4CC2567}"/>
    <cellStyle name="Comma 2 3 3" xfId="14229" xr:uid="{73ED20CC-53ED-4155-8E3A-D331D74B0A5F}"/>
    <cellStyle name="Comma 2 3 4" xfId="2291" xr:uid="{2DDE9688-08AD-4292-B316-65E385F2D895}"/>
    <cellStyle name="Comma 2 4" xfId="2566" xr:uid="{D39C3218-FF95-4919-991B-5F4FBDD372E3}"/>
    <cellStyle name="Comma 2 4 2" xfId="14353" xr:uid="{550DB913-7353-4820-B06C-16529EA87751}"/>
    <cellStyle name="Comma 2 5" xfId="8324" xr:uid="{81BF4317-602B-46F6-914E-E6BFE49EF297}"/>
    <cellStyle name="Comma 2 5 2" xfId="14495" xr:uid="{A56DBE96-F155-45BA-81E3-C4AB777E7780}"/>
    <cellStyle name="Comma 2 6" xfId="2090" xr:uid="{687DE3EA-E282-4027-A6A0-BDE949F8E849}"/>
    <cellStyle name="Comma 2 7" xfId="14137" xr:uid="{1E319019-8A52-45C6-8E62-41E602D466A3}"/>
    <cellStyle name="Comma 20" xfId="475" xr:uid="{23069CDA-EFCE-4FCA-A02D-5FD5C0E531D0}"/>
    <cellStyle name="Comma 20 2" xfId="702" xr:uid="{9AF94C33-7DD7-419F-A991-F0AC2C3C1CBD}"/>
    <cellStyle name="Comma 20 2 2" xfId="1196" xr:uid="{5BC6B334-82C7-401A-AF08-7C7D0A9A3660}"/>
    <cellStyle name="Comma 20 2 2 2" xfId="3845" xr:uid="{8D92AD1B-C036-47E1-92F3-A357F3FA91B3}"/>
    <cellStyle name="Comma 20 2 2 2 2" xfId="15200" xr:uid="{280395AD-9C9F-419C-8EF9-21D55426871C}"/>
    <cellStyle name="Comma 20 2 2 3" xfId="6816" xr:uid="{5BC40E3E-141B-4E5F-826F-78B23FE7941A}"/>
    <cellStyle name="Comma 20 2 2 3 2" xfId="15595" xr:uid="{0B95D46D-9B59-4199-ABB0-89B3EF21EE89}"/>
    <cellStyle name="Comma 20 2 2 4" xfId="14944" xr:uid="{EF9E7C35-9FA7-4350-BBBE-E5B08737DBCB}"/>
    <cellStyle name="Comma 20 2 3" xfId="3365" xr:uid="{1701CAD1-0A0F-4A75-B037-0BABCD287386}"/>
    <cellStyle name="Comma 20 2 3 2" xfId="15076" xr:uid="{6F3D16BB-DE78-4FE2-AC10-F526DBEBF10D}"/>
    <cellStyle name="Comma 20 2 4" xfId="4532" xr:uid="{91C341E4-FD86-4D19-920D-1405F996B860}"/>
    <cellStyle name="Comma 20 2 4 2" xfId="15334" xr:uid="{8E03B6FB-CF0A-47A1-9D59-56C3EAE7633A}"/>
    <cellStyle name="Comma 20 2 5" xfId="5467" xr:uid="{7393D6CC-865C-4B5E-9EBC-806C3ACAB2DC}"/>
    <cellStyle name="Comma 20 2 5 2" xfId="15451" xr:uid="{82869D8E-2FAB-4861-B7C1-F3FC934EC009}"/>
    <cellStyle name="Comma 20 2 6" xfId="14820" xr:uid="{F4AE9DF3-6036-4873-AA9B-EDB127291E0E}"/>
    <cellStyle name="Comma 20 3" xfId="970" xr:uid="{913D43C1-C699-44BE-B499-F6F6235A1384}"/>
    <cellStyle name="Comma 20 3 2" xfId="3737" xr:uid="{F910C8E1-C9D3-4FB3-834D-ED3685E31616}"/>
    <cellStyle name="Comma 20 3 2 2" xfId="15150" xr:uid="{FDFC28D5-CEE5-402C-90BD-A565993EA418}"/>
    <cellStyle name="Comma 20 3 3" xfId="6708" xr:uid="{0FE966F4-7D7D-4230-B5F5-16C94E102A78}"/>
    <cellStyle name="Comma 20 3 3 2" xfId="15545" xr:uid="{D6265EB3-6011-460B-9AD3-C6F85CBEC861}"/>
    <cellStyle name="Comma 20 3 4" xfId="14894" xr:uid="{88D6A8F3-A825-4B24-8317-84F0D30E7BE0}"/>
    <cellStyle name="Comma 20 4" xfId="3257" xr:uid="{71032266-3AC4-40C3-85D9-3899BF666789}"/>
    <cellStyle name="Comma 20 4 2" xfId="15026" xr:uid="{F26E3B00-5CC6-4350-8568-A5C524DDC2CE}"/>
    <cellStyle name="Comma 20 5" xfId="4415" xr:uid="{7CAF3CCC-C983-4A65-ACC9-DDF511A1DAFA}"/>
    <cellStyle name="Comma 20 5 2" xfId="15284" xr:uid="{ABFD31D2-741C-4E9F-BA74-84984F6B2933}"/>
    <cellStyle name="Comma 20 6" xfId="5337" xr:uid="{14628E81-2614-4AF3-B347-735F0B06389A}"/>
    <cellStyle name="Comma 20 6 2" xfId="15401" xr:uid="{0AFD4882-778D-406F-B7CB-B8A69DE24C7C}"/>
    <cellStyle name="Comma 20 7" xfId="14770" xr:uid="{5F34BFCF-DE00-4540-B9A5-F44ECC87261F}"/>
    <cellStyle name="Comma 200" xfId="898" xr:uid="{720958CC-AC2A-47A6-A331-68E4984D1E6B}"/>
    <cellStyle name="Comma 200 2" xfId="1392" xr:uid="{5E4EDC5E-906F-4E96-8F02-06FCAD39B222}"/>
    <cellStyle name="Comma 201" xfId="900" xr:uid="{2CB415F7-D803-49D9-B4C1-9613F6995C03}"/>
    <cellStyle name="Comma 201 2" xfId="1394" xr:uid="{98734652-FF1A-42BE-9358-7DF33CB2F9F0}"/>
    <cellStyle name="Comma 202" xfId="902" xr:uid="{09F0BCCD-EEDF-4B08-99B6-52065F23AF24}"/>
    <cellStyle name="Comma 202 2" xfId="1396" xr:uid="{ABD19915-7789-4E20-A991-6E5FC7076982}"/>
    <cellStyle name="Comma 203" xfId="904" xr:uid="{97A2BF73-494B-431C-BBF0-51A8F212DF8B}"/>
    <cellStyle name="Comma 203 2" xfId="1398" xr:uid="{B9D270E0-F84A-4CF8-A8AC-7A15A29ED495}"/>
    <cellStyle name="Comma 204" xfId="906" xr:uid="{C6CF0F25-4212-4D40-80BB-317935A678A1}"/>
    <cellStyle name="Comma 204 2" xfId="1400" xr:uid="{BE8FD173-CB4E-4513-8638-1C6BA2F282D5}"/>
    <cellStyle name="Comma 205" xfId="908" xr:uid="{E23B33F7-B5A2-466E-A34C-A16FA2F55CAB}"/>
    <cellStyle name="Comma 205 2" xfId="1402" xr:uid="{7C177A36-04DD-4593-908A-656E0B7917D4}"/>
    <cellStyle name="Comma 206" xfId="910" xr:uid="{27435AF1-CA81-4010-9EA4-EEE8EF2BAFB7}"/>
    <cellStyle name="Comma 206 2" xfId="1404" xr:uid="{7D9B9AA9-775F-404E-AFC5-6B9FBF6480B1}"/>
    <cellStyle name="Comma 207" xfId="912" xr:uid="{8F14087E-57E8-49AD-9B04-FEDDCCC76EA8}"/>
    <cellStyle name="Comma 207 2" xfId="1406" xr:uid="{AABD5E71-FE05-40F2-B9CC-6431768B56F3}"/>
    <cellStyle name="Comma 208" xfId="913" xr:uid="{C60EBCAE-E4C0-4B0C-9F63-7AD7DD1CCF08}"/>
    <cellStyle name="Comma 208 2" xfId="1407" xr:uid="{6B1E60D4-65F6-4E3D-8806-C1C068DA6F4D}"/>
    <cellStyle name="Comma 209" xfId="915" xr:uid="{6B24E76B-44C2-455D-997E-712319FB4B18}"/>
    <cellStyle name="Comma 209 2" xfId="1409" xr:uid="{B351C67B-54EB-4312-AF3C-EA1326B6FB98}"/>
    <cellStyle name="Comma 21" xfId="477" xr:uid="{385B809F-0C9C-43EF-9AAA-8DB05DB0BE3D}"/>
    <cellStyle name="Comma 21 2" xfId="972" xr:uid="{5C6A9E68-6173-4035-A1A5-D144996F3584}"/>
    <cellStyle name="Comma 21 2 2" xfId="8572" xr:uid="{486B32F6-2D3F-47CD-9400-CB4BE0882E35}"/>
    <cellStyle name="Comma 21 2 2 2" xfId="14647" xr:uid="{4BE8E5E1-5A74-4440-A795-42F8229259A0}"/>
    <cellStyle name="Comma 21 2 3" xfId="14289" xr:uid="{44526D59-A6B3-4023-83C7-36B18D7DB0DB}"/>
    <cellStyle name="Comma 21 2 4" xfId="2358" xr:uid="{0D254933-85E1-4E70-AF04-6AE82F131E41}"/>
    <cellStyle name="Comma 21 3" xfId="2626" xr:uid="{3E20734C-A105-48C8-97BF-C2ED1C5A50EC}"/>
    <cellStyle name="Comma 21 3 2" xfId="14413" xr:uid="{6E808C7B-8C09-492E-8983-DDDDCA310FB3}"/>
    <cellStyle name="Comma 21 4" xfId="8384" xr:uid="{F3257B21-D477-4BCE-818B-4C79E4AB6552}"/>
    <cellStyle name="Comma 21 4 2" xfId="14555" xr:uid="{E4EAA612-B408-4B73-B505-61F1B80A81BF}"/>
    <cellStyle name="Comma 21 5" xfId="14197" xr:uid="{0F85E725-2B0B-45CD-9264-0F81B4A7A4C5}"/>
    <cellStyle name="Comma 21 6" xfId="2169" xr:uid="{87B51F73-9D0D-45C1-8A8E-E682C3155616}"/>
    <cellStyle name="Comma 210" xfId="918" xr:uid="{8B43323B-2DDB-4E03-AEC5-7E6F679DD172}"/>
    <cellStyle name="Comma 210 2" xfId="1412" xr:uid="{17182113-B8B0-4AD0-B9B6-9C580C476A55}"/>
    <cellStyle name="Comma 211" xfId="921" xr:uid="{3304CB92-24A9-4E63-9A9B-B05858D70114}"/>
    <cellStyle name="Comma 211 2" xfId="1415" xr:uid="{243A262C-BA77-4C14-9244-B89ED9707084}"/>
    <cellStyle name="Comma 212" xfId="926" xr:uid="{5FBC7C48-6436-4873-BC96-E709A4349B71}"/>
    <cellStyle name="Comma 213" xfId="1416" xr:uid="{849F38ED-8D34-4F4F-80B0-D75EA2248CFC}"/>
    <cellStyle name="Comma 214" xfId="1417" xr:uid="{EB784A23-1848-4258-9AA3-EBCFE7C70F17}"/>
    <cellStyle name="Comma 215" xfId="1421" xr:uid="{C1DC2793-7919-4E24-9BC1-9299F341B3C8}"/>
    <cellStyle name="Comma 216" xfId="1424" xr:uid="{703FADC3-7900-44C8-8AC8-1677B064E4F8}"/>
    <cellStyle name="Comma 217" xfId="1427" xr:uid="{368EB300-47B1-4BB2-B1D1-BF9A299A5403}"/>
    <cellStyle name="Comma 218" xfId="1428" xr:uid="{294A513F-B443-47F4-9552-D8296554F235}"/>
    <cellStyle name="Comma 219" xfId="1431" xr:uid="{929D6D7F-6CBC-4769-AEF3-534855B48A4B}"/>
    <cellStyle name="Comma 22" xfId="479" xr:uid="{78D073F9-EB56-471D-BB7A-96EFB91E7DD7}"/>
    <cellStyle name="Comma 22 2" xfId="974" xr:uid="{6108E4E0-B2F6-4F55-8713-CFB852442FAE}"/>
    <cellStyle name="Comma 22 2 2" xfId="8575" xr:uid="{FD489C94-1312-4CA3-9059-D632B7758378}"/>
    <cellStyle name="Comma 22 2 2 2" xfId="14650" xr:uid="{13C29E5C-7851-4152-89DE-91673D16C40D}"/>
    <cellStyle name="Comma 22 2 3" xfId="14292" xr:uid="{A1EC96E6-47E0-42B2-B3B1-2EBEB4BF58DF}"/>
    <cellStyle name="Comma 22 2 4" xfId="2361" xr:uid="{F8FF1AC2-3A47-455B-8073-9222593A1921}"/>
    <cellStyle name="Comma 22 3" xfId="2629" xr:uid="{60C5A4EB-30BD-43AC-ABE1-3C4E3A1862DD}"/>
    <cellStyle name="Comma 22 3 2" xfId="14416" xr:uid="{68574E16-D5F5-47F4-9BD0-E09CF48605AF}"/>
    <cellStyle name="Comma 22 4" xfId="8387" xr:uid="{DBBC5ED3-3AD7-4501-AC55-42EF57646F31}"/>
    <cellStyle name="Comma 22 4 2" xfId="14558" xr:uid="{B2E09B8C-C497-463C-9981-B288F1AFADF7}"/>
    <cellStyle name="Comma 22 5" xfId="14200" xr:uid="{9AA8BD6A-438A-4E4E-80D6-BC662564F439}"/>
    <cellStyle name="Comma 22 6" xfId="2172" xr:uid="{72C42300-CA80-4109-922D-B9B364288339}"/>
    <cellStyle name="Comma 220" xfId="1434" xr:uid="{F922B596-6E14-4A09-8A50-845BD6EF8963}"/>
    <cellStyle name="Comma 23" xfId="481" xr:uid="{504844EF-9513-427F-97DE-033E8A672585}"/>
    <cellStyle name="Comma 23 2" xfId="976" xr:uid="{259CD7D1-BF43-44BB-8277-B781285D1CBE}"/>
    <cellStyle name="Comma 23 2 2" xfId="8578" xr:uid="{C301D8B3-6634-4AC2-9FE3-AD9739EADA7D}"/>
    <cellStyle name="Comma 23 2 2 2" xfId="14653" xr:uid="{C2C2AD92-FAD2-40CB-82BE-D774057F285A}"/>
    <cellStyle name="Comma 23 2 3" xfId="14295" xr:uid="{7AA2DF29-8DB1-4D37-B2F9-E049E5924AF6}"/>
    <cellStyle name="Comma 23 2 4" xfId="2364" xr:uid="{2AF8F50E-5AE4-4263-B2DD-0EB3D1F57E36}"/>
    <cellStyle name="Comma 23 3" xfId="2632" xr:uid="{FB02D168-231E-4529-8AD0-91F734BD3C09}"/>
    <cellStyle name="Comma 23 3 2" xfId="14419" xr:uid="{38762BB5-C62B-42FE-A030-DA278C68C9E3}"/>
    <cellStyle name="Comma 23 4" xfId="8390" xr:uid="{9518E267-6930-4126-9799-EAEE1792009B}"/>
    <cellStyle name="Comma 23 4 2" xfId="14561" xr:uid="{788A29DA-9199-4B92-981B-68BFDA182EA6}"/>
    <cellStyle name="Comma 23 5" xfId="14203" xr:uid="{7F33EB7F-F641-4704-A16B-E3ADFFDD3572}"/>
    <cellStyle name="Comma 23 6" xfId="2175" xr:uid="{0A5C666F-5216-4401-8E6A-756E0A99D13C}"/>
    <cellStyle name="Comma 24" xfId="483" xr:uid="{2BB86E89-3525-42EC-B3A5-851DE8CB1454}"/>
    <cellStyle name="Comma 24 2" xfId="978" xr:uid="{C06BB21B-9ABB-48EF-8516-1ABCD3220345}"/>
    <cellStyle name="Comma 24 2 2" xfId="8581" xr:uid="{8D505125-FE7C-4758-8312-6E28E8EAF71C}"/>
    <cellStyle name="Comma 24 2 2 2" xfId="14656" xr:uid="{369C1F77-757E-4D32-A80D-28973396BA7D}"/>
    <cellStyle name="Comma 24 2 3" xfId="14298" xr:uid="{103B389C-B876-44E6-9C5F-3EB0EC8537F2}"/>
    <cellStyle name="Comma 24 2 4" xfId="2367" xr:uid="{4CCCF06F-7BDB-48A6-AC78-D870E5A52609}"/>
    <cellStyle name="Comma 24 3" xfId="2635" xr:uid="{B81F0B4D-67C8-4978-B32D-C400EE396474}"/>
    <cellStyle name="Comma 24 3 2" xfId="14422" xr:uid="{90415EA2-8003-4949-BE4E-BD56EABC0246}"/>
    <cellStyle name="Comma 24 4" xfId="8393" xr:uid="{0D3B2480-28FF-4493-B65D-47A7B6413BA8}"/>
    <cellStyle name="Comma 24 4 2" xfId="14564" xr:uid="{F293399A-9CB6-4F1B-A3AF-13B4D3081EB5}"/>
    <cellStyle name="Comma 24 5" xfId="14206" xr:uid="{D04424AD-151E-45D5-8573-9183BB28811A}"/>
    <cellStyle name="Comma 24 6" xfId="2178" xr:uid="{245A21D0-D9CD-4440-A9ED-5628D2C8C814}"/>
    <cellStyle name="Comma 25" xfId="485" xr:uid="{67876CE3-0153-4DCB-A64E-C175D8954984}"/>
    <cellStyle name="Comma 25 2" xfId="980" xr:uid="{038D70CE-8D85-4437-BC2A-CBAD83D901B5}"/>
    <cellStyle name="Comma 25 2 2" xfId="8583" xr:uid="{4527BEFD-9A34-4BE2-A7D5-C1FF705270AD}"/>
    <cellStyle name="Comma 25 2 2 2" xfId="14658" xr:uid="{54249DBD-CFF1-4806-A0F0-4E6EEE459EAC}"/>
    <cellStyle name="Comma 25 2 3" xfId="14300" xr:uid="{2B5AC6FB-59B5-439B-9D23-08C47ED14410}"/>
    <cellStyle name="Comma 25 2 4" xfId="2369" xr:uid="{B2567BE6-5D5D-4E0C-99C5-8250C20D90EF}"/>
    <cellStyle name="Comma 25 3" xfId="2637" xr:uid="{1EBCA65A-8ABC-4AC5-A6DB-FB121A79D6EC}"/>
    <cellStyle name="Comma 25 3 2" xfId="14424" xr:uid="{7EB4CA9F-5D37-4D63-8367-22E92CBBA412}"/>
    <cellStyle name="Comma 25 4" xfId="8395" xr:uid="{64862655-B781-4863-A693-0A9E853ADCF5}"/>
    <cellStyle name="Comma 25 4 2" xfId="14566" xr:uid="{286F6A83-7FEA-42C2-8FA6-28BFBF0AE34D}"/>
    <cellStyle name="Comma 25 5" xfId="14208" xr:uid="{6B893FF9-1233-445A-A754-F0BB907C533B}"/>
    <cellStyle name="Comma 25 6" xfId="2180" xr:uid="{6C8F2DEE-D2BA-4A26-8758-4DA370DA8C98}"/>
    <cellStyle name="Comma 26" xfId="487" xr:uid="{70F2D546-5771-4C27-9728-680631BA380E}"/>
    <cellStyle name="Comma 26 2" xfId="982" xr:uid="{3A822894-51FF-4A53-801F-89B511A99F66}"/>
    <cellStyle name="Comma 26 2 2" xfId="8586" xr:uid="{83FD6EFA-D0CE-456E-8D75-CF1464F8704A}"/>
    <cellStyle name="Comma 26 2 2 2" xfId="14661" xr:uid="{75705973-13B2-4D36-B622-0D5F6E9DFF1E}"/>
    <cellStyle name="Comma 26 2 3" xfId="14303" xr:uid="{6CED1D60-00F1-44CB-A8D8-C019DE6E7579}"/>
    <cellStyle name="Comma 26 2 4" xfId="2372" xr:uid="{432D422E-8FC3-4D34-BB89-4FF48C9FB670}"/>
    <cellStyle name="Comma 26 3" xfId="2640" xr:uid="{E66F0176-FEA1-424E-B45A-87162D1C550E}"/>
    <cellStyle name="Comma 26 3 2" xfId="14427" xr:uid="{5D7BCB6A-6CC9-43C4-A871-E7290BD2C387}"/>
    <cellStyle name="Comma 26 4" xfId="8398" xr:uid="{1088E0E9-05F4-4827-AF2D-4F1B35FDC210}"/>
    <cellStyle name="Comma 26 4 2" xfId="14569" xr:uid="{396809F3-3832-4906-8BF0-790EEA582592}"/>
    <cellStyle name="Comma 26 5" xfId="14211" xr:uid="{68E19801-0D33-4F23-B0AE-55199FBCD495}"/>
    <cellStyle name="Comma 26 6" xfId="2183" xr:uid="{D6A8DA8C-EE12-4003-9063-4D452B885012}"/>
    <cellStyle name="Comma 27" xfId="489" xr:uid="{52DD3551-FE7B-45EC-AFA8-119772956659}"/>
    <cellStyle name="Comma 27 2" xfId="984" xr:uid="{FE7578CD-23E0-4E90-A039-0C577791DBC1}"/>
    <cellStyle name="Comma 27 2 2" xfId="8588" xr:uid="{EB2A8514-7B5C-4D0A-BB48-B45A69806BD4}"/>
    <cellStyle name="Comma 27 2 2 2" xfId="14663" xr:uid="{6B4B6FFB-6DBC-44E8-8537-DB2E6F9E5BF4}"/>
    <cellStyle name="Comma 27 2 3" xfId="14305" xr:uid="{C490E651-F2A4-4178-B5D7-A0AD9451A325}"/>
    <cellStyle name="Comma 27 2 4" xfId="2374" xr:uid="{6F41F7F8-20DD-42A4-96AD-6121F3082D39}"/>
    <cellStyle name="Comma 27 3" xfId="2642" xr:uid="{851E25AA-16BB-4499-BF35-376E07BF93B3}"/>
    <cellStyle name="Comma 27 3 2" xfId="14429" xr:uid="{3026334F-44D7-4E5A-99DF-0EF18558A445}"/>
    <cellStyle name="Comma 27 4" xfId="8400" xr:uid="{CD3C3949-27F7-4D93-A9AA-9C1AA7EEF996}"/>
    <cellStyle name="Comma 27 4 2" xfId="14571" xr:uid="{88F557EA-F142-463F-9221-ADE67EB53BCA}"/>
    <cellStyle name="Comma 27 5" xfId="14213" xr:uid="{CA7DF9FE-D3C5-4AA3-9AB0-241760BC3E0F}"/>
    <cellStyle name="Comma 27 6" xfId="2185" xr:uid="{81E76E49-E9E3-42C9-929E-1A2B15787A6C}"/>
    <cellStyle name="Comma 28" xfId="491" xr:uid="{B55841F2-ED7E-4957-8917-D98DDCB86A04}"/>
    <cellStyle name="Comma 28 2" xfId="986" xr:uid="{0EE8527C-4E5E-4C05-A5B5-1A55F52AF4C2}"/>
    <cellStyle name="Comma 28 2 2" xfId="8589" xr:uid="{8D7B588A-5D68-4125-B654-2A17D5B220CB}"/>
    <cellStyle name="Comma 28 2 2 2" xfId="14664" xr:uid="{A40B54FC-B0FD-4DA1-8CF3-14A21589AE58}"/>
    <cellStyle name="Comma 28 2 3" xfId="14306" xr:uid="{B5DB7553-4A26-4780-AE27-E30FCCC6E69C}"/>
    <cellStyle name="Comma 28 2 4" xfId="2375" xr:uid="{CD5D9818-D571-4F06-A9CA-E0F92E3A2622}"/>
    <cellStyle name="Comma 28 3" xfId="2643" xr:uid="{AA0611D3-1C58-4B3F-A4AC-F5FF331D73FE}"/>
    <cellStyle name="Comma 28 3 2" xfId="14430" xr:uid="{011EC5E0-27A8-4B45-ADEE-0D8F36602CFB}"/>
    <cellStyle name="Comma 28 4" xfId="8401" xr:uid="{3BDA4A6A-774C-4C87-ACC9-E493A1866F8D}"/>
    <cellStyle name="Comma 28 4 2" xfId="14572" xr:uid="{A52F3420-9338-4118-A362-781828D5CE4B}"/>
    <cellStyle name="Comma 28 5" xfId="14214" xr:uid="{658EAF07-8D68-4FA0-823B-61FDB504274F}"/>
    <cellStyle name="Comma 28 6" xfId="2186" xr:uid="{0AFF10E1-86E5-4918-AE99-8AE7F65A18FD}"/>
    <cellStyle name="Comma 29" xfId="493" xr:uid="{4323CD5A-67D9-4E7F-8F17-29C76BAC4F03}"/>
    <cellStyle name="Comma 29 2" xfId="988" xr:uid="{CC9A11B7-4A71-43A4-BEA8-92EB5323C0B9}"/>
    <cellStyle name="Comma 29 2 2" xfId="8591" xr:uid="{348ABEEE-9598-4A86-BEA3-8D412EAC28E3}"/>
    <cellStyle name="Comma 29 2 2 2" xfId="14666" xr:uid="{DE883188-C030-44B4-BCE8-73D83B89DC36}"/>
    <cellStyle name="Comma 29 2 3" xfId="14308" xr:uid="{E32200AF-4919-439F-A544-E6DF41F9EE1B}"/>
    <cellStyle name="Comma 29 2 4" xfId="2377" xr:uid="{290BE220-374A-4B3F-99F9-4C28AD66913F}"/>
    <cellStyle name="Comma 29 3" xfId="2645" xr:uid="{9A861CF6-489C-4242-8990-2B5304FFA436}"/>
    <cellStyle name="Comma 29 3 2" xfId="14432" xr:uid="{14CCCCBE-51E2-42EE-B566-210A20076251}"/>
    <cellStyle name="Comma 29 4" xfId="8403" xr:uid="{B5C54705-AC9A-4AE5-86C4-2388FC2D1705}"/>
    <cellStyle name="Comma 29 4 2" xfId="14574" xr:uid="{8F9BA894-A7C9-4FD3-8E1C-50843F83DF41}"/>
    <cellStyle name="Comma 29 5" xfId="14216" xr:uid="{6FFB2FB8-30D3-41D6-B01B-4AF270198CCE}"/>
    <cellStyle name="Comma 29 6" xfId="2188" xr:uid="{77807EDD-A3C3-4EDE-A0AC-7A9FC13B22EC}"/>
    <cellStyle name="Comma 3" xfId="438" xr:uid="{E06FE60E-2AD7-402A-AADB-983784AFFC03}"/>
    <cellStyle name="Comma 3 2" xfId="668" xr:uid="{EE414C9C-EA08-495A-BC6F-EA1A0758160D}"/>
    <cellStyle name="Comma 3 2 2" xfId="1162" xr:uid="{8CA51221-3B99-4FA9-94FF-838AC7A5EA26}"/>
    <cellStyle name="Comma 3 2 2 2" xfId="8542" xr:uid="{8A166F6C-1AFF-40A2-8E04-7F8915B9FF42}"/>
    <cellStyle name="Comma 3 2 2 2 2" xfId="14620" xr:uid="{0AFD6E82-CB98-4580-AD42-BB64D2C926B5}"/>
    <cellStyle name="Comma 3 2 2 3" xfId="14262" xr:uid="{D803D7C0-6EF1-4231-A4D2-01A135C20D0D}"/>
    <cellStyle name="Comma 3 2 2 4" xfId="2328" xr:uid="{DB8692C9-18E1-449F-8D58-3EDEFA06E699}"/>
    <cellStyle name="Comma 3 2 3" xfId="2599" xr:uid="{E1047708-4448-4F35-BBB9-AB1AFE92D5C8}"/>
    <cellStyle name="Comma 3 2 3 2" xfId="14386" xr:uid="{7E694884-90EB-4914-8FEF-A863D4FA7B3A}"/>
    <cellStyle name="Comma 3 2 4" xfId="8357" xr:uid="{9AFA865A-2774-44B3-A062-C592DE5817CB}"/>
    <cellStyle name="Comma 3 2 4 2" xfId="14528" xr:uid="{2FC0EE2D-8DAD-4791-AB42-C506F70D3BDC}"/>
    <cellStyle name="Comma 3 2 5" xfId="14170" xr:uid="{CEE1A28E-8A0D-4EDC-AB0D-F0BEF41A29AA}"/>
    <cellStyle name="Comma 3 2 6" xfId="2138" xr:uid="{39C5DB5F-1D93-49AF-B057-EB0010B9EC1F}"/>
    <cellStyle name="Comma 3 3" xfId="934" xr:uid="{6E48D952-E84A-4EDC-8CD7-B4368381ABA5}"/>
    <cellStyle name="Comma 3 3 2" xfId="8508" xr:uid="{5303A996-C22A-4529-A55D-2B96C433B99F}"/>
    <cellStyle name="Comma 3 3 2 2" xfId="14590" xr:uid="{B46F81D6-E091-4B12-8EE0-290329D235B4}"/>
    <cellStyle name="Comma 3 3 3" xfId="14232" xr:uid="{2EB4B985-0A4F-4890-AF54-6DED9EE4F7B2}"/>
    <cellStyle name="Comma 3 3 4" xfId="2294" xr:uid="{8C8D7390-0133-4A4F-B633-944F8501FB24}"/>
    <cellStyle name="Comma 3 4" xfId="2569" xr:uid="{565292C6-B27C-4970-A166-BF5852DAB12F}"/>
    <cellStyle name="Comma 3 4 2" xfId="14356" xr:uid="{1C471F80-CB18-492C-AD19-AB782983B8C6}"/>
    <cellStyle name="Comma 3 5" xfId="8327" xr:uid="{464F4575-5F0D-49F8-8DC2-23C81920D43D}"/>
    <cellStyle name="Comma 3 5 2" xfId="14498" xr:uid="{02CF0CD1-9BEF-4BEA-A0C1-3A9A9FF8A1C4}"/>
    <cellStyle name="Comma 3 6" xfId="14140" xr:uid="{C76BB898-7B2B-4BF9-AE99-A730607041F3}"/>
    <cellStyle name="Comma 3 7" xfId="2093" xr:uid="{8E5495F7-63EB-40C9-B83C-3018DE0E37A5}"/>
    <cellStyle name="Comma 30" xfId="495" xr:uid="{21D8DB9E-F605-4E79-9617-69637BF9899C}"/>
    <cellStyle name="Comma 30 2" xfId="990" xr:uid="{1A4E3FEB-75AB-41FD-956B-6EF83E70DD52}"/>
    <cellStyle name="Comma 30 2 2" xfId="8594" xr:uid="{28E91C01-5FD8-4AA7-8BC6-71C8D7025099}"/>
    <cellStyle name="Comma 30 2 2 2" xfId="14669" xr:uid="{0D7D5974-8D53-4F22-9BB2-6371C8683DB3}"/>
    <cellStyle name="Comma 30 2 3" xfId="14311" xr:uid="{55B6B099-369C-4A66-87BC-C1CF2915E2E1}"/>
    <cellStyle name="Comma 30 2 4" xfId="2380" xr:uid="{65E0F946-414A-4609-A014-1FF690353242}"/>
    <cellStyle name="Comma 30 3" xfId="2648" xr:uid="{68F7271C-8E5B-4290-A2B9-D8F4D6EFE964}"/>
    <cellStyle name="Comma 30 3 2" xfId="14435" xr:uid="{AAC6CAFE-680F-4E07-9C4C-E6FBC80BF1F3}"/>
    <cellStyle name="Comma 30 4" xfId="8406" xr:uid="{BF28D5E7-A4E9-4E7E-AEA9-D6FCC658EDE0}"/>
    <cellStyle name="Comma 30 4 2" xfId="14577" xr:uid="{A86F7DD5-66CA-4D2A-A2B1-CD7A0AA2CDCF}"/>
    <cellStyle name="Comma 30 5" xfId="14219" xr:uid="{89B913DF-A245-4119-9817-3175C848827B}"/>
    <cellStyle name="Comma 30 6" xfId="2191" xr:uid="{D2DC7BEB-3A08-4C60-92C6-06FBD4D80699}"/>
    <cellStyle name="Comma 31" xfId="497" xr:uid="{7C9B2C3B-FDD5-4833-91DD-5BA2EFDB9B7A}"/>
    <cellStyle name="Comma 31 2" xfId="992" xr:uid="{B9BC6CF3-EEB2-4A70-8CB3-6A805C651576}"/>
    <cellStyle name="Comma 31 2 2" xfId="8596" xr:uid="{79DDB65C-631C-433F-945B-2CDECE8A9654}"/>
    <cellStyle name="Comma 31 2 2 2" xfId="14671" xr:uid="{433D813A-E889-476F-9B5D-A59CF190A2D9}"/>
    <cellStyle name="Comma 31 2 3" xfId="14313" xr:uid="{FF96A19B-88D0-4553-9E40-B6F015303016}"/>
    <cellStyle name="Comma 31 2 4" xfId="2382" xr:uid="{928132FC-F391-467A-8953-9967938E2179}"/>
    <cellStyle name="Comma 31 3" xfId="2650" xr:uid="{F772A27D-1118-48BD-B70F-34BE3E0EB497}"/>
    <cellStyle name="Comma 31 3 2" xfId="14437" xr:uid="{17BD2D33-C950-46B4-A1B3-D8CEB7C084E2}"/>
    <cellStyle name="Comma 31 4" xfId="8408" xr:uid="{F82C470D-6807-464B-A0EF-B7E7AB4674A2}"/>
    <cellStyle name="Comma 31 4 2" xfId="14579" xr:uid="{6EDC8D71-B51B-4A5D-953C-9CE39A747885}"/>
    <cellStyle name="Comma 31 5" xfId="14221" xr:uid="{75CAF280-FF8C-4D74-9AC9-69EA0FDEA86B}"/>
    <cellStyle name="Comma 31 6" xfId="2193" xr:uid="{D998BBB8-8A80-4F85-A8AB-E4230956C058}"/>
    <cellStyle name="Comma 32" xfId="499" xr:uid="{DC5B0E2A-0497-4BDB-A938-55BA2D44BE28}"/>
    <cellStyle name="Comma 32 2" xfId="994" xr:uid="{2CF67E34-0EC0-48EF-B46B-0B8E8E71FBE6}"/>
    <cellStyle name="Comma 32 2 2" xfId="8598" xr:uid="{8AE691A8-1E69-4D88-8D95-06F28BEEEEED}"/>
    <cellStyle name="Comma 32 2 2 2" xfId="14673" xr:uid="{EFF55534-B0A2-42AF-AB08-D09532B6BC8F}"/>
    <cellStyle name="Comma 32 2 3" xfId="14315" xr:uid="{FB8DE034-0537-4DF3-8F20-E845E5381111}"/>
    <cellStyle name="Comma 32 2 4" xfId="2384" xr:uid="{D5B2B29F-6108-4D3D-A2D5-73D57169856B}"/>
    <cellStyle name="Comma 32 3" xfId="2652" xr:uid="{475F9CF7-F7C5-4D48-923A-7605F91910EE}"/>
    <cellStyle name="Comma 32 3 2" xfId="14439" xr:uid="{EB230156-DE37-4B03-B41A-1BB0F262BACC}"/>
    <cellStyle name="Comma 32 4" xfId="8410" xr:uid="{B62E594F-CB0C-4401-9338-8B5A474BD419}"/>
    <cellStyle name="Comma 32 4 2" xfId="14581" xr:uid="{80C4151A-C56D-4AC8-8B50-C98F4AE9E060}"/>
    <cellStyle name="Comma 32 5" xfId="14223" xr:uid="{EBE1D822-EDA4-4864-A8B1-87BE2D459F4C}"/>
    <cellStyle name="Comma 32 6" xfId="2195" xr:uid="{6A86FB61-A0F2-4F80-A640-8E8D968B3393}"/>
    <cellStyle name="Comma 33" xfId="501" xr:uid="{FF422596-B578-4922-8979-21752C070A4E}"/>
    <cellStyle name="Comma 33 2" xfId="996" xr:uid="{C7C477DE-A0A9-40BD-952F-847177170CED}"/>
    <cellStyle name="Comma 33 2 2" xfId="8599" xr:uid="{EDB46634-76EE-4493-AAF0-E92E705C71EA}"/>
    <cellStyle name="Comma 33 2 2 2" xfId="14674" xr:uid="{0997E1B1-65D4-40F7-B013-7BEC1506FF70}"/>
    <cellStyle name="Comma 33 2 3" xfId="14316" xr:uid="{1C5ADFBA-599F-463B-A4C5-686A80DFB6F2}"/>
    <cellStyle name="Comma 33 2 4" xfId="2385" xr:uid="{9837974A-E30D-4DB1-B6B2-EA991456E6DE}"/>
    <cellStyle name="Comma 33 3" xfId="2653" xr:uid="{AF24CF2C-C0E2-4515-9A56-D2EC9A8418A7}"/>
    <cellStyle name="Comma 33 3 2" xfId="14440" xr:uid="{6AFD37A7-2BDD-4B07-9B7E-B55B1C923791}"/>
    <cellStyle name="Comma 33 4" xfId="8411" xr:uid="{AFBCCF03-579C-4F75-8F9F-7B6C32E4ABDA}"/>
    <cellStyle name="Comma 33 4 2" xfId="14582" xr:uid="{25515593-2274-4894-B79A-8FF2B7BD86EF}"/>
    <cellStyle name="Comma 33 5" xfId="14224" xr:uid="{3C05BF32-3DEB-414B-A0FE-E10303275FE5}"/>
    <cellStyle name="Comma 33 6" xfId="2196" xr:uid="{E3AC4C24-6BB6-4912-8A1B-F75528E4D239}"/>
    <cellStyle name="Comma 34" xfId="503" xr:uid="{7355DDFC-09E7-4250-A693-2C7E9A611A7B}"/>
    <cellStyle name="Comma 34 2" xfId="998" xr:uid="{FEF23EB5-FC16-4B41-8533-FD503B74FE3A}"/>
    <cellStyle name="Comma 34 2 2" xfId="8601" xr:uid="{AB9DA160-230F-428B-B565-F2E0F0509D6E}"/>
    <cellStyle name="Comma 34 2 2 2" xfId="14676" xr:uid="{08397CE3-CA3A-4E8B-9A54-221FEBA35F20}"/>
    <cellStyle name="Comma 34 2 3" xfId="14318" xr:uid="{25FDDAB9-E666-4095-B2FF-45FE066B2BA0}"/>
    <cellStyle name="Comma 34 2 4" xfId="2387" xr:uid="{AC2E5E73-7C1A-48EC-B7A4-5BD0F6142662}"/>
    <cellStyle name="Comma 34 3" xfId="2655" xr:uid="{96ADA8F7-9FE4-4757-824E-39F8F5C8C4D2}"/>
    <cellStyle name="Comma 34 3 2" xfId="14442" xr:uid="{9B9644B5-BF94-4862-AEAE-9586BF798505}"/>
    <cellStyle name="Comma 34 4" xfId="8413" xr:uid="{09890F91-DF8A-4F46-8111-05C4DB7BCBC1}"/>
    <cellStyle name="Comma 34 4 2" xfId="14584" xr:uid="{D544108A-96FB-40FE-B09F-B451462BB451}"/>
    <cellStyle name="Comma 34 5" xfId="14226" xr:uid="{C5A7E20A-13FC-4971-AC8F-EA5AC84FD085}"/>
    <cellStyle name="Comma 34 6" xfId="2198" xr:uid="{11DA0983-4F53-4DE6-ADCA-880DC08E7484}"/>
    <cellStyle name="Comma 35" xfId="505" xr:uid="{93D441B1-EE19-49A2-B175-A90CD08B4E7E}"/>
    <cellStyle name="Comma 35 2" xfId="1000" xr:uid="{B832FDE2-8C2E-46C8-9F81-56FBBAE4E855}"/>
    <cellStyle name="Comma 35 2 2" xfId="2912" xr:uid="{E5DE8BB5-A3A1-4E2A-BE3A-8D2DAA6698B7}"/>
    <cellStyle name="Comma 35 2 2 2" xfId="3852" xr:uid="{6ED90B2C-A7C3-4BAF-B92A-C876451B8912}"/>
    <cellStyle name="Comma 35 2 2 2 2" xfId="15205" xr:uid="{9A9AB89B-CE9C-4B13-A5BD-0D261D2254C9}"/>
    <cellStyle name="Comma 35 2 2 3" xfId="6823" xr:uid="{D3EC817F-D991-4C1D-BC8A-F27F59E63921}"/>
    <cellStyle name="Comma 35 2 2 3 2" xfId="15600" xr:uid="{F8FD323C-AF11-45E2-A29D-6E076D5C29BA}"/>
    <cellStyle name="Comma 35 2 2 4" xfId="14949" xr:uid="{1FC9AA31-C582-4537-83FC-75C2461298BD}"/>
    <cellStyle name="Comma 35 2 3" xfId="3372" xr:uid="{4598B3C0-6EE8-4FDC-A76C-4F18A4485C32}"/>
    <cellStyle name="Comma 35 2 3 2" xfId="15081" xr:uid="{15DDD37F-CB0E-41C6-9118-2103F40D093D}"/>
    <cellStyle name="Comma 35 2 4" xfId="4539" xr:uid="{0F199B32-EE17-4C43-907D-5EC4F4D0A16A}"/>
    <cellStyle name="Comma 35 2 4 2" xfId="15339" xr:uid="{E5C494A3-B8F0-4E27-BC76-43F4B6D8DC5F}"/>
    <cellStyle name="Comma 35 2 5" xfId="5474" xr:uid="{2A23E4D6-DD3D-4A42-AD81-7EAAE8199A76}"/>
    <cellStyle name="Comma 35 2 5 2" xfId="15456" xr:uid="{5E6DC129-D1F9-4AF4-B2E8-C66CEAEC7B75}"/>
    <cellStyle name="Comma 35 2 6" xfId="14825" xr:uid="{B1F0899E-4D3D-45DF-9811-8B03D444BA0F}"/>
    <cellStyle name="Comma 35 3" xfId="2820" xr:uid="{A513B3D1-6698-4DC0-8E21-0236683F050B}"/>
    <cellStyle name="Comma 35 3 2" xfId="3740" xr:uid="{66D05786-A271-47FE-8016-1F1A9A7F8A74}"/>
    <cellStyle name="Comma 35 3 2 2" xfId="15153" xr:uid="{A3B96854-A5CE-498A-99C3-EF2BF4A2C18B}"/>
    <cellStyle name="Comma 35 3 3" xfId="6711" xr:uid="{6E5CAE33-7B5E-42E2-833B-7EF3718E6307}"/>
    <cellStyle name="Comma 35 3 3 2" xfId="15548" xr:uid="{CC8165DC-9798-4E49-9655-EA8D394DDC97}"/>
    <cellStyle name="Comma 35 3 4" xfId="14897" xr:uid="{D8E29A3F-2DA3-43F5-A0AB-AEF9F23747EB}"/>
    <cellStyle name="Comma 35 4" xfId="3260" xr:uid="{C2DC8B37-1E6D-47C7-8CE1-112CB23CCA3A}"/>
    <cellStyle name="Comma 35 4 2" xfId="15029" xr:uid="{28248B4D-BC44-4D25-9ECE-857580C5D11C}"/>
    <cellStyle name="Comma 35 5" xfId="4427" xr:uid="{4D28837A-FFFD-4C2A-81FB-AE76194998EB}"/>
    <cellStyle name="Comma 35 5 2" xfId="15287" xr:uid="{2116E304-5E25-4147-9219-592695B4936B}"/>
    <cellStyle name="Comma 35 6" xfId="5362" xr:uid="{3A88F1BC-F5AA-44AA-B56D-C58BC05EAEB7}"/>
    <cellStyle name="Comma 35 6 2" xfId="15404" xr:uid="{6E0C16D2-E83B-4540-93D0-308136ED1597}"/>
    <cellStyle name="Comma 35 7" xfId="14773" xr:uid="{FEDCCA9D-E2C6-4456-AF96-BB3A9595CC30}"/>
    <cellStyle name="Comma 36" xfId="506" xr:uid="{1B6898B6-1FA3-4612-BA7C-C353ED53F257}"/>
    <cellStyle name="Comma 36 2" xfId="1001" xr:uid="{5CCD9A26-81D6-4162-A479-E623EDEA7FE4}"/>
    <cellStyle name="Comma 36 2 2" xfId="2916" xr:uid="{39139ACC-0650-4CD4-B433-6D8625A6B11A}"/>
    <cellStyle name="Comma 36 2 2 2" xfId="3856" xr:uid="{09E22EBC-79F0-45D6-AACC-54AE2DC86C4D}"/>
    <cellStyle name="Comma 36 2 2 2 2" xfId="15209" xr:uid="{2AB95C03-23EF-42DD-9059-5260010D11BC}"/>
    <cellStyle name="Comma 36 2 2 3" xfId="6827" xr:uid="{14DE5896-0F8C-44DE-A088-6CE52B977BC9}"/>
    <cellStyle name="Comma 36 2 2 3 2" xfId="15604" xr:uid="{3DE779D2-B110-44E0-9811-7CD633B8DE59}"/>
    <cellStyle name="Comma 36 2 2 4" xfId="14953" xr:uid="{A6BE744D-DE3C-4333-8199-A754E319248A}"/>
    <cellStyle name="Comma 36 2 3" xfId="3376" xr:uid="{7A9B583E-0C48-4C78-B0D8-797055E9692A}"/>
    <cellStyle name="Comma 36 2 3 2" xfId="15085" xr:uid="{F332E2EB-8804-4587-9857-4420EC6B3C40}"/>
    <cellStyle name="Comma 36 2 4" xfId="4543" xr:uid="{AA013AF1-EB2F-417A-BCE7-958983E3DDD8}"/>
    <cellStyle name="Comma 36 2 4 2" xfId="15343" xr:uid="{EF7A4660-D372-4794-92B4-D5749787BDDF}"/>
    <cellStyle name="Comma 36 2 5" xfId="5478" xr:uid="{3C06584B-D45A-4A7D-87FF-7272167A0FC3}"/>
    <cellStyle name="Comma 36 2 5 2" xfId="15460" xr:uid="{81238854-37E5-4237-951B-E0EB591C6FC6}"/>
    <cellStyle name="Comma 36 2 6" xfId="14829" xr:uid="{DF616EC8-21C8-4617-8D44-2B2580BA9367}"/>
    <cellStyle name="Comma 36 3" xfId="2824" xr:uid="{13F827EC-2E90-4BB5-B94B-891B98C20BB5}"/>
    <cellStyle name="Comma 36 3 2" xfId="3744" xr:uid="{1C6B349E-8FD5-47F6-A23D-2CF8A0F367F6}"/>
    <cellStyle name="Comma 36 3 2 2" xfId="15157" xr:uid="{61BBDF1B-E54A-4282-8F20-2992F7E80919}"/>
    <cellStyle name="Comma 36 3 3" xfId="6715" xr:uid="{7E97FD05-3C43-4A77-B202-A15FB049918E}"/>
    <cellStyle name="Comma 36 3 3 2" xfId="15552" xr:uid="{BA3D0590-08E8-4006-9C46-DE3042D30AD0}"/>
    <cellStyle name="Comma 36 3 4" xfId="14901" xr:uid="{A4A3413E-6B62-4299-B713-79F56080401A}"/>
    <cellStyle name="Comma 36 4" xfId="3264" xr:uid="{9A7FFAAE-157A-4FAF-94F7-B6F60815912A}"/>
    <cellStyle name="Comma 36 4 2" xfId="15033" xr:uid="{CAF5679B-541B-4C6C-B2C6-B658125311F9}"/>
    <cellStyle name="Comma 36 5" xfId="4431" xr:uid="{470EE9CD-AF07-48DA-9E1D-72B9DA557B7D}"/>
    <cellStyle name="Comma 36 5 2" xfId="15291" xr:uid="{4CBE3F5D-4097-46EA-91E5-3FBAD6CB00C1}"/>
    <cellStyle name="Comma 36 6" xfId="5366" xr:uid="{ED06D577-91D9-457D-9036-E222EB48DAC0}"/>
    <cellStyle name="Comma 36 6 2" xfId="15408" xr:uid="{1E1064C8-EF39-4610-A9EC-A73C44C40600}"/>
    <cellStyle name="Comma 36 7" xfId="14777" xr:uid="{3B6D3190-3E97-4CB1-BAA2-74B7ED6DE7CD}"/>
    <cellStyle name="Comma 37" xfId="509" xr:uid="{B26F3925-38F8-4A2C-8D15-931874349373}"/>
    <cellStyle name="Comma 37 2" xfId="1004" xr:uid="{2B45E660-4A21-44AE-BBAA-C2E695748E91}"/>
    <cellStyle name="Comma 37 2 2" xfId="2917" xr:uid="{E6D4D71B-49EF-48EB-ADE6-C59DDC78B741}"/>
    <cellStyle name="Comma 37 2 2 2" xfId="3857" xr:uid="{1E5E00EA-9FCB-40CB-92D6-A7C4180D68CA}"/>
    <cellStyle name="Comma 37 2 2 2 2" xfId="15210" xr:uid="{F05286E2-DDC4-421C-93B2-08D8DFAF99CB}"/>
    <cellStyle name="Comma 37 2 2 3" xfId="6828" xr:uid="{3F74FD9F-DFB3-4A11-92F6-953C81DA0BE1}"/>
    <cellStyle name="Comma 37 2 2 3 2" xfId="15605" xr:uid="{CA8507D2-599F-4572-A061-F08B1CF5014E}"/>
    <cellStyle name="Comma 37 2 2 4" xfId="14954" xr:uid="{351216CE-C5BB-4A8A-9780-C4BB05C51AD8}"/>
    <cellStyle name="Comma 37 2 3" xfId="3377" xr:uid="{BE9849F6-A7B1-4017-8775-6C58E65EB114}"/>
    <cellStyle name="Comma 37 2 3 2" xfId="15086" xr:uid="{AE9C2258-72BC-4A8E-89AE-FA39D0CC790A}"/>
    <cellStyle name="Comma 37 2 4" xfId="4544" xr:uid="{E138A86C-0120-4DAA-A02B-A8385CCBC72F}"/>
    <cellStyle name="Comma 37 2 4 2" xfId="15344" xr:uid="{766B9889-A7EC-4C63-9532-486F2E3326CA}"/>
    <cellStyle name="Comma 37 2 5" xfId="5479" xr:uid="{F5392EFC-471D-4D14-833D-00988D905654}"/>
    <cellStyle name="Comma 37 2 5 2" xfId="15461" xr:uid="{DFC8F5F9-29DB-436F-AB61-A5AC4D8969FF}"/>
    <cellStyle name="Comma 37 2 6" xfId="14830" xr:uid="{2E066D79-FF81-41A4-8CFB-597AD4C4C0D7}"/>
    <cellStyle name="Comma 37 3" xfId="2825" xr:uid="{59D60076-A9FB-4210-AF58-737BFADB7E71}"/>
    <cellStyle name="Comma 37 3 2" xfId="3745" xr:uid="{DF9C3BB5-F1AA-4C9A-AEBD-378D78725891}"/>
    <cellStyle name="Comma 37 3 2 2" xfId="15158" xr:uid="{BAE246EE-9238-460F-9FD7-D6E6280631FA}"/>
    <cellStyle name="Comma 37 3 3" xfId="6716" xr:uid="{4F4736F8-8358-47BF-A957-5CCD46FAB1B9}"/>
    <cellStyle name="Comma 37 3 3 2" xfId="15553" xr:uid="{8803A474-E573-4DDE-98E2-B6839CD05A8D}"/>
    <cellStyle name="Comma 37 3 4" xfId="14902" xr:uid="{244EF312-58C7-42DE-B0A4-ACA2D5D34749}"/>
    <cellStyle name="Comma 37 4" xfId="3265" xr:uid="{4DC1B3A6-0A12-47B1-9AF9-2BAE469F7B46}"/>
    <cellStyle name="Comma 37 4 2" xfId="15034" xr:uid="{3CA55F42-0A9E-4BA3-ADD0-9FE7E1C16C6A}"/>
    <cellStyle name="Comma 37 5" xfId="4432" xr:uid="{858D57F1-935B-4BF2-B3FB-6143BA05F1B6}"/>
    <cellStyle name="Comma 37 5 2" xfId="15292" xr:uid="{668822EF-D968-4995-81FD-42A857F71381}"/>
    <cellStyle name="Comma 37 6" xfId="5367" xr:uid="{FD33E197-4FB4-42F3-9C99-1F27AE14939D}"/>
    <cellStyle name="Comma 37 6 2" xfId="15409" xr:uid="{B68C959C-07C2-4F7F-96B3-55816B56AFAF}"/>
    <cellStyle name="Comma 37 7" xfId="14778" xr:uid="{2398096F-3C42-46A2-B992-BFBD5F6BE61C}"/>
    <cellStyle name="Comma 38" xfId="513" xr:uid="{E87F9114-2D2E-4F90-9B53-2DE7D7850CB3}"/>
    <cellStyle name="Comma 38 2" xfId="1008" xr:uid="{4B883AA1-E157-49A1-A814-403EF491FF71}"/>
    <cellStyle name="Comma 38 2 2" xfId="2920" xr:uid="{18828EE3-4FBF-4D53-B54D-691037F3EA1C}"/>
    <cellStyle name="Comma 38 2 2 2" xfId="3860" xr:uid="{28173260-0150-4C71-AF0F-81EC7C150FAE}"/>
    <cellStyle name="Comma 38 2 2 2 2" xfId="15213" xr:uid="{3934B04E-0E89-47AE-B317-649591EC69B8}"/>
    <cellStyle name="Comma 38 2 2 3" xfId="6831" xr:uid="{B4576AEA-EF0E-449A-9FEF-0D24B6B7A153}"/>
    <cellStyle name="Comma 38 2 2 3 2" xfId="15608" xr:uid="{B924D5DE-199B-4DC1-B04D-400B1E6CCF10}"/>
    <cellStyle name="Comma 38 2 2 4" xfId="14957" xr:uid="{AF4ECE30-4FA4-464E-AE18-31E64595479D}"/>
    <cellStyle name="Comma 38 2 3" xfId="3380" xr:uid="{199556C7-07D0-4681-BBB2-7A3961332AA1}"/>
    <cellStyle name="Comma 38 2 3 2" xfId="15089" xr:uid="{2D2DAB93-33B1-4E00-B927-2E752FBA5650}"/>
    <cellStyle name="Comma 38 2 4" xfId="4547" xr:uid="{91EC1257-A5C8-440E-B7CD-9F03DA297D1C}"/>
    <cellStyle name="Comma 38 2 4 2" xfId="15347" xr:uid="{65E213FA-AB09-4ED1-B08A-F4A47260FA45}"/>
    <cellStyle name="Comma 38 2 5" xfId="5482" xr:uid="{8E3105E9-A146-446D-AE51-B4ABD3F157BF}"/>
    <cellStyle name="Comma 38 2 5 2" xfId="15464" xr:uid="{4EF345A7-4319-40DF-8ABC-D9DD92CF71AC}"/>
    <cellStyle name="Comma 38 2 6" xfId="14833" xr:uid="{6190B561-BDD0-41E9-8B01-B1759C7F4701}"/>
    <cellStyle name="Comma 38 3" xfId="2828" xr:uid="{66912E75-EE5A-4D2C-8F27-6ECA8436D206}"/>
    <cellStyle name="Comma 38 3 2" xfId="3748" xr:uid="{70055424-35F9-4815-9F0A-403C629CA668}"/>
    <cellStyle name="Comma 38 3 2 2" xfId="15161" xr:uid="{8107900B-4F9B-4D8B-8940-1D70E9422816}"/>
    <cellStyle name="Comma 38 3 3" xfId="6719" xr:uid="{F5E75632-031D-499E-8814-6276979BF1F8}"/>
    <cellStyle name="Comma 38 3 3 2" xfId="15556" xr:uid="{0453A6E5-53B4-43BA-98C4-C7AC750EC422}"/>
    <cellStyle name="Comma 38 3 4" xfId="14905" xr:uid="{3E1641B9-FFDB-4617-A5A0-41F2DAA5DB06}"/>
    <cellStyle name="Comma 38 4" xfId="3268" xr:uid="{AD7D62BE-DEC2-423B-A7A9-2B12F8FD881A}"/>
    <cellStyle name="Comma 38 4 2" xfId="15037" xr:uid="{599145F8-475F-411B-AB1B-0825D50491C8}"/>
    <cellStyle name="Comma 38 5" xfId="4435" xr:uid="{5A7BFBAA-3336-412C-8251-2D2777BDF7AA}"/>
    <cellStyle name="Comma 38 5 2" xfId="15295" xr:uid="{14CDC567-16DE-4E28-A259-16ECB9FC37F5}"/>
    <cellStyle name="Comma 38 6" xfId="5370" xr:uid="{FE06F8AE-405A-4022-A571-2666B24B9DC4}"/>
    <cellStyle name="Comma 38 6 2" xfId="15412" xr:uid="{D1517296-77B8-49C4-8B37-1B2C64FF2963}"/>
    <cellStyle name="Comma 38 7" xfId="14781" xr:uid="{3E10869E-38DB-4EFA-816D-38572C2F1CA0}"/>
    <cellStyle name="Comma 39" xfId="515" xr:uid="{5F17295A-C97D-43C0-B26B-A65D8728209C}"/>
    <cellStyle name="Comma 39 2" xfId="1010" xr:uid="{FAFED879-7D49-411A-8EFB-D9045F1CA11D}"/>
    <cellStyle name="Comma 39 2 2" xfId="2922" xr:uid="{E9153221-3B9A-4894-B35B-4FF19FFD1ECB}"/>
    <cellStyle name="Comma 39 2 2 2" xfId="3862" xr:uid="{6236767A-BEE0-4FA4-87EE-7F751AC5EC6E}"/>
    <cellStyle name="Comma 39 2 2 2 2" xfId="15215" xr:uid="{E4659CE2-2F76-48C7-8949-7CFEF11BF18D}"/>
    <cellStyle name="Comma 39 2 2 3" xfId="6833" xr:uid="{94677634-C000-43EF-B139-0968AB8B6FE7}"/>
    <cellStyle name="Comma 39 2 2 3 2" xfId="15610" xr:uid="{DC3F66F5-7FE0-4C88-B708-EC5EAF4F8822}"/>
    <cellStyle name="Comma 39 2 2 4" xfId="14959" xr:uid="{55182417-6D73-4470-8D0C-E5378556F31C}"/>
    <cellStyle name="Comma 39 2 3" xfId="3382" xr:uid="{66B46136-E779-43CA-956B-3FE9A46EB7A5}"/>
    <cellStyle name="Comma 39 2 3 2" xfId="15091" xr:uid="{FEF18A68-C9E0-42FF-8FFF-2CF51B16E2F1}"/>
    <cellStyle name="Comma 39 2 4" xfId="4549" xr:uid="{473D4EE3-CCB1-4082-BCFF-237FCF2A5A98}"/>
    <cellStyle name="Comma 39 2 4 2" xfId="15349" xr:uid="{5537231E-7D2B-488F-9235-1FB4BDEE0E49}"/>
    <cellStyle name="Comma 39 2 5" xfId="5484" xr:uid="{CD732795-B10D-41FF-AA75-6354DB1436F2}"/>
    <cellStyle name="Comma 39 2 5 2" xfId="15466" xr:uid="{94EB7D4E-9A3A-40DA-BE10-06B9C0788F37}"/>
    <cellStyle name="Comma 39 2 6" xfId="14835" xr:uid="{4F3A0648-F851-47ED-92B8-9366C75F4BB4}"/>
    <cellStyle name="Comma 39 3" xfId="2830" xr:uid="{D0410257-B62A-4521-88FE-DBD8945A91FC}"/>
    <cellStyle name="Comma 39 3 2" xfId="3750" xr:uid="{22D97C45-067E-469A-B7E9-1A5422D86BA2}"/>
    <cellStyle name="Comma 39 3 2 2" xfId="15163" xr:uid="{433E6AEB-C546-4A0A-8EF4-CF99CE1376F8}"/>
    <cellStyle name="Comma 39 3 3" xfId="6721" xr:uid="{9BBF7404-E6A7-41FE-B847-2346424AD0CC}"/>
    <cellStyle name="Comma 39 3 3 2" xfId="15558" xr:uid="{9AFCEC26-7710-4351-B6E0-5C84D1490105}"/>
    <cellStyle name="Comma 39 3 4" xfId="14907" xr:uid="{8D200B9B-0401-48F8-8583-52490FC0C08D}"/>
    <cellStyle name="Comma 39 4" xfId="3270" xr:uid="{E95D445E-8996-4140-AD36-435C2C149F15}"/>
    <cellStyle name="Comma 39 4 2" xfId="15039" xr:uid="{0F577535-8C9B-458E-865E-FF80E66AE4C5}"/>
    <cellStyle name="Comma 39 5" xfId="4437" xr:uid="{7806D5F5-D48F-4DAB-9267-EBA905FDE10F}"/>
    <cellStyle name="Comma 39 5 2" xfId="15297" xr:uid="{9BF60E1A-16B0-41A1-8C6C-4D9B063C8F1A}"/>
    <cellStyle name="Comma 39 6" xfId="5372" xr:uid="{D4F509E8-EFDC-4F40-B8E3-D070DF53D545}"/>
    <cellStyle name="Comma 39 6 2" xfId="15414" xr:uid="{CE43ED7E-9B13-43B5-801E-AB345F01EEEA}"/>
    <cellStyle name="Comma 39 7" xfId="14783" xr:uid="{D5191079-154E-4121-BFB0-0A60FB27E7A6}"/>
    <cellStyle name="Comma 4" xfId="440" xr:uid="{EAC33A24-C849-40C0-9321-B00EDCF93FCF}"/>
    <cellStyle name="Comma 4 2" xfId="670" xr:uid="{9F149BC0-C984-4AE2-A0E4-9C2CE88ED2FB}"/>
    <cellStyle name="Comma 4 2 2" xfId="1164" xr:uid="{50A0E64C-2C6D-49D1-95A4-82E5FAD57DA6}"/>
    <cellStyle name="Comma 4 2 2 2" xfId="8545" xr:uid="{271F7181-1BCA-4F62-B5CD-CA0D1A551410}"/>
    <cellStyle name="Comma 4 2 2 2 2" xfId="14623" xr:uid="{8E276AB9-551F-4E2C-B67E-3C796F337253}"/>
    <cellStyle name="Comma 4 2 2 3" xfId="14265" xr:uid="{BC123D03-362F-40D1-A71A-2E9573294A25}"/>
    <cellStyle name="Comma 4 2 2 4" xfId="2331" xr:uid="{CC6EA7C7-E4DB-4F23-8C41-22C5166977D9}"/>
    <cellStyle name="Comma 4 2 3" xfId="2602" xr:uid="{0AE12352-9612-4DE8-A0B7-85321F538B25}"/>
    <cellStyle name="Comma 4 2 3 2" xfId="14389" xr:uid="{1FB7D5B2-5DE1-4DD8-B16C-BEA811310689}"/>
    <cellStyle name="Comma 4 2 4" xfId="8360" xr:uid="{9932A63E-A658-4337-9A7A-A14EC0C489F9}"/>
    <cellStyle name="Comma 4 2 4 2" xfId="14531" xr:uid="{141571BD-09F7-41B8-A47A-28272EA08D65}"/>
    <cellStyle name="Comma 4 2 5" xfId="14173" xr:uid="{A2982C34-9A18-4741-8BA0-7EC4298FD8E6}"/>
    <cellStyle name="Comma 4 2 6" xfId="2141" xr:uid="{7D312217-45A0-45BC-90D4-6300731F4A19}"/>
    <cellStyle name="Comma 4 3" xfId="936" xr:uid="{4FABB30D-4768-4F72-9CDF-CBA4896AFF1E}"/>
    <cellStyle name="Comma 4 3 2" xfId="8511" xr:uid="{C53C293A-2F54-41A3-A6C0-3EEC88DDF495}"/>
    <cellStyle name="Comma 4 3 2 2" xfId="14593" xr:uid="{E0670103-2B6B-4978-86F2-6A0FCADC05D3}"/>
    <cellStyle name="Comma 4 3 3" xfId="14235" xr:uid="{8AD3C596-5B16-4836-8269-1EDD26F6FEC1}"/>
    <cellStyle name="Comma 4 3 4" xfId="2297" xr:uid="{6B9A99D2-FC05-4BCD-BD1C-318F675F4813}"/>
    <cellStyle name="Comma 4 4" xfId="2572" xr:uid="{AA040469-EF55-43C4-9E12-F55FF118CB6C}"/>
    <cellStyle name="Comma 4 4 2" xfId="14359" xr:uid="{4B19898B-5885-419F-9508-07BECDDA2F09}"/>
    <cellStyle name="Comma 4 5" xfId="8330" xr:uid="{CD616A37-000E-4102-A4F6-1E7DE65FF718}"/>
    <cellStyle name="Comma 4 5 2" xfId="14501" xr:uid="{BC14992C-E149-4864-9C6C-7A3559048454}"/>
    <cellStyle name="Comma 4 6" xfId="14143" xr:uid="{3C5F2682-9635-4971-811E-378AC19CBFD0}"/>
    <cellStyle name="Comma 4 7" xfId="2096" xr:uid="{90A2162C-4787-421B-9421-68F2D1E064DD}"/>
    <cellStyle name="Comma 40" xfId="517" xr:uid="{932296FF-44EA-44A6-B2FF-6D992C974749}"/>
    <cellStyle name="Comma 40 2" xfId="1012" xr:uid="{ECFDC113-8DD4-4E1B-8922-5BFFA15923D8}"/>
    <cellStyle name="Comma 40 2 2" xfId="2923" xr:uid="{9F0A038E-170B-44CB-8C90-B8333C65A54B}"/>
    <cellStyle name="Comma 40 2 2 2" xfId="3863" xr:uid="{44AB1B66-66B2-41CE-895E-204AC8C0E4EF}"/>
    <cellStyle name="Comma 40 2 2 2 2" xfId="15216" xr:uid="{EC4B6311-70BE-4E32-9570-ABABD55D5300}"/>
    <cellStyle name="Comma 40 2 2 3" xfId="6834" xr:uid="{EC56880D-959C-4385-94F9-6C2BE479BC64}"/>
    <cellStyle name="Comma 40 2 2 3 2" xfId="15611" xr:uid="{0ACC0AAA-5DF6-4C22-8110-53ABB6ED53BF}"/>
    <cellStyle name="Comma 40 2 2 4" xfId="14960" xr:uid="{B3AA0E12-AD71-431E-B1E2-8BFE84AC4B38}"/>
    <cellStyle name="Comma 40 2 3" xfId="3383" xr:uid="{A1031EE1-5D12-4EC5-A098-4208A1401A5B}"/>
    <cellStyle name="Comma 40 2 3 2" xfId="15092" xr:uid="{A25E8D4F-13CD-473C-8535-090F8CC6729D}"/>
    <cellStyle name="Comma 40 2 4" xfId="4550" xr:uid="{994526DB-A603-45F0-B194-A2309BC04E60}"/>
    <cellStyle name="Comma 40 2 4 2" xfId="15350" xr:uid="{E764D945-45EA-4679-8EE8-659204FCAC50}"/>
    <cellStyle name="Comma 40 2 5" xfId="5485" xr:uid="{994A947E-FB9A-4DDE-A97C-8F1CF243255E}"/>
    <cellStyle name="Comma 40 2 5 2" xfId="15467" xr:uid="{1C080A92-1AEE-44C7-BEA1-43EF4FED6AE5}"/>
    <cellStyle name="Comma 40 2 6" xfId="14836" xr:uid="{0E3703D1-1C62-4131-9145-98398438DE84}"/>
    <cellStyle name="Comma 40 3" xfId="2831" xr:uid="{1A71BB52-BB60-44D8-9FF6-3CBD5218A629}"/>
    <cellStyle name="Comma 40 3 2" xfId="3751" xr:uid="{1DBDD9FF-1916-4694-82F0-5ED1EF0F75A1}"/>
    <cellStyle name="Comma 40 3 2 2" xfId="15164" xr:uid="{1DBBDE78-772A-4344-9E52-56020E21B15A}"/>
    <cellStyle name="Comma 40 3 3" xfId="6722" xr:uid="{778EDADB-3590-4660-8418-A1197629E68E}"/>
    <cellStyle name="Comma 40 3 3 2" xfId="15559" xr:uid="{81F51EB6-3CE4-40CA-B65B-3E2686C96203}"/>
    <cellStyle name="Comma 40 3 4" xfId="14908" xr:uid="{90258DB7-6CFE-448D-BDE6-CCDAB250E70F}"/>
    <cellStyle name="Comma 40 4" xfId="3271" xr:uid="{E4CD08AA-A43C-4990-929F-173046CFB7D6}"/>
    <cellStyle name="Comma 40 4 2" xfId="15040" xr:uid="{B1F91D07-DDD6-4CDB-A5DF-A66CA7F28ADE}"/>
    <cellStyle name="Comma 40 5" xfId="4438" xr:uid="{69C228CE-0EA7-41F1-89C7-795925E2D821}"/>
    <cellStyle name="Comma 40 5 2" xfId="15298" xr:uid="{C4EC7FF8-E520-4879-8A45-5D2B0223E78E}"/>
    <cellStyle name="Comma 40 6" xfId="5373" xr:uid="{9D29114B-F957-4582-8CC1-17F8CAD946BF}"/>
    <cellStyle name="Comma 40 6 2" xfId="15415" xr:uid="{7014EFEA-39BC-4D01-964E-6812DDB4FA76}"/>
    <cellStyle name="Comma 40 7" xfId="14784" xr:uid="{87F19474-F92C-437E-A698-5EDECD1B232A}"/>
    <cellStyle name="Comma 41" xfId="519" xr:uid="{0E8D8833-AB58-4637-80F7-7EE6661E6F4D}"/>
    <cellStyle name="Comma 41 2" xfId="1014" xr:uid="{B687E013-D671-4AF6-8658-F50750B9EA73}"/>
    <cellStyle name="Comma 41 2 2" xfId="2926" xr:uid="{F953BC3C-F4E1-4BD7-A3C7-FD0172654C19}"/>
    <cellStyle name="Comma 41 2 2 2" xfId="3866" xr:uid="{B6657013-AE11-45E1-9DDE-517F26DFBC41}"/>
    <cellStyle name="Comma 41 2 2 2 2" xfId="15219" xr:uid="{A849089B-67D0-440F-8CB2-C7A63456B138}"/>
    <cellStyle name="Comma 41 2 2 3" xfId="6837" xr:uid="{8C1F197F-8BF4-4C5F-9342-3DF8B53D2598}"/>
    <cellStyle name="Comma 41 2 2 3 2" xfId="15614" xr:uid="{1658507F-B91C-4C41-9899-3E9A144A0890}"/>
    <cellStyle name="Comma 41 2 2 4" xfId="14963" xr:uid="{B0909048-0F8A-49DE-84E4-CAEB3734C5A2}"/>
    <cellStyle name="Comma 41 2 3" xfId="3386" xr:uid="{74A16968-0008-4814-AA95-31F9400BB1CC}"/>
    <cellStyle name="Comma 41 2 3 2" xfId="15095" xr:uid="{D95F3A9C-B213-4610-AD3A-85F75A3D10AC}"/>
    <cellStyle name="Comma 41 2 4" xfId="4553" xr:uid="{1BE02116-8682-47D7-9554-6547D8825C1F}"/>
    <cellStyle name="Comma 41 2 4 2" xfId="15353" xr:uid="{83015990-57C9-4700-905F-78F7AFFAD64F}"/>
    <cellStyle name="Comma 41 2 5" xfId="5488" xr:uid="{060588A1-EBE0-45B8-83FA-5F996324633E}"/>
    <cellStyle name="Comma 41 2 5 2" xfId="15470" xr:uid="{8B83F4E1-6A84-4469-887B-BEF5FCA3A28C}"/>
    <cellStyle name="Comma 41 2 6" xfId="14839" xr:uid="{CEC0138E-4D43-456C-9C93-432650F1E3DC}"/>
    <cellStyle name="Comma 41 3" xfId="2834" xr:uid="{4A7EA1BD-1B2C-43E0-A57B-2CDEA35056AE}"/>
    <cellStyle name="Comma 41 3 2" xfId="3754" xr:uid="{1E1629AC-0372-44BC-B72F-96CC0B94454A}"/>
    <cellStyle name="Comma 41 3 2 2" xfId="15167" xr:uid="{BE43BBD3-1A02-4435-990C-2D257D8E1C46}"/>
    <cellStyle name="Comma 41 3 3" xfId="6725" xr:uid="{12114A18-468D-4C0C-AB97-B3B954ED2BBB}"/>
    <cellStyle name="Comma 41 3 3 2" xfId="15562" xr:uid="{5B5EAC04-E10A-4C0F-A0E2-A71485069B19}"/>
    <cellStyle name="Comma 41 3 4" xfId="14911" xr:uid="{9A3B2EBA-19BE-4CEA-88FA-B26D1894EBB7}"/>
    <cellStyle name="Comma 41 4" xfId="3274" xr:uid="{BF7BB112-98EE-41E2-84F4-E8D4E1F0EC77}"/>
    <cellStyle name="Comma 41 4 2" xfId="15043" xr:uid="{FF7BA74D-AEB0-406E-B3B4-D7EE19B855E6}"/>
    <cellStyle name="Comma 41 5" xfId="4441" xr:uid="{2A8C6BF7-F8F2-49FF-A8B8-1A2F0DF40D49}"/>
    <cellStyle name="Comma 41 5 2" xfId="15301" xr:uid="{FEF0F0AE-B77D-46D8-B1F2-D8E44AAD12A8}"/>
    <cellStyle name="Comma 41 6" xfId="5376" xr:uid="{F55824D1-C074-422F-AA77-E4F8345E0A25}"/>
    <cellStyle name="Comma 41 6 2" xfId="15418" xr:uid="{444C7227-49C8-40BC-AE87-80BCB01CE0EB}"/>
    <cellStyle name="Comma 41 7" xfId="14787" xr:uid="{A7801D84-2C7D-4E48-A15A-66B4FA0BC1ED}"/>
    <cellStyle name="Comma 42" xfId="521" xr:uid="{39267D38-F9C8-48AA-A233-A4C9057AEAAC}"/>
    <cellStyle name="Comma 42 2" xfId="1016" xr:uid="{E0F1A65E-9378-4C1A-BED7-BF8F027648B9}"/>
    <cellStyle name="Comma 42 2 2" xfId="2930" xr:uid="{D54473FB-7DC4-4AE5-9826-761874C4FD4F}"/>
    <cellStyle name="Comma 42 2 2 2" xfId="3870" xr:uid="{7B5D09C8-E856-46ED-ABAD-BC6781388AF6}"/>
    <cellStyle name="Comma 42 2 2 2 2" xfId="15223" xr:uid="{27B867FC-5A58-4B99-8C51-631D9DE12CCA}"/>
    <cellStyle name="Comma 42 2 2 3" xfId="6841" xr:uid="{CBFA151E-79F9-4BB4-A8C4-81D5D1786887}"/>
    <cellStyle name="Comma 42 2 2 3 2" xfId="15618" xr:uid="{87AC9659-94ED-40D4-99F3-4B03B12AEF4F}"/>
    <cellStyle name="Comma 42 2 2 4" xfId="14967" xr:uid="{C24E5704-FF46-4145-A00D-51C17205FA2C}"/>
    <cellStyle name="Comma 42 2 3" xfId="3390" xr:uid="{C6FABDEC-53CA-4EE5-BB11-F044B18218A1}"/>
    <cellStyle name="Comma 42 2 3 2" xfId="15099" xr:uid="{58ABF689-0D64-4CB8-966A-40BBEABDEDC9}"/>
    <cellStyle name="Comma 42 2 4" xfId="4557" xr:uid="{0697E3B5-EC2D-47A4-9808-EF69AED7CD1B}"/>
    <cellStyle name="Comma 42 2 4 2" xfId="15357" xr:uid="{FD523D65-927A-4F19-84C0-EEE7F54C0625}"/>
    <cellStyle name="Comma 42 2 5" xfId="5492" xr:uid="{E3FB4C98-F3BB-4AB9-AD2F-D15F1B89DC8E}"/>
    <cellStyle name="Comma 42 2 5 2" xfId="15474" xr:uid="{6457C88A-9E9A-461F-B6DF-36ACDE7354B7}"/>
    <cellStyle name="Comma 42 2 6" xfId="14843" xr:uid="{14FBC5B7-F86C-4D07-9B29-9879ED43BB2A}"/>
    <cellStyle name="Comma 42 3" xfId="2838" xr:uid="{E4294B02-1897-4D46-BA11-1A85B06D1238}"/>
    <cellStyle name="Comma 42 3 2" xfId="3758" xr:uid="{B46E3BA6-2A9D-45D2-A1FE-F208FEE27F63}"/>
    <cellStyle name="Comma 42 3 2 2" xfId="15171" xr:uid="{877D6BC5-9911-48AB-B5BA-371F9770E7F9}"/>
    <cellStyle name="Comma 42 3 3" xfId="6729" xr:uid="{63ACEFF8-029E-414F-94D7-CB77DBD91AB2}"/>
    <cellStyle name="Comma 42 3 3 2" xfId="15566" xr:uid="{B21026D8-2C37-4753-A5A8-58017408C676}"/>
    <cellStyle name="Comma 42 3 4" xfId="14915" xr:uid="{CBB88732-C097-474B-A46D-6EB94718FC5D}"/>
    <cellStyle name="Comma 42 4" xfId="3278" xr:uid="{17DBD932-F71F-4737-B0A9-E897EC31FBBF}"/>
    <cellStyle name="Comma 42 4 2" xfId="15047" xr:uid="{5D90C4B4-8A89-498B-9345-8100E26488C6}"/>
    <cellStyle name="Comma 42 5" xfId="4445" xr:uid="{D26CB82B-C7DD-4898-9143-89CBD142376C}"/>
    <cellStyle name="Comma 42 5 2" xfId="15305" xr:uid="{750F98FF-284C-4F4F-AA70-F3C0AB9023B5}"/>
    <cellStyle name="Comma 42 6" xfId="5380" xr:uid="{58473AFF-F0B2-4145-8E04-4D61AEEAD37E}"/>
    <cellStyle name="Comma 42 6 2" xfId="15422" xr:uid="{3C89507D-40B3-460E-9667-0703F5181FB5}"/>
    <cellStyle name="Comma 42 7" xfId="14791" xr:uid="{F8CE64B2-622B-44DA-86F8-F4D49890380B}"/>
    <cellStyle name="Comma 43" xfId="523" xr:uid="{72CF4C37-85D2-42DC-8E9F-65A6F595E844}"/>
    <cellStyle name="Comma 43 2" xfId="1018" xr:uid="{145C65AF-0C47-4B90-A298-253FF25D5173}"/>
    <cellStyle name="Comma 43 2 2" xfId="2932" xr:uid="{6D0AFD84-DB39-4BEE-A3FE-DCE85E5B03B2}"/>
    <cellStyle name="Comma 43 2 2 2" xfId="3872" xr:uid="{52A6185E-8DA6-4D49-8EEF-FB2AE7C0DF3B}"/>
    <cellStyle name="Comma 43 2 2 2 2" xfId="15225" xr:uid="{2BBEF6F5-0436-4C6A-86A0-C0409CDFE78E}"/>
    <cellStyle name="Comma 43 2 2 3" xfId="6843" xr:uid="{A1125AA8-77B1-4E69-BFBE-8F4C97DA9E6B}"/>
    <cellStyle name="Comma 43 2 2 3 2" xfId="15620" xr:uid="{A21978E8-6915-417B-B158-E13EE657EAAA}"/>
    <cellStyle name="Comma 43 2 2 4" xfId="14969" xr:uid="{812BEFD8-0358-4554-82BF-4F29246FCEAE}"/>
    <cellStyle name="Comma 43 2 3" xfId="3392" xr:uid="{450A5920-429E-4BFE-BAAA-85CEBE40FBB5}"/>
    <cellStyle name="Comma 43 2 3 2" xfId="15101" xr:uid="{1E98D9AE-A2BD-42D0-BA31-C3452E23932E}"/>
    <cellStyle name="Comma 43 2 4" xfId="4559" xr:uid="{9A0E81D6-E2DF-4918-A3C8-329EDF8CCDDA}"/>
    <cellStyle name="Comma 43 2 4 2" xfId="15359" xr:uid="{883CA2FC-93B1-43F4-B97A-F145937D05B3}"/>
    <cellStyle name="Comma 43 2 5" xfId="5494" xr:uid="{A23857B9-07F4-4F0C-838F-A6E6B7CB7EE6}"/>
    <cellStyle name="Comma 43 2 5 2" xfId="15476" xr:uid="{183C630D-697F-407F-AAAA-49CBAE1E0411}"/>
    <cellStyle name="Comma 43 2 6" xfId="14845" xr:uid="{084E6254-FD45-4B1F-A153-3F3A4D98328D}"/>
    <cellStyle name="Comma 43 3" xfId="2840" xr:uid="{3FC68A90-D432-4D9C-8A02-8B8A62871CA3}"/>
    <cellStyle name="Comma 43 3 2" xfId="3760" xr:uid="{48929DC1-7B90-49B9-A6E6-3AA7798099A4}"/>
    <cellStyle name="Comma 43 3 2 2" xfId="15173" xr:uid="{67D910ED-9F07-4E44-90C8-AF4432C487E2}"/>
    <cellStyle name="Comma 43 3 3" xfId="6731" xr:uid="{5006113F-C25E-4843-95EB-35C525E1DD44}"/>
    <cellStyle name="Comma 43 3 3 2" xfId="15568" xr:uid="{758B52ED-4A3A-4BE8-8BB1-9A235B56E5C0}"/>
    <cellStyle name="Comma 43 3 4" xfId="14917" xr:uid="{AD9880DA-D708-4489-A1B8-F1BD722A52B6}"/>
    <cellStyle name="Comma 43 4" xfId="3280" xr:uid="{D22554A4-C649-43B5-9683-4A01B3CFFBB5}"/>
    <cellStyle name="Comma 43 4 2" xfId="15049" xr:uid="{3AB85896-EDC6-4DC0-86FE-BAF46D816700}"/>
    <cellStyle name="Comma 43 5" xfId="4447" xr:uid="{1DDBB25A-F80D-4FF3-B5A1-11EEA66B37B5}"/>
    <cellStyle name="Comma 43 5 2" xfId="15307" xr:uid="{44113BBD-88C0-4461-8C8A-B410ACE437C7}"/>
    <cellStyle name="Comma 43 6" xfId="5382" xr:uid="{259E4D4A-06AE-4CC1-A702-7DBA5ED188F3}"/>
    <cellStyle name="Comma 43 6 2" xfId="15424" xr:uid="{E783A0D1-C142-4C94-B5C8-8FB73E35CA5B}"/>
    <cellStyle name="Comma 43 7" xfId="14793" xr:uid="{0019EC4C-D58B-4634-93F7-2A67E828A720}"/>
    <cellStyle name="Comma 44" xfId="525" xr:uid="{59D0F37F-F3B4-4C5A-8D7B-F82827F4BF78}"/>
    <cellStyle name="Comma 44 2" xfId="1020" xr:uid="{4D1909D4-CE62-4413-9C56-ABEBFC1CA09F}"/>
    <cellStyle name="Comma 44 2 2" xfId="2933" xr:uid="{150EB4B0-3D41-4EBC-AC8D-A7D0ED951E21}"/>
    <cellStyle name="Comma 44 2 2 2" xfId="3873" xr:uid="{1ACB47B0-C85C-4FD0-9FA4-E22914CF3FB9}"/>
    <cellStyle name="Comma 44 2 2 2 2" xfId="15226" xr:uid="{9FC0F254-3EB1-44D5-B8A1-710C757300B0}"/>
    <cellStyle name="Comma 44 2 2 3" xfId="6844" xr:uid="{31E917D8-09E4-4758-9F07-530290E03BCB}"/>
    <cellStyle name="Comma 44 2 2 3 2" xfId="15621" xr:uid="{9F26D0FD-FA78-4EF7-897F-595A8D5A2FB8}"/>
    <cellStyle name="Comma 44 2 2 4" xfId="14970" xr:uid="{11E625A9-BDE4-4038-ABE5-8C0E5D0AAD5A}"/>
    <cellStyle name="Comma 44 2 3" xfId="3393" xr:uid="{B5074853-EB1E-40E5-AAB9-4472E04393EA}"/>
    <cellStyle name="Comma 44 2 3 2" xfId="15102" xr:uid="{59E9EA30-B1BA-4257-B60B-D362C45A2EF8}"/>
    <cellStyle name="Comma 44 2 4" xfId="4560" xr:uid="{C8843EEB-1234-4685-84D2-5CE07F2260B6}"/>
    <cellStyle name="Comma 44 2 4 2" xfId="15360" xr:uid="{F226EF5F-E22E-4468-859C-243A811EC129}"/>
    <cellStyle name="Comma 44 2 5" xfId="5495" xr:uid="{EFABD8F9-3042-4EB5-B5A4-8D2FDD065186}"/>
    <cellStyle name="Comma 44 2 5 2" xfId="15477" xr:uid="{5B9BA73E-428D-4608-AF08-F5F0D6A4633E}"/>
    <cellStyle name="Comma 44 2 6" xfId="14846" xr:uid="{C17DC0A2-F322-4842-AB0A-D7B9F3B59A6E}"/>
    <cellStyle name="Comma 44 3" xfId="2841" xr:uid="{F671AF0D-A5CE-4549-903F-BF253532C673}"/>
    <cellStyle name="Comma 44 3 2" xfId="3761" xr:uid="{9AF20015-1BB2-471F-8B49-C3B295705247}"/>
    <cellStyle name="Comma 44 3 2 2" xfId="15174" xr:uid="{06713BC6-85D4-421F-957E-D5D0FA510D95}"/>
    <cellStyle name="Comma 44 3 3" xfId="6732" xr:uid="{C1681AF3-ACF6-4302-8ECA-0DC7A3655106}"/>
    <cellStyle name="Comma 44 3 3 2" xfId="15569" xr:uid="{3B10D92B-9172-4297-9D6D-0BA58636C6D3}"/>
    <cellStyle name="Comma 44 3 4" xfId="14918" xr:uid="{AA0A30A6-B4E8-4C1D-9520-3F33285524DB}"/>
    <cellStyle name="Comma 44 4" xfId="3281" xr:uid="{FC798D0E-AE0B-449E-8CAA-01D1141BD07F}"/>
    <cellStyle name="Comma 44 4 2" xfId="15050" xr:uid="{76E0973E-B25A-478E-8BEC-795960704E50}"/>
    <cellStyle name="Comma 44 5" xfId="4448" xr:uid="{B48736AD-9B71-43F2-8D84-D33E169A2E62}"/>
    <cellStyle name="Comma 44 5 2" xfId="15308" xr:uid="{7868AA9F-C9E2-4252-91EC-31649DE10E78}"/>
    <cellStyle name="Comma 44 6" xfId="5383" xr:uid="{C5E98136-E27D-4993-8D25-09FC6A99305E}"/>
    <cellStyle name="Comma 44 6 2" xfId="15425" xr:uid="{EB2113DB-7365-43E4-BF36-BE0B8A623B17}"/>
    <cellStyle name="Comma 44 7" xfId="14794" xr:uid="{C24FF74A-642B-4E8D-9FAD-9C295656DEB8}"/>
    <cellStyle name="Comma 45" xfId="527" xr:uid="{516FA2E5-8736-4B5C-9A7E-005F5D22713C}"/>
    <cellStyle name="Comma 45 2" xfId="1022" xr:uid="{BC352BA2-652F-438A-AA15-FCE163CA2B37}"/>
    <cellStyle name="Comma 45 2 2" xfId="2936" xr:uid="{10612368-05F2-4F79-A5CE-62CCD215CC33}"/>
    <cellStyle name="Comma 45 2 2 2" xfId="3876" xr:uid="{DC3E8CB2-4B31-4D6A-9316-114AEB8ACF94}"/>
    <cellStyle name="Comma 45 2 2 2 2" xfId="15229" xr:uid="{0568A344-5791-4E67-A904-CBB5494D0ED6}"/>
    <cellStyle name="Comma 45 2 2 3" xfId="6847" xr:uid="{EEE7F3BA-897D-43E2-AFED-401B885AAEA4}"/>
    <cellStyle name="Comma 45 2 2 3 2" xfId="15624" xr:uid="{5D89059E-9956-4A30-A04A-4F5E663B3C5B}"/>
    <cellStyle name="Comma 45 2 2 4" xfId="14973" xr:uid="{8EA9F2D2-52F2-4241-97A9-A8A40E0EC2EF}"/>
    <cellStyle name="Comma 45 2 3" xfId="3396" xr:uid="{60A02757-5626-48B1-A609-BA4554307FDE}"/>
    <cellStyle name="Comma 45 2 3 2" xfId="15105" xr:uid="{FEC87E9B-1319-4954-97A8-6EFE4B3E2E5A}"/>
    <cellStyle name="Comma 45 2 4" xfId="4563" xr:uid="{55129F19-B5F3-4582-9288-DC438A4FCCD0}"/>
    <cellStyle name="Comma 45 2 4 2" xfId="15363" xr:uid="{37E34A8C-6BDC-4D6D-B5CD-8C6F027F26B8}"/>
    <cellStyle name="Comma 45 2 5" xfId="5498" xr:uid="{FDD8D8CF-A876-40C0-9B99-E866ECC228B4}"/>
    <cellStyle name="Comma 45 2 5 2" xfId="15480" xr:uid="{41EF064C-01A0-439D-9F21-823B9DEA01B6}"/>
    <cellStyle name="Comma 45 2 6" xfId="14849" xr:uid="{72D4ABF0-73E1-4221-AE87-B3171F10E43A}"/>
    <cellStyle name="Comma 45 3" xfId="2844" xr:uid="{00EC1F94-EE55-4050-B063-E15694507265}"/>
    <cellStyle name="Comma 45 3 2" xfId="3764" xr:uid="{A85179A2-6A72-4169-A48E-E35F498C5237}"/>
    <cellStyle name="Comma 45 3 2 2" xfId="15177" xr:uid="{850A45F6-3C4F-498D-95F7-D250605AB579}"/>
    <cellStyle name="Comma 45 3 3" xfId="6735" xr:uid="{BFDCA6A9-2501-47FA-8BAA-4582F18B750B}"/>
    <cellStyle name="Comma 45 3 3 2" xfId="15572" xr:uid="{FB658FFE-5C17-410C-B778-6047C5BA3744}"/>
    <cellStyle name="Comma 45 3 4" xfId="14921" xr:uid="{C2946179-6BE5-4B09-B7F8-3E0166DD487A}"/>
    <cellStyle name="Comma 45 4" xfId="3284" xr:uid="{A4CE2064-8087-4F00-8845-CDD0DE8DDD65}"/>
    <cellStyle name="Comma 45 4 2" xfId="15053" xr:uid="{BA932672-2B27-44F8-A412-970DBCC0C6C1}"/>
    <cellStyle name="Comma 45 5" xfId="4451" xr:uid="{073A4802-E3AE-4D9C-A0BE-9C0BC9734618}"/>
    <cellStyle name="Comma 45 5 2" xfId="15311" xr:uid="{40ED266B-67EC-4C2E-ADF4-2E5A40BB2BDC}"/>
    <cellStyle name="Comma 45 6" xfId="5386" xr:uid="{EF09CB00-D830-4DF6-B97F-A20134ED212C}"/>
    <cellStyle name="Comma 45 6 2" xfId="15428" xr:uid="{0F9FB15D-2C21-478E-852E-A5DD73613983}"/>
    <cellStyle name="Comma 45 7" xfId="14797" xr:uid="{9720D088-842B-49E4-891C-B0349D04B927}"/>
    <cellStyle name="Comma 46" xfId="529" xr:uid="{AB928582-67BC-4C1A-9BCA-8CF66F6ABC96}"/>
    <cellStyle name="Comma 46 2" xfId="1024" xr:uid="{5BA04124-3B9D-4B68-A0C6-E65A80FBD34A}"/>
    <cellStyle name="Comma 46 2 2" xfId="2939" xr:uid="{98A4754A-A9A5-4764-A488-7B6D2DF18545}"/>
    <cellStyle name="Comma 46 2 2 2" xfId="3879" xr:uid="{E0B23214-7B64-4259-B9F6-06C2855E0574}"/>
    <cellStyle name="Comma 46 2 2 2 2" xfId="15232" xr:uid="{753E63C8-F40B-4DB9-9E05-178D1E58DE39}"/>
    <cellStyle name="Comma 46 2 2 3" xfId="6850" xr:uid="{491C8DDC-A5AB-483A-BF83-B46306B1F202}"/>
    <cellStyle name="Comma 46 2 2 3 2" xfId="15627" xr:uid="{846F0F32-E8CC-47A5-8AE5-08E8EFF18E83}"/>
    <cellStyle name="Comma 46 2 2 4" xfId="14976" xr:uid="{D1D73499-C4F7-418B-B00F-DB1709E01423}"/>
    <cellStyle name="Comma 46 2 3" xfId="3399" xr:uid="{6C46EE2B-6218-4569-9ABB-FE875C94BF21}"/>
    <cellStyle name="Comma 46 2 3 2" xfId="15108" xr:uid="{75FB567B-1AF2-45DB-834E-AD282203B26D}"/>
    <cellStyle name="Comma 46 2 4" xfId="4566" xr:uid="{58020A0B-B597-4641-912C-3F9D167128F9}"/>
    <cellStyle name="Comma 46 2 4 2" xfId="15366" xr:uid="{A69079F5-46AE-4496-AF0A-42AEFC6B791D}"/>
    <cellStyle name="Comma 46 2 5" xfId="5501" xr:uid="{D2009EE3-93A7-40AF-A4EA-FF66AEA80E6C}"/>
    <cellStyle name="Comma 46 2 5 2" xfId="15483" xr:uid="{4E2C5174-0F21-4E85-B681-3D3E3EDA96F2}"/>
    <cellStyle name="Comma 46 2 6" xfId="14852" xr:uid="{970DEDFE-13DA-415F-9ACC-AB64D3BABAD0}"/>
    <cellStyle name="Comma 46 3" xfId="2847" xr:uid="{E9979B4B-3651-4976-99F7-EA410BE37758}"/>
    <cellStyle name="Comma 46 3 2" xfId="3768" xr:uid="{19BE96A3-1B10-4653-981C-55D8C5369345}"/>
    <cellStyle name="Comma 46 3 2 2" xfId="15181" xr:uid="{7EFC9836-F14F-4DA9-A34E-1009148B79E4}"/>
    <cellStyle name="Comma 46 3 3" xfId="6739" xr:uid="{3556F771-9607-4176-A3A7-2CC1B3DF4B18}"/>
    <cellStyle name="Comma 46 3 3 2" xfId="15576" xr:uid="{1104DADB-76BC-4C4F-B184-60D9FDE9CEF6}"/>
    <cellStyle name="Comma 46 3 4" xfId="14925" xr:uid="{79E3602F-2FEB-42A9-8B8D-94CE9F480097}"/>
    <cellStyle name="Comma 46 4" xfId="3288" xr:uid="{BC56B4C1-8971-4B68-A729-7161BDAD70FD}"/>
    <cellStyle name="Comma 46 4 2" xfId="15057" xr:uid="{EC518456-82AC-4BB1-9215-14B783E7D58C}"/>
    <cellStyle name="Comma 46 5" xfId="4455" xr:uid="{24DACD0B-C590-4709-A668-63814ECBEA5B}"/>
    <cellStyle name="Comma 46 5 2" xfId="15315" xr:uid="{CCFE8C97-C5D3-42AC-A18A-CE76CC482BBF}"/>
    <cellStyle name="Comma 46 6" xfId="5390" xr:uid="{A6C41763-5E65-470B-B2CD-DCA206D7EF37}"/>
    <cellStyle name="Comma 46 6 2" xfId="15432" xr:uid="{7F1B92D2-6793-4DD3-AB26-64E9902240C6}"/>
    <cellStyle name="Comma 46 7" xfId="14801" xr:uid="{4BC8AB98-1F4F-40FF-AAE8-D584811974E5}"/>
    <cellStyle name="Comma 47" xfId="531" xr:uid="{AE754205-EEEB-41AA-BA4B-55FA4F57B96A}"/>
    <cellStyle name="Comma 47 2" xfId="1026" xr:uid="{38189755-2452-481F-9BED-D8D1EF5E7638}"/>
    <cellStyle name="Comma 47 2 2" xfId="3770" xr:uid="{5DD38C40-628F-45A4-ACD7-222AB9FD963C}"/>
    <cellStyle name="Comma 47 2 2 2" xfId="15183" xr:uid="{A15A279E-1DFB-4ABF-B14A-B9BE75701422}"/>
    <cellStyle name="Comma 47 2 3" xfId="6741" xr:uid="{74C76765-5334-4DAC-AFA1-94368877495C}"/>
    <cellStyle name="Comma 47 2 3 2" xfId="15578" xr:uid="{8EDF0F8C-B038-4BFD-B742-5AA65D122679}"/>
    <cellStyle name="Comma 47 2 4" xfId="14927" xr:uid="{7C4E4990-21EB-4194-B1B8-BC5381441777}"/>
    <cellStyle name="Comma 47 3" xfId="3290" xr:uid="{BE0BCE8E-3476-4D74-9FD8-FBB97C5793A1}"/>
    <cellStyle name="Comma 47 3 2" xfId="15059" xr:uid="{7EB22869-B113-4BBF-8D6A-1B2599FF5B0A}"/>
    <cellStyle name="Comma 47 4" xfId="4457" xr:uid="{A2224C1F-9281-4EBF-AD9E-95DCF88D8EB2}"/>
    <cellStyle name="Comma 47 4 2" xfId="15317" xr:uid="{D3778735-F554-469C-8DFC-6DFC6521D540}"/>
    <cellStyle name="Comma 47 5" xfId="5392" xr:uid="{D0A5985B-0264-4E79-9833-4A02D77EDCA7}"/>
    <cellStyle name="Comma 47 5 2" xfId="15434" xr:uid="{99D38B17-9A9A-4278-B115-1A41F4306D0A}"/>
    <cellStyle name="Comma 47 6" xfId="14803" xr:uid="{D326674D-C925-4AC1-A751-763483D15E9B}"/>
    <cellStyle name="Comma 48" xfId="533" xr:uid="{4109ED87-EA3B-42A0-A6B6-AD31AFCB1653}"/>
    <cellStyle name="Comma 48 2" xfId="1028" xr:uid="{CFB80EA3-F634-4D6C-A96C-C42A772DAF45}"/>
    <cellStyle name="Comma 48 2 2" xfId="3771" xr:uid="{6DCF8A2E-CACC-43D1-ACBE-0BDB88A5F3B2}"/>
    <cellStyle name="Comma 48 2 2 2" xfId="15184" xr:uid="{DCF0E014-6A1B-4219-BDC5-8192DBAC29B6}"/>
    <cellStyle name="Comma 48 2 3" xfId="6742" xr:uid="{7CE51338-9603-4FA3-94B8-7E9CCFA435DA}"/>
    <cellStyle name="Comma 48 2 3 2" xfId="15579" xr:uid="{BE0E8A99-C04E-4717-ACEC-449C23A3DE96}"/>
    <cellStyle name="Comma 48 2 4" xfId="14928" xr:uid="{6E6B55CF-F206-45F6-AA0C-7A409EB0A435}"/>
    <cellStyle name="Comma 48 3" xfId="3291" xr:uid="{D91DEA95-3F48-4029-9D34-007FE1922BD0}"/>
    <cellStyle name="Comma 48 3 2" xfId="15060" xr:uid="{953A89C2-0CA4-4267-BF31-7B34C3F2D294}"/>
    <cellStyle name="Comma 48 4" xfId="4458" xr:uid="{A05922B4-3E54-4264-A114-02572A1DC6E3}"/>
    <cellStyle name="Comma 48 4 2" xfId="15318" xr:uid="{D18A346F-E90E-41B5-819F-46DF34FCAF85}"/>
    <cellStyle name="Comma 48 5" xfId="5393" xr:uid="{DA9700B2-9A10-422E-99BE-C9C80F3D8FDD}"/>
    <cellStyle name="Comma 48 5 2" xfId="15435" xr:uid="{5E702796-E2A4-4FDA-9713-869E8DA644E1}"/>
    <cellStyle name="Comma 48 6" xfId="14804" xr:uid="{ACD887CC-10DB-4F2A-B6B6-7CE5B356DAB4}"/>
    <cellStyle name="Comma 49" xfId="535" xr:uid="{30FCC636-D9B0-41FE-9C70-4A677A111C1F}"/>
    <cellStyle name="Comma 49 2" xfId="1030" xr:uid="{13BA63CE-026D-4A04-9759-3A71DE44D0C8}"/>
    <cellStyle name="Comma 49 2 2" xfId="3805" xr:uid="{B581A201-AD52-4F3C-A940-3BB2E76A7DC7}"/>
    <cellStyle name="Comma 49 2 2 2" xfId="15187" xr:uid="{BBFC992A-6628-4A96-AEA7-E96501045025}"/>
    <cellStyle name="Comma 49 2 3" xfId="6776" xr:uid="{E6AB71A9-CFA4-404B-9439-FCBB335BE605}"/>
    <cellStyle name="Comma 49 2 3 2" xfId="15582" xr:uid="{74699989-6FC1-4E1C-9603-E5E37C593A65}"/>
    <cellStyle name="Comma 49 2 4" xfId="14931" xr:uid="{1DE01056-F478-4CAD-AA80-6CCC5231210F}"/>
    <cellStyle name="Comma 49 3" xfId="3325" xr:uid="{B0D74170-2777-4878-AE85-54CAD56C176B}"/>
    <cellStyle name="Comma 49 3 2" xfId="15063" xr:uid="{61AD16B3-C992-4477-8BE0-456765CC9A1D}"/>
    <cellStyle name="Comma 49 4" xfId="4492" xr:uid="{2C83BC62-9AAA-49A8-97ED-74C3EBBAA368}"/>
    <cellStyle name="Comma 49 4 2" xfId="15321" xr:uid="{0956F83B-4177-4DE7-84D7-BC1B75A8754A}"/>
    <cellStyle name="Comma 49 5" xfId="5427" xr:uid="{7B25DDE3-06B6-4669-9B24-1D2F110ADB6C}"/>
    <cellStyle name="Comma 49 5 2" xfId="15438" xr:uid="{66B87EEE-DB1E-4402-BDDF-6649B9A71949}"/>
    <cellStyle name="Comma 49 6" xfId="14807" xr:uid="{7D316E82-4B02-4D6C-8DA4-95323CD2590C}"/>
    <cellStyle name="Comma 5" xfId="442" xr:uid="{C1D2D182-7EAD-46A5-BE71-0CF93DB19ED9}"/>
    <cellStyle name="Comma 5 2" xfId="673" xr:uid="{1B8CECE9-F8B4-4916-A129-4F3DD8E4F6DF}"/>
    <cellStyle name="Comma 5 2 2" xfId="1167" xr:uid="{785452E2-9887-4F72-A44E-FE5C8A0C22BC}"/>
    <cellStyle name="Comma 5 2 2 2" xfId="8547" xr:uid="{42829025-26F6-45D1-9FE2-8D7D0BC5ED9D}"/>
    <cellStyle name="Comma 5 2 2 2 2" xfId="14625" xr:uid="{7F41B925-A7C9-4B5B-A8C1-947E792E2968}"/>
    <cellStyle name="Comma 5 2 2 3" xfId="14267" xr:uid="{9B0FCA69-DC2D-4B8C-A187-F88378AC9C1B}"/>
    <cellStyle name="Comma 5 2 2 4" xfId="2333" xr:uid="{3D952A88-561A-42D2-89D1-F964D1F7C080}"/>
    <cellStyle name="Comma 5 2 3" xfId="2604" xr:uid="{D6CC2D2F-E141-4774-A3FD-1E05D0DE0B7D}"/>
    <cellStyle name="Comma 5 2 3 2" xfId="14391" xr:uid="{6E99E0BF-E762-4B87-A12F-27CC34F252AE}"/>
    <cellStyle name="Comma 5 2 4" xfId="8362" xr:uid="{5011BC96-53FD-4E4A-A3C0-7AD52A7604F5}"/>
    <cellStyle name="Comma 5 2 4 2" xfId="14533" xr:uid="{E37B8232-104F-4BC0-8611-B89273EBAE3F}"/>
    <cellStyle name="Comma 5 2 5" xfId="14175" xr:uid="{79671695-2017-4A63-95D6-3F3CE386987C}"/>
    <cellStyle name="Comma 5 2 6" xfId="2143" xr:uid="{A29CDA19-D56B-4855-8E4F-1A2125E8A4D5}"/>
    <cellStyle name="Comma 5 3" xfId="938" xr:uid="{5128477F-F20C-467A-BA7D-B39718E7247F}"/>
    <cellStyle name="Comma 5 3 2" xfId="8513" xr:uid="{DEC700B6-B6E1-4717-9F1A-6411B2BC80EF}"/>
    <cellStyle name="Comma 5 3 2 2" xfId="14595" xr:uid="{D6CADFB0-7728-4CFC-97F7-F8488390DD98}"/>
    <cellStyle name="Comma 5 3 3" xfId="14237" xr:uid="{08EA9CA9-7E02-44EE-B849-8321D6E0EA90}"/>
    <cellStyle name="Comma 5 3 4" xfId="2299" xr:uid="{509482D7-8007-48BD-9D4A-8813D9F798C2}"/>
    <cellStyle name="Comma 5 4" xfId="2574" xr:uid="{D349C5EC-0B04-4E64-9AF5-A5087AA361B2}"/>
    <cellStyle name="Comma 5 4 2" xfId="14361" xr:uid="{E93D0F11-1386-4BCF-8B83-BD7D3D868E89}"/>
    <cellStyle name="Comma 5 5" xfId="8332" xr:uid="{83B0A3FD-997A-45A8-8DF4-420EC7E20C86}"/>
    <cellStyle name="Comma 5 5 2" xfId="14503" xr:uid="{F30D5697-23DE-450F-A669-A03340F24682}"/>
    <cellStyle name="Comma 5 6" xfId="14145" xr:uid="{9794126C-7B85-4B93-A25C-5BFF6E1C5D3B}"/>
    <cellStyle name="Comma 5 7" xfId="2098" xr:uid="{0CDDC3D1-D068-4D70-929F-77282815DB2E}"/>
    <cellStyle name="Comma 50" xfId="537" xr:uid="{EA6E6B8A-7750-49D0-8307-081B05D01ADE}"/>
    <cellStyle name="Comma 50 2" xfId="1032" xr:uid="{3AF49BCF-CF19-43A5-A409-37FAFED17263}"/>
    <cellStyle name="Comma 50 2 2" xfId="3848" xr:uid="{DDB1AB3E-BD28-40F0-AD13-23021AADA627}"/>
    <cellStyle name="Comma 50 2 2 2" xfId="15201" xr:uid="{C3DFFAF7-33EA-4709-9D60-6E09419BA550}"/>
    <cellStyle name="Comma 50 2 3" xfId="6819" xr:uid="{35405002-CA4E-4A9B-86CC-6C63A7130370}"/>
    <cellStyle name="Comma 50 2 3 2" xfId="15596" xr:uid="{7861F109-675B-45F2-958E-CA1174129DFB}"/>
    <cellStyle name="Comma 50 2 4" xfId="14945" xr:uid="{890FE3C8-9D32-4E0A-A666-C451234D8CC9}"/>
    <cellStyle name="Comma 50 3" xfId="3368" xr:uid="{19A5AB57-F54D-4072-ADDB-4C6FB39ACFC9}"/>
    <cellStyle name="Comma 50 3 2" xfId="15077" xr:uid="{115F24C6-7C9E-411B-B48F-2806D02FEFF1}"/>
    <cellStyle name="Comma 50 4" xfId="4535" xr:uid="{B5DBE05A-8CCE-4191-8364-2E62BAB8909B}"/>
    <cellStyle name="Comma 50 4 2" xfId="15335" xr:uid="{5392C173-4C15-4580-BD5F-31A8AD339A60}"/>
    <cellStyle name="Comma 50 5" xfId="5470" xr:uid="{AAB4F3D4-A124-405D-8E2D-F92345ECB7C4}"/>
    <cellStyle name="Comma 50 5 2" xfId="15452" xr:uid="{30CA70FF-7815-477F-933D-2EA94F448E3B}"/>
    <cellStyle name="Comma 50 6" xfId="14821" xr:uid="{5A15605D-1F71-4D72-8081-0F1B92D0B220}"/>
    <cellStyle name="Comma 51" xfId="539" xr:uid="{8FF978F2-BDB5-4835-A475-6A68488D01E9}"/>
    <cellStyle name="Comma 51 2" xfId="1034" xr:uid="{92EA7F73-6D72-46C4-BB3D-99A261015756}"/>
    <cellStyle name="Comma 51 2 2" xfId="14445" xr:uid="{C1048CEA-8B3D-4F05-8501-03A3BBA13FAB}"/>
    <cellStyle name="Comma 51 2 3" xfId="2718" xr:uid="{94D6FEB9-02AF-41F2-B89C-A5C97B9CF350}"/>
    <cellStyle name="Comma 51 3" xfId="5504" xr:uid="{E7B25F9E-6ADE-4CAA-A96C-088A63A53EAC}"/>
    <cellStyle name="Comma 51 3 2" xfId="15486" xr:uid="{2D949981-F6BB-49FC-B87F-DFA4621DE66B}"/>
    <cellStyle name="Comma 51 4" xfId="8679" xr:uid="{9E15A8E7-38E4-4131-801E-A4DAF14B3398}"/>
    <cellStyle name="Comma 51 4 2" xfId="14679" xr:uid="{014ADEA6-6563-4330-AFF4-B1293116843A}"/>
    <cellStyle name="Comma 51 5" xfId="14321" xr:uid="{A9B2452F-7CA3-4254-8AF0-6E2C430C4136}"/>
    <cellStyle name="Comma 51 6" xfId="2465" xr:uid="{57CB7779-EF3F-4166-9F90-0601E388109A}"/>
    <cellStyle name="Comma 52" xfId="541" xr:uid="{C6F2F223-4F8B-48E2-9DDD-A52D27779040}"/>
    <cellStyle name="Comma 52 2" xfId="1036" xr:uid="{B9FA44B0-6F92-4095-BAAD-816FEC09E86E}"/>
    <cellStyle name="Comma 52 2 2" xfId="14449" xr:uid="{8A1304F2-6DB2-468E-83E2-A57EBDBA0E6E}"/>
    <cellStyle name="Comma 52 2 3" xfId="2722" xr:uid="{EE31CF4F-4BA1-44EC-A105-AED5BAB538A5}"/>
    <cellStyle name="Comma 52 3" xfId="5508" xr:uid="{DC944349-6B9D-41C5-A3B5-6702471C05C0}"/>
    <cellStyle name="Comma 52 3 2" xfId="15490" xr:uid="{5C34C119-4ACA-4F59-89E3-27225093521C}"/>
    <cellStyle name="Comma 52 4" xfId="8683" xr:uid="{C27A701B-6C13-4B76-81F8-0FD2A998E0DD}"/>
    <cellStyle name="Comma 52 4 2" xfId="14683" xr:uid="{FDA367DB-F0ED-4042-B51A-E8426F234A13}"/>
    <cellStyle name="Comma 52 5" xfId="14325" xr:uid="{58064F33-F12C-49DE-A020-F29B4785216D}"/>
    <cellStyle name="Comma 52 6" xfId="2469" xr:uid="{1D2ECD9A-B954-48A3-81F2-ADEF44376ED4}"/>
    <cellStyle name="Comma 53" xfId="543" xr:uid="{5CDC6CB5-8CB3-49B2-BA6E-7922E242C9FB}"/>
    <cellStyle name="Comma 53 2" xfId="1038" xr:uid="{9906C487-D253-4A9E-8DB5-04A10B6955EB}"/>
    <cellStyle name="Comma 53 2 2" xfId="14451" xr:uid="{25B73036-5670-4573-98F1-8463B0ACFD7E}"/>
    <cellStyle name="Comma 53 2 3" xfId="2724" xr:uid="{AA1D23A2-ADA4-4F9D-8133-27A457C258DC}"/>
    <cellStyle name="Comma 53 3" xfId="5509" xr:uid="{4B536895-162D-4B9E-8C25-73309D113497}"/>
    <cellStyle name="Comma 53 3 2" xfId="15491" xr:uid="{22F3B77C-11D9-4DE9-8A2A-D7EF7AF210D8}"/>
    <cellStyle name="Comma 53 4" xfId="8685" xr:uid="{06808947-D02E-4242-BE76-3B203480D7FF}"/>
    <cellStyle name="Comma 53 4 2" xfId="14685" xr:uid="{785BD79D-B548-41BC-AB92-15936A8355F8}"/>
    <cellStyle name="Comma 53 5" xfId="14327" xr:uid="{59E4F89A-F43C-47F5-9B1B-BC2DF8F1E18B}"/>
    <cellStyle name="Comma 53 6" xfId="2471" xr:uid="{1AEB19F3-139C-4451-A67D-0E666EAAF9F0}"/>
    <cellStyle name="Comma 54" xfId="545" xr:uid="{1DC7518F-02D2-4E2C-9A28-B94A41F9BE21}"/>
    <cellStyle name="Comma 54 2" xfId="1040" xr:uid="{D80AD16A-62BA-434B-B6AC-6A74C9B548D0}"/>
    <cellStyle name="Comma 54 2 2" xfId="14453" xr:uid="{D8E80D97-B4B2-482F-B72A-55E6DBBE7BB3}"/>
    <cellStyle name="Comma 54 2 3" xfId="2726" xr:uid="{70E4BC39-8041-40B5-86F8-478BC50563EA}"/>
    <cellStyle name="Comma 54 3" xfId="5512" xr:uid="{2553A1DC-4AF4-42B3-8895-1263B2FFF8DB}"/>
    <cellStyle name="Comma 54 3 2" xfId="15494" xr:uid="{16453F1F-4ACD-463D-9D0B-82B6EB708D50}"/>
    <cellStyle name="Comma 54 4" xfId="8687" xr:uid="{957DF9CB-6688-4472-AED3-5A601223B655}"/>
    <cellStyle name="Comma 54 4 2" xfId="14687" xr:uid="{74C5ACA8-39BF-4CDB-8E72-69D2129A792E}"/>
    <cellStyle name="Comma 54 5" xfId="14329" xr:uid="{DEC677BC-5D2D-487A-A3F9-B50A592FCEBE}"/>
    <cellStyle name="Comma 54 6" xfId="2473" xr:uid="{6BEF69B5-2A7E-4EAE-8DE6-EE19B87D5FD8}"/>
    <cellStyle name="Comma 55" xfId="547" xr:uid="{359FA396-C244-46C5-A85C-27484C3EDD26}"/>
    <cellStyle name="Comma 55 2" xfId="1042" xr:uid="{BFEDB140-CA4C-41B4-AFBE-0CD5DC31CD90}"/>
    <cellStyle name="Comma 55 2 2" xfId="14455" xr:uid="{965F53EA-35F1-4BF4-BD24-DC390EFF38C8}"/>
    <cellStyle name="Comma 55 2 3" xfId="2728" xr:uid="{FF70EBAB-C090-4D9B-8ED7-191DA4C43C8D}"/>
    <cellStyle name="Comma 55 3" xfId="5516" xr:uid="{368C280D-E10F-4904-B3D7-CA9F24A561D7}"/>
    <cellStyle name="Comma 55 3 2" xfId="15498" xr:uid="{4E133D5B-C3ED-4DE1-A8E8-A0320282D722}"/>
    <cellStyle name="Comma 55 4" xfId="8689" xr:uid="{F8593DB1-87A7-4FE2-BD93-D617D742F32A}"/>
    <cellStyle name="Comma 55 4 2" xfId="14689" xr:uid="{02FB1874-014F-48CB-A662-16932D7982B8}"/>
    <cellStyle name="Comma 55 5" xfId="14331" xr:uid="{BF176A20-41F7-4EA0-8EE2-480C0A2B7DA1}"/>
    <cellStyle name="Comma 55 6" xfId="2475" xr:uid="{C8FD063A-B0F5-4B70-939A-F0C3147F7506}"/>
    <cellStyle name="Comma 56" xfId="549" xr:uid="{E85500BF-153E-4CA0-ACB5-C10CFF6FA724}"/>
    <cellStyle name="Comma 56 2" xfId="1044" xr:uid="{3069E666-043A-4283-B69A-10F642E25FC5}"/>
    <cellStyle name="Comma 56 2 2" xfId="14457" xr:uid="{873FDD2D-1CD1-4273-B03E-B9B16A75EEF4}"/>
    <cellStyle name="Comma 56 2 3" xfId="2730" xr:uid="{072EAC02-4CE2-4002-9E6F-F34514260618}"/>
    <cellStyle name="Comma 56 3" xfId="5518" xr:uid="{303C3328-4D70-4E1B-89C1-4675B15B0D5C}"/>
    <cellStyle name="Comma 56 3 2" xfId="15500" xr:uid="{57E63114-3E4D-4B81-BDB4-AFA90D55A9B1}"/>
    <cellStyle name="Comma 56 4" xfId="8691" xr:uid="{A694A58D-ABCF-4424-9100-020DE150EDA8}"/>
    <cellStyle name="Comma 56 4 2" xfId="14691" xr:uid="{2CB4CE41-1087-4686-88B7-557D91DFB76C}"/>
    <cellStyle name="Comma 56 5" xfId="14333" xr:uid="{087C9B57-1D44-42B1-9ADC-B621BA2571BC}"/>
    <cellStyle name="Comma 56 6" xfId="2477" xr:uid="{D8B15EE0-D9FB-42BA-977D-79A453E17203}"/>
    <cellStyle name="Comma 57" xfId="551" xr:uid="{A398DA72-5C02-4C29-A048-A21B3EEB3D85}"/>
    <cellStyle name="Comma 57 2" xfId="1046" xr:uid="{381664F7-CC92-4552-AB7F-66B4F7E9587E}"/>
    <cellStyle name="Comma 57 2 2" xfId="14459" xr:uid="{080F196E-5A10-4534-9A4E-E7D5B848DF9F}"/>
    <cellStyle name="Comma 57 2 3" xfId="2732" xr:uid="{65C9A6A2-3385-4701-AD70-D6A581CFDB12}"/>
    <cellStyle name="Comma 57 3" xfId="5520" xr:uid="{D6011DB5-587A-4CC4-910C-034918E891A3}"/>
    <cellStyle name="Comma 57 3 2" xfId="15502" xr:uid="{56CC0DF0-1904-4720-B0CD-BBE1CE0F14D1}"/>
    <cellStyle name="Comma 57 4" xfId="8693" xr:uid="{77F673BF-7603-4BB0-9185-896B0185B4FD}"/>
    <cellStyle name="Comma 57 4 2" xfId="14693" xr:uid="{A6E03596-9DE5-49C4-A418-7F9AC959FFF3}"/>
    <cellStyle name="Comma 57 5" xfId="14335" xr:uid="{D0DED7EB-781D-49C1-AE83-0D105C3875A8}"/>
    <cellStyle name="Comma 57 6" xfId="2479" xr:uid="{6057222D-BDEA-41AC-9CAC-F0C3587545BD}"/>
    <cellStyle name="Comma 58" xfId="553" xr:uid="{60E9FAEC-4B81-4630-B156-D368FD6C4429}"/>
    <cellStyle name="Comma 58 2" xfId="1048" xr:uid="{4E8F3977-D2A7-421D-9471-0EEF49C3ED67}"/>
    <cellStyle name="Comma 58 2 2" xfId="14461" xr:uid="{8078F72B-8DEA-4301-A3F9-17452A530578}"/>
    <cellStyle name="Comma 58 2 3" xfId="2734" xr:uid="{8716ADEB-9B0B-43D9-B0A5-F4E5739C2F82}"/>
    <cellStyle name="Comma 58 3" xfId="5522" xr:uid="{20DA18E6-1A4A-41B3-A141-E2BCB72B600C}"/>
    <cellStyle name="Comma 58 3 2" xfId="15504" xr:uid="{D7458D87-D632-4A8E-8E56-24FB07621710}"/>
    <cellStyle name="Comma 58 4" xfId="8695" xr:uid="{084A16FE-D669-4E61-A0BA-D350200A25EE}"/>
    <cellStyle name="Comma 58 4 2" xfId="14695" xr:uid="{20E94F55-70BD-499B-B170-A113E191401A}"/>
    <cellStyle name="Comma 58 5" xfId="14337" xr:uid="{2826BF46-AFBE-4BA8-890A-B5B15F33D95C}"/>
    <cellStyle name="Comma 58 6" xfId="2481" xr:uid="{AD67CE27-8CD7-49AA-B08C-77D11572B51E}"/>
    <cellStyle name="Comma 59" xfId="555" xr:uid="{A91B3537-70AA-4884-9F2D-907972BBE809}"/>
    <cellStyle name="Comma 59 2" xfId="1050" xr:uid="{45A70297-5313-4BCA-9828-9CDA69481C31}"/>
    <cellStyle name="Comma 59 2 2" xfId="14463" xr:uid="{07A5BFAC-2833-42ED-93B8-C29CA50FBEAE}"/>
    <cellStyle name="Comma 59 2 3" xfId="2736" xr:uid="{441503CD-1244-4DA0-8284-E42A301F5085}"/>
    <cellStyle name="Comma 59 3" xfId="5523" xr:uid="{4C5A1F7A-E186-4E4D-AC96-D3D165C2ED91}"/>
    <cellStyle name="Comma 59 3 2" xfId="15505" xr:uid="{E8D77674-3199-43B9-97A6-8A5874753D85}"/>
    <cellStyle name="Comma 59 4" xfId="8697" xr:uid="{7AADE262-8C48-4F9A-B648-45BF00167397}"/>
    <cellStyle name="Comma 59 4 2" xfId="14697" xr:uid="{05991A4B-908D-4736-A1FC-BBA7C28E4095}"/>
    <cellStyle name="Comma 59 5" xfId="14339" xr:uid="{E5A1FD02-986E-4078-8F62-F4484DAC57A4}"/>
    <cellStyle name="Comma 59 6" xfId="2483" xr:uid="{5D631783-E0A5-4A2F-B2D0-3C3853C9518E}"/>
    <cellStyle name="Comma 6" xfId="444" xr:uid="{35085B68-E4C1-46F1-8B15-3639FD0D4D14}"/>
    <cellStyle name="Comma 6 2" xfId="675" xr:uid="{54B5424B-8433-4E93-A420-57631C344EC1}"/>
    <cellStyle name="Comma 6 2 2" xfId="1169" xr:uid="{118289F3-1DEA-466D-806D-515CDC278A2C}"/>
    <cellStyle name="Comma 6 2 2 2" xfId="8549" xr:uid="{09241DD4-C61A-4813-B567-F14A31EE2363}"/>
    <cellStyle name="Comma 6 2 2 2 2" xfId="14627" xr:uid="{43E713CF-35CB-42F2-B61C-AB981C09E53C}"/>
    <cellStyle name="Comma 6 2 2 3" xfId="14269" xr:uid="{660BD179-A9E6-4288-BE38-D0638175A057}"/>
    <cellStyle name="Comma 6 2 2 4" xfId="2335" xr:uid="{A919193D-BB09-477F-9A18-E9667E58486D}"/>
    <cellStyle name="Comma 6 2 3" xfId="2606" xr:uid="{4CD329A4-1C10-4BD4-AF05-307F92B11A9F}"/>
    <cellStyle name="Comma 6 2 3 2" xfId="14393" xr:uid="{8B04FD91-6C42-4FAD-9604-9E5F40762AD7}"/>
    <cellStyle name="Comma 6 2 4" xfId="8364" xr:uid="{47BC1AD4-BEF1-4CFE-AFCE-9ED31FC10EAF}"/>
    <cellStyle name="Comma 6 2 4 2" xfId="14535" xr:uid="{B7E0C801-66C0-498C-9CA7-26F48199DB83}"/>
    <cellStyle name="Comma 6 2 5" xfId="14177" xr:uid="{EBB3C197-CBCE-48AC-92BD-DE2706CACC9F}"/>
    <cellStyle name="Comma 6 2 6" xfId="2145" xr:uid="{3679CEF5-47A2-4762-871D-08716EAF646D}"/>
    <cellStyle name="Comma 6 3" xfId="940" xr:uid="{0201C8DF-C58D-4332-9EDB-45A36D543DD7}"/>
    <cellStyle name="Comma 6 3 2" xfId="8515" xr:uid="{B7ADF90D-5B30-4048-BC8D-76624D98194F}"/>
    <cellStyle name="Comma 6 3 2 2" xfId="14597" xr:uid="{57754FC5-7FD1-4ED9-9211-65ED3267A697}"/>
    <cellStyle name="Comma 6 3 3" xfId="14239" xr:uid="{14519FC8-C662-4DCA-AED3-B518CC6B6E9C}"/>
    <cellStyle name="Comma 6 3 4" xfId="2301" xr:uid="{7616E919-0599-47F8-9259-42CB4B2474CE}"/>
    <cellStyle name="Comma 6 4" xfId="2576" xr:uid="{7F878ED2-23D1-4018-A70C-A8E997422FC8}"/>
    <cellStyle name="Comma 6 4 2" xfId="14363" xr:uid="{88F55C9E-851F-4ECB-A974-9E48F0959A1F}"/>
    <cellStyle name="Comma 6 5" xfId="8334" xr:uid="{E897FEC0-3CD9-45FC-BDF5-8B148169A7C4}"/>
    <cellStyle name="Comma 6 5 2" xfId="14505" xr:uid="{6CF401FD-3714-4886-827C-C2CD3E78AED2}"/>
    <cellStyle name="Comma 6 6" xfId="14147" xr:uid="{D6FDCDEF-E8EE-4CEF-B0DF-2E8F2AC42B84}"/>
    <cellStyle name="Comma 6 7" xfId="2100" xr:uid="{6A34C26B-65CF-43EF-9260-1498AD7BE581}"/>
    <cellStyle name="Comma 60" xfId="557" xr:uid="{81AA85AF-B81B-4044-9A64-140ECBF827EA}"/>
    <cellStyle name="Comma 60 2" xfId="1052" xr:uid="{2B48A093-AA3D-40F0-80D9-FEB37651C84B}"/>
    <cellStyle name="Comma 60 2 2" xfId="14465" xr:uid="{EB5399D4-6CE4-4B5C-B13D-203ECA058177}"/>
    <cellStyle name="Comma 60 2 3" xfId="2738" xr:uid="{267B01AA-4966-487F-8824-86E74CC8FF29}"/>
    <cellStyle name="Comma 60 3" xfId="8699" xr:uid="{B57D2338-D724-4187-8F49-649FF5BAAEC5}"/>
    <cellStyle name="Comma 60 3 2" xfId="14699" xr:uid="{E4F3CFFD-51C2-4B9B-9CC1-ACF62F9EC6D2}"/>
    <cellStyle name="Comma 60 4" xfId="14341" xr:uid="{55543D6F-C5F7-448A-8531-EA280BD2FDEB}"/>
    <cellStyle name="Comma 60 5" xfId="2485" xr:uid="{3366A15A-36AA-4BD5-B76A-6851900B6459}"/>
    <cellStyle name="Comma 61" xfId="559" xr:uid="{7B66F118-2E0E-4330-870A-5F39A7D984F6}"/>
    <cellStyle name="Comma 61 2" xfId="1054" xr:uid="{CC6BB5E3-D6FB-4B15-98ED-C914CAAB936F}"/>
    <cellStyle name="Comma 61 2 2" xfId="14466" xr:uid="{90E40861-FD5E-4F37-86E8-2F610B8746B4}"/>
    <cellStyle name="Comma 61 2 3" xfId="2739" xr:uid="{3CE8D283-74E9-48B5-9CCA-D95C75C30FC6}"/>
    <cellStyle name="Comma 61 3" xfId="8700" xr:uid="{FCAE3903-734E-4584-96F0-828AF2D2D85F}"/>
    <cellStyle name="Comma 61 3 2" xfId="14700" xr:uid="{EA2E172E-D3A0-48F9-8384-0789273A81ED}"/>
    <cellStyle name="Comma 61 4" xfId="14342" xr:uid="{141A9818-0C86-4118-AC8B-ABBF831B6475}"/>
    <cellStyle name="Comma 61 5" xfId="2486" xr:uid="{01CA1B58-A41A-4136-AE01-410965A36C34}"/>
    <cellStyle name="Comma 62" xfId="561" xr:uid="{8D4EC5FC-E3EC-4CE7-B021-3206EA60FB2A}"/>
    <cellStyle name="Comma 62 2" xfId="1056" xr:uid="{6A4D0095-60D6-44DD-B435-A80D99033F0F}"/>
    <cellStyle name="Comma 62 2 2" xfId="14469" xr:uid="{0B8F824B-5F95-43AA-85EB-0696D0821CF7}"/>
    <cellStyle name="Comma 62 2 3" xfId="2742" xr:uid="{2C1D620A-AEC5-41C5-AED4-A6847B8DA41A}"/>
    <cellStyle name="Comma 62 3" xfId="8703" xr:uid="{42F59652-6097-4CF8-979E-4FF5254AE593}"/>
    <cellStyle name="Comma 62 3 2" xfId="14703" xr:uid="{404A9A08-469C-422E-AE00-EF11468EBCE2}"/>
    <cellStyle name="Comma 62 4" xfId="14345" xr:uid="{5C70A9ED-651E-47F1-81F1-566DF3069DB6}"/>
    <cellStyle name="Comma 62 5" xfId="2489" xr:uid="{A25D19B4-3C14-43BF-895E-AA5D0EC1A02E}"/>
    <cellStyle name="Comma 63" xfId="563" xr:uid="{87B756B4-4764-4E4A-9802-F3DE73D71E44}"/>
    <cellStyle name="Comma 63 2" xfId="1058" xr:uid="{CC906F7C-97B9-4D01-B795-7F80A2FD127D}"/>
    <cellStyle name="Comma 63 2 2" xfId="14471" xr:uid="{DC968618-72B3-42CA-B8E2-A324E06A98F7}"/>
    <cellStyle name="Comma 63 2 3" xfId="2744" xr:uid="{268D7FFC-BA94-482B-801C-B544ADD74745}"/>
    <cellStyle name="Comma 63 3" xfId="8705" xr:uid="{7FCA1697-13DF-425E-8BC9-74C87286E616}"/>
    <cellStyle name="Comma 63 3 2" xfId="14705" xr:uid="{4783881A-5BAA-4125-8F1C-5534DE5F654F}"/>
    <cellStyle name="Comma 63 4" xfId="14347" xr:uid="{6E66D4B9-2664-4FA9-A9AD-BA3EF831097B}"/>
    <cellStyle name="Comma 63 5" xfId="2491" xr:uid="{660C55D3-98DE-426C-9ED7-E30AEB9933D9}"/>
    <cellStyle name="Comma 64" xfId="565" xr:uid="{31173C6B-DF2A-45AD-A504-A33A8BE64239}"/>
    <cellStyle name="Comma 64 2" xfId="1060" xr:uid="{D9577F90-1620-4D59-81D9-3F0E54C64FD2}"/>
    <cellStyle name="Comma 64 2 2" xfId="14473" xr:uid="{43825038-9B4E-4A22-AC60-90B8475DDC68}"/>
    <cellStyle name="Comma 64 2 3" xfId="2746" xr:uid="{CD90808F-A29D-4200-9F31-C9443A4D365F}"/>
    <cellStyle name="Comma 64 3" xfId="8707" xr:uid="{854D6930-1F08-4C81-B885-43DEFAC15A86}"/>
    <cellStyle name="Comma 64 3 2" xfId="14707" xr:uid="{1C6E27A3-7A9E-4363-8412-6A7C822A95FD}"/>
    <cellStyle name="Comma 64 4" xfId="14349" xr:uid="{4401F68A-8308-4258-8FE1-90B62D9FA6B6}"/>
    <cellStyle name="Comma 64 5" xfId="2493" xr:uid="{D530D5DD-1721-42BF-BCF7-A56244AC3781}"/>
    <cellStyle name="Comma 65" xfId="567" xr:uid="{91F52BA8-C06A-41B1-A49D-8AC5EB8EBDB2}"/>
    <cellStyle name="Comma 65 2" xfId="1062" xr:uid="{E1DB5676-3EE6-4B01-BD3D-660740EEAE58}"/>
    <cellStyle name="Comma 65 2 2" xfId="14474" xr:uid="{AA5E020C-F280-493E-9749-A1BCEE001645}"/>
    <cellStyle name="Comma 65 2 3" xfId="2747" xr:uid="{5612D3EC-8B7B-453E-96D1-B9BCF382077D}"/>
    <cellStyle name="Comma 65 3" xfId="8708" xr:uid="{B8476A7B-FC50-4722-8EF6-3883FE937E9B}"/>
    <cellStyle name="Comma 65 3 2" xfId="14708" xr:uid="{498F565B-150E-42C3-94B7-B5DE614FB460}"/>
    <cellStyle name="Comma 65 4" xfId="14350" xr:uid="{2ED1878D-F17D-4870-B747-2EC33CA38106}"/>
    <cellStyle name="Comma 65 5" xfId="2494" xr:uid="{4E52811C-486D-4F1B-8542-9B905CB129BE}"/>
    <cellStyle name="Comma 66" xfId="569" xr:uid="{D27F651D-5C30-46BD-BF38-786E2438E537}"/>
    <cellStyle name="Comma 66 2" xfId="1064" xr:uid="{B4D1BFDD-D258-4A72-940B-3984E0179990}"/>
    <cellStyle name="Comma 66 2 2" xfId="4062" xr:uid="{1211367F-B615-4717-89D9-AF31E3A1CF5D}"/>
    <cellStyle name="Comma 66 2 2 2" xfId="15235" xr:uid="{68274C68-F442-4902-B9B7-6EF588B06A35}"/>
    <cellStyle name="Comma 66 2 3" xfId="7033" xr:uid="{83451088-5286-4B6D-A5CB-A98F9B9346AB}"/>
    <cellStyle name="Comma 66 2 3 2" xfId="15630" xr:uid="{184BF75C-352F-43EC-8C55-9A82B61993DA}"/>
    <cellStyle name="Comma 66 2 4" xfId="14979" xr:uid="{5A778118-7161-4BEE-818F-E81B19F4BE18}"/>
    <cellStyle name="Comma 66 3" xfId="3582" xr:uid="{189FFA0C-F823-4FB2-AC24-CDC78722CF61}"/>
    <cellStyle name="Comma 66 3 2" xfId="15111" xr:uid="{39D6C66E-4CA5-4E45-BE53-8921E9E30334}"/>
    <cellStyle name="Comma 66 4" xfId="4779" xr:uid="{3642BEBD-7A08-416D-96BA-0003CEAF1FAD}"/>
    <cellStyle name="Comma 66 4 2" xfId="15370" xr:uid="{0BEFD631-A987-4133-B960-9CF11BD88DA8}"/>
    <cellStyle name="Comma 66 5" xfId="5961" xr:uid="{8243D6CC-0DE1-4C7C-AB4E-706933E0A917}"/>
    <cellStyle name="Comma 66 5 2" xfId="15507" xr:uid="{29D921AE-6EBC-4430-8A38-11D6D31CDDF9}"/>
    <cellStyle name="Comma 66 6" xfId="14855" xr:uid="{10AB2AFF-0ECA-4F03-9DA4-80004FF2AFCB}"/>
    <cellStyle name="Comma 67" xfId="571" xr:uid="{1E0F3E9A-EB42-4D67-B692-CBBAB8BAABB7}"/>
    <cellStyle name="Comma 67 2" xfId="1066" xr:uid="{97168CD1-4364-4BA1-98D1-5DEE7EDA132A}"/>
    <cellStyle name="Comma 67 2 2" xfId="4066" xr:uid="{C6DDAF4C-D8FA-4DC5-A6F0-A096E0793CF1}"/>
    <cellStyle name="Comma 67 2 2 2" xfId="15239" xr:uid="{858DCAEC-2012-491A-B575-F0B6CF3B0B18}"/>
    <cellStyle name="Comma 67 2 3" xfId="7037" xr:uid="{935AB154-2E66-4A90-9ED8-81DD4B5B029E}"/>
    <cellStyle name="Comma 67 2 3 2" xfId="15634" xr:uid="{4DAB5594-DC21-4E24-AE0A-ECEDBB29EA52}"/>
    <cellStyle name="Comma 67 2 4" xfId="14983" xr:uid="{4484B8F6-959F-48A5-823C-3A8943025884}"/>
    <cellStyle name="Comma 67 3" xfId="3586" xr:uid="{AC30BE5C-4F86-4FF2-94AA-7C1CE6A85775}"/>
    <cellStyle name="Comma 67 3 2" xfId="15115" xr:uid="{2DD5E84B-49CB-4AFD-9278-74562C56D9CF}"/>
    <cellStyle name="Comma 67 4" xfId="4783" xr:uid="{1A1FA31D-B3D5-4C1A-9FF9-1CCADB75248E}"/>
    <cellStyle name="Comma 67 4 2" xfId="15374" xr:uid="{ABB80B2A-09F6-4E03-905C-89C277C76A60}"/>
    <cellStyle name="Comma 67 5" xfId="5965" xr:uid="{0217A84A-0C32-42B9-959A-B2F5F6670463}"/>
    <cellStyle name="Comma 67 5 2" xfId="15510" xr:uid="{9B4AB3B7-E7BC-489D-B576-E99BFBC826AD}"/>
    <cellStyle name="Comma 67 6" xfId="14859" xr:uid="{8A509DEC-5370-4E34-8715-1428E2274E63}"/>
    <cellStyle name="Comma 68" xfId="573" xr:uid="{D6B28CF8-A2A5-46BA-8C73-879A6DD5CB0B}"/>
    <cellStyle name="Comma 68 2" xfId="1068" xr:uid="{EAC8825B-1418-4D1A-A8C3-F621B079F67B}"/>
    <cellStyle name="Comma 68 2 2" xfId="4068" xr:uid="{3EF0EABE-2CD8-4F14-A71F-B55CBA6F8BC4}"/>
    <cellStyle name="Comma 68 2 2 2" xfId="15241" xr:uid="{4B8A4EFB-6CA1-41AA-BD49-05781B0EC85B}"/>
    <cellStyle name="Comma 68 2 3" xfId="7039" xr:uid="{4A107F70-D6F1-4502-A13B-5F1BB160CED1}"/>
    <cellStyle name="Comma 68 2 3 2" xfId="15636" xr:uid="{FD231E47-9B10-49C4-A659-95776297FCF9}"/>
    <cellStyle name="Comma 68 2 4" xfId="14985" xr:uid="{78582FF8-5BF9-48FF-8BBB-8212434E073B}"/>
    <cellStyle name="Comma 68 3" xfId="3588" xr:uid="{086A1917-BBBE-4971-A18B-086F6D5FD586}"/>
    <cellStyle name="Comma 68 3 2" xfId="15117" xr:uid="{BB86E943-A574-4CDA-A27D-BBA4C6F0B389}"/>
    <cellStyle name="Comma 68 4" xfId="4785" xr:uid="{88C8EF84-87F6-4AA3-8B09-8AFD87AE5423}"/>
    <cellStyle name="Comma 68 4 2" xfId="15376" xr:uid="{47D33ABB-0CCD-487B-B075-5BFB0E9717EE}"/>
    <cellStyle name="Comma 68 5" xfId="5967" xr:uid="{E47A47A7-CEBC-479A-85BB-A383151E99A1}"/>
    <cellStyle name="Comma 68 5 2" xfId="15512" xr:uid="{0A47A892-D748-4241-9D52-A077E4864654}"/>
    <cellStyle name="Comma 68 6" xfId="14861" xr:uid="{DAC4C4C4-D5C5-4D6E-A39F-5F0A46DAF0E2}"/>
    <cellStyle name="Comma 69" xfId="575" xr:uid="{82E2DB08-D090-4C1D-AB7F-5EA986114FC5}"/>
    <cellStyle name="Comma 69 2" xfId="1070" xr:uid="{005F581C-ACA8-4C90-9B2A-52F79DEB812D}"/>
    <cellStyle name="Comma 69 2 2" xfId="4070" xr:uid="{CC0147C8-50A2-4B92-B1EE-374BF1A55DD4}"/>
    <cellStyle name="Comma 69 2 2 2" xfId="15243" xr:uid="{41EDFFEB-79D3-408E-8426-ACB80F00C0D9}"/>
    <cellStyle name="Comma 69 2 3" xfId="7041" xr:uid="{1DD97E59-1A28-49B2-A85C-A3C82B666B7E}"/>
    <cellStyle name="Comma 69 2 3 2" xfId="15638" xr:uid="{C7E7F538-D3BF-4F43-B971-365614720E95}"/>
    <cellStyle name="Comma 69 2 4" xfId="14987" xr:uid="{7B8ADB86-4028-4675-A67D-63B9260A9303}"/>
    <cellStyle name="Comma 69 3" xfId="3590" xr:uid="{CB572CF3-14F5-4904-A852-CA85FB9BCBB5}"/>
    <cellStyle name="Comma 69 3 2" xfId="15119" xr:uid="{AD03C48E-4CBD-4E9C-9048-590CAF26F491}"/>
    <cellStyle name="Comma 69 4" xfId="4787" xr:uid="{667AFB73-6002-4124-9C4B-F25E7C2DEB84}"/>
    <cellStyle name="Comma 69 4 2" xfId="15378" xr:uid="{57629CB5-E35D-4EBE-BB1F-F9D544D2AE4A}"/>
    <cellStyle name="Comma 69 5" xfId="5969" xr:uid="{E1D49F81-DE3E-4B13-9EBE-F224746BC25F}"/>
    <cellStyle name="Comma 69 5 2" xfId="15514" xr:uid="{8B8BA8EF-9DE6-4D89-AFF7-F2F6FE5B3F86}"/>
    <cellStyle name="Comma 69 6" xfId="14863" xr:uid="{D097F33D-C501-43D8-9311-089EC13A6A8A}"/>
    <cellStyle name="Comma 7" xfId="446" xr:uid="{21514871-4520-4E7F-9571-2045D15391C4}"/>
    <cellStyle name="Comma 7 2" xfId="677" xr:uid="{153E956D-3F47-4A03-9A6F-C2A3C760C3A3}"/>
    <cellStyle name="Comma 7 2 2" xfId="1171" xr:uid="{91B1B0E6-2712-4700-B379-6FA4BF601A76}"/>
    <cellStyle name="Comma 7 2 2 2" xfId="8551" xr:uid="{45E17806-5E09-46E1-B56E-C26A1029045A}"/>
    <cellStyle name="Comma 7 2 2 2 2" xfId="14629" xr:uid="{F2F4EA60-12C6-477A-B2D3-5C70D82F6DD7}"/>
    <cellStyle name="Comma 7 2 2 3" xfId="14271" xr:uid="{E845021D-1E0E-4718-8A57-5D45DF41E17B}"/>
    <cellStyle name="Comma 7 2 2 4" xfId="2337" xr:uid="{1D823A10-F8E2-4A99-9CBE-189B0FBDE8BB}"/>
    <cellStyle name="Comma 7 2 3" xfId="2608" xr:uid="{0F043D82-E141-4914-92D4-CE443AAA7B94}"/>
    <cellStyle name="Comma 7 2 3 2" xfId="14395" xr:uid="{7443D511-951C-40A7-81A4-05900E710FBC}"/>
    <cellStyle name="Comma 7 2 4" xfId="8366" xr:uid="{30102177-890F-4A9A-9F6A-265D72A89CEE}"/>
    <cellStyle name="Comma 7 2 4 2" xfId="14537" xr:uid="{2D48D6E9-E5D7-4D3F-B53B-8D33A3E733FC}"/>
    <cellStyle name="Comma 7 2 5" xfId="14179" xr:uid="{7A1FB9C8-D387-4B1D-86D1-0E946B342A47}"/>
    <cellStyle name="Comma 7 2 6" xfId="2147" xr:uid="{13C76D46-41D1-4228-8758-E9544BC69203}"/>
    <cellStyle name="Comma 7 3" xfId="942" xr:uid="{05017013-D71D-486F-93BB-9284582194BD}"/>
    <cellStyle name="Comma 7 3 2" xfId="8517" xr:uid="{49093F74-AFEB-4846-818C-4DABB68A0521}"/>
    <cellStyle name="Comma 7 3 2 2" xfId="14599" xr:uid="{9C9CCDE7-9F66-43AE-9761-E763AAE4583E}"/>
    <cellStyle name="Comma 7 3 3" xfId="14241" xr:uid="{59C648EF-5527-4EC0-B01A-2905E3068B77}"/>
    <cellStyle name="Comma 7 3 4" xfId="2303" xr:uid="{4EACBFAE-BD9C-4B1F-8F05-3BC0BC858ED4}"/>
    <cellStyle name="Comma 7 4" xfId="2578" xr:uid="{582AC7ED-612B-41EE-B9A4-6B74C60B05E9}"/>
    <cellStyle name="Comma 7 4 2" xfId="14365" xr:uid="{E501D6B4-5747-4F16-B301-D930BE27A076}"/>
    <cellStyle name="Comma 7 5" xfId="8336" xr:uid="{67F6F171-61E8-4B6A-BC0D-2AC3FCBFEE41}"/>
    <cellStyle name="Comma 7 5 2" xfId="14507" xr:uid="{E29DDD03-7A4C-4232-990C-9D17FCB44F67}"/>
    <cellStyle name="Comma 7 6" xfId="14149" xr:uid="{DF281F43-6695-493C-9B15-6A4CBF1133CA}"/>
    <cellStyle name="Comma 7 7" xfId="2102" xr:uid="{85F1D9CF-875D-4DDB-970B-9BAE95783695}"/>
    <cellStyle name="Comma 70" xfId="577" xr:uid="{14C33C24-C909-4112-AD3D-D61BF8B079D9}"/>
    <cellStyle name="Comma 70 2" xfId="1072" xr:uid="{4398B1DE-9C64-48EE-8810-2F28643D38B1}"/>
    <cellStyle name="Comma 70 2 2" xfId="4072" xr:uid="{45079D25-D090-4F3D-BD64-0C9C2670BAD3}"/>
    <cellStyle name="Comma 70 2 2 2" xfId="15245" xr:uid="{E19E73CF-22DB-4AEC-832A-DC64D14CEDDF}"/>
    <cellStyle name="Comma 70 2 3" xfId="7043" xr:uid="{1CDF47F4-2681-45CB-9F77-4B156D0C829A}"/>
    <cellStyle name="Comma 70 2 3 2" xfId="15640" xr:uid="{C8071B5E-CD2D-4D5B-AA28-EA5570F90465}"/>
    <cellStyle name="Comma 70 2 4" xfId="14989" xr:uid="{910E0C03-2EED-4A62-9DB6-C1790F40A70C}"/>
    <cellStyle name="Comma 70 3" xfId="3592" xr:uid="{0B0B35D0-9695-4388-A0AB-9D083CF55EA4}"/>
    <cellStyle name="Comma 70 3 2" xfId="15121" xr:uid="{4C88B0FD-55B9-4090-B163-8DF273E382F3}"/>
    <cellStyle name="Comma 70 4" xfId="4789" xr:uid="{C5E194A3-1AB3-4DBC-A3D5-03ACC41BA59E}"/>
    <cellStyle name="Comma 70 4 2" xfId="15380" xr:uid="{6B565773-850B-4790-9A96-E124CE9D2AEE}"/>
    <cellStyle name="Comma 70 5" xfId="5971" xr:uid="{FB30FD14-492F-42FD-8185-2F92F792E1E3}"/>
    <cellStyle name="Comma 70 5 2" xfId="15516" xr:uid="{F33A62B5-97FF-46AD-A34E-646A551EF0E3}"/>
    <cellStyle name="Comma 70 6" xfId="14865" xr:uid="{F05F422D-C1F4-43DB-9CB1-F1936ABE6291}"/>
    <cellStyle name="Comma 71" xfId="579" xr:uid="{790B9432-D5EE-4684-ABD8-09505EBB8EA8}"/>
    <cellStyle name="Comma 71 2" xfId="1074" xr:uid="{ABDA350E-2670-4D11-90AD-05E3C8AD130B}"/>
    <cellStyle name="Comma 71 2 2" xfId="4074" xr:uid="{5351029E-E01D-4347-BB12-0B5AD21FF642}"/>
    <cellStyle name="Comma 71 2 2 2" xfId="15247" xr:uid="{8E6B6476-B02E-48AF-A8B2-44C9250FF983}"/>
    <cellStyle name="Comma 71 2 3" xfId="7045" xr:uid="{D7D28D69-BD6A-4ACA-A052-53DED77DCDDC}"/>
    <cellStyle name="Comma 71 2 3 2" xfId="15642" xr:uid="{4F9835F3-9502-4E63-A2ED-1A9FA92E5DCA}"/>
    <cellStyle name="Comma 71 2 4" xfId="14991" xr:uid="{236FE3F7-1CF7-4804-94F3-9F8D45807EC2}"/>
    <cellStyle name="Comma 71 3" xfId="3594" xr:uid="{9460865C-B88E-49DA-A43A-D3CEC4BF3D95}"/>
    <cellStyle name="Comma 71 3 2" xfId="15123" xr:uid="{D812CE89-12CE-4400-8A80-4CF8501ADAE4}"/>
    <cellStyle name="Comma 71 4" xfId="4791" xr:uid="{3A9D2B9D-725D-426D-9D91-815AEA0355C2}"/>
    <cellStyle name="Comma 71 4 2" xfId="15382" xr:uid="{BBD53452-9CCB-41E9-991A-B436F1E4F08B}"/>
    <cellStyle name="Comma 71 5" xfId="5973" xr:uid="{27C9B668-D0D2-4E91-87A4-15D9AD94DE55}"/>
    <cellStyle name="Comma 71 5 2" xfId="15518" xr:uid="{7E561B3D-D801-4D18-B4F3-A9C0B8EC59E2}"/>
    <cellStyle name="Comma 71 6" xfId="14867" xr:uid="{12F55B8A-5E50-433E-9564-787C2E2E3118}"/>
    <cellStyle name="Comma 72" xfId="581" xr:uid="{05F28562-C9F9-4EAA-B99E-EB0FB7C0CE1C}"/>
    <cellStyle name="Comma 72 2" xfId="1076" xr:uid="{91BB4796-60BF-4991-99ED-A15E2D035528}"/>
    <cellStyle name="Comma 72 2 2" xfId="4076" xr:uid="{6A90C882-4098-4879-834C-C33AB2499F8D}"/>
    <cellStyle name="Comma 72 2 2 2" xfId="15249" xr:uid="{DB6779D2-103D-4ABA-8EE3-A5878C915E11}"/>
    <cellStyle name="Comma 72 2 3" xfId="7047" xr:uid="{F95826C5-DF50-41A8-B5D1-CAB826C61422}"/>
    <cellStyle name="Comma 72 2 3 2" xfId="15644" xr:uid="{1346F535-1598-4BBE-81E2-77EF34FAD73E}"/>
    <cellStyle name="Comma 72 2 4" xfId="14993" xr:uid="{EC583CCA-0670-4368-A74B-1F51C0873967}"/>
    <cellStyle name="Comma 72 3" xfId="3596" xr:uid="{E96E7C88-DC4A-42F4-AEF9-089ABD94E0CA}"/>
    <cellStyle name="Comma 72 3 2" xfId="15125" xr:uid="{97FD6FD4-D127-43E2-A102-8877EEDDC6DF}"/>
    <cellStyle name="Comma 72 4" xfId="4793" xr:uid="{59BAD376-CBA7-4CCD-A636-4C26ABB4478F}"/>
    <cellStyle name="Comma 72 4 2" xfId="15384" xr:uid="{016E5BD9-19D6-4889-BFAD-1F2C20C9D4D1}"/>
    <cellStyle name="Comma 72 5" xfId="5975" xr:uid="{2C783F07-3A74-4CFC-BB53-AAD99CE9434B}"/>
    <cellStyle name="Comma 72 5 2" xfId="15520" xr:uid="{A4498D1B-1E3D-4117-8DA7-82C5FFF66077}"/>
    <cellStyle name="Comma 72 6" xfId="14869" xr:uid="{BD8F0D84-AE12-4E74-97E5-B4A395869C6F}"/>
    <cellStyle name="Comma 73" xfId="583" xr:uid="{8295B544-6C51-480E-B7E3-B4BFEE879986}"/>
    <cellStyle name="Comma 73 2" xfId="1078" xr:uid="{681C6060-4693-450E-8805-57D630A0C4ED}"/>
    <cellStyle name="Comma 73 2 2" xfId="4077" xr:uid="{A867115A-DC8B-4CFC-8221-296F70F9F9F7}"/>
    <cellStyle name="Comma 73 2 2 2" xfId="15250" xr:uid="{9CB65B85-707E-4077-8B0D-B23A01E5E2E7}"/>
    <cellStyle name="Comma 73 2 3" xfId="7048" xr:uid="{6FF15BE9-6B10-46D1-B47E-8E789D98EBDB}"/>
    <cellStyle name="Comma 73 2 3 2" xfId="15645" xr:uid="{9787F046-D3C3-442B-9F98-D74B7D130B8B}"/>
    <cellStyle name="Comma 73 2 4" xfId="14994" xr:uid="{F806EEF2-460F-4F39-B3BF-3648482B02D8}"/>
    <cellStyle name="Comma 73 3" xfId="3597" xr:uid="{95DF73F8-CACB-4521-818D-7CC8A29B3500}"/>
    <cellStyle name="Comma 73 3 2" xfId="15126" xr:uid="{073D4E29-3C76-471E-B878-895C1E6CD5B6}"/>
    <cellStyle name="Comma 73 4" xfId="4794" xr:uid="{0DC5CF45-5361-4304-9C0C-C07B88F7A57B}"/>
    <cellStyle name="Comma 73 4 2" xfId="15385" xr:uid="{C5DBEE9D-024B-4103-99C5-076C7B5EAA43}"/>
    <cellStyle name="Comma 73 5" xfId="5976" xr:uid="{92462E79-E77C-4711-90A1-E64C93E65434}"/>
    <cellStyle name="Comma 73 5 2" xfId="15521" xr:uid="{C13430D1-069B-4F6B-BE47-C8BDD9CD46B1}"/>
    <cellStyle name="Comma 73 6" xfId="14870" xr:uid="{3CAF57B7-2A19-4281-986E-3FA63217F9EC}"/>
    <cellStyle name="Comma 74" xfId="585" xr:uid="{DA89F02C-67EB-409F-87E9-5E998EAB6B4C}"/>
    <cellStyle name="Comma 74 2" xfId="1080" xr:uid="{E8BC66DC-6EB0-45E3-BCE4-BDCD61E2F726}"/>
    <cellStyle name="Comma 74 2 2" xfId="4200" xr:uid="{DAD87A6C-B79A-4F7D-99EA-29115DCA532C}"/>
    <cellStyle name="Comma 74 2 2 2" xfId="15253" xr:uid="{E804F314-4CCD-47AB-BF9A-814B9ACFCC50}"/>
    <cellStyle name="Comma 74 2 3" xfId="7171" xr:uid="{DE9CE45F-2E4B-4539-89F2-F05D2B362CA3}"/>
    <cellStyle name="Comma 74 2 3 2" xfId="15648" xr:uid="{60708C1C-D24A-4C0F-8D75-48E0AC5F4CBD}"/>
    <cellStyle name="Comma 74 2 4" xfId="14997" xr:uid="{5CE68A7A-6429-46A4-B535-1B3452EC81E2}"/>
    <cellStyle name="Comma 74 3" xfId="3720" xr:uid="{DF5A35B6-D6C9-474C-A226-960FA4BD9BEF}"/>
    <cellStyle name="Comma 74 3 2" xfId="15129" xr:uid="{92AB6249-F8C9-44E6-A64B-4F8B7A65D269}"/>
    <cellStyle name="Comma 74 4" xfId="6177" xr:uid="{9391889F-A229-4AE8-9F3C-044B4E39E178}"/>
    <cellStyle name="Comma 74 4 2" xfId="15524" xr:uid="{90EC0F4C-E8C7-4A75-9081-2912ED6C7113}"/>
    <cellStyle name="Comma 74 5" xfId="14873" xr:uid="{30C19BE7-2C8B-487D-8EE3-775593016B1E}"/>
    <cellStyle name="Comma 75" xfId="587" xr:uid="{8CE44788-95D2-4627-B91A-FDD43395F0F1}"/>
    <cellStyle name="Comma 75 2" xfId="1082" xr:uid="{8CF73EE9-BA90-45A3-B9C8-AD1A0F1A8E04}"/>
    <cellStyle name="Comma 75 2 2" xfId="4204" xr:uid="{A6987FFB-AB89-46E7-B462-9E57B570A144}"/>
    <cellStyle name="Comma 75 2 2 2" xfId="15257" xr:uid="{FDAC39DF-A2A4-4D44-AA8C-B64AB6F3A903}"/>
    <cellStyle name="Comma 75 2 3" xfId="7175" xr:uid="{3CC77D10-1201-4557-ACF8-FB066AC0614E}"/>
    <cellStyle name="Comma 75 2 3 2" xfId="15652" xr:uid="{1F688B24-65EE-404E-9012-40EAA07E811D}"/>
    <cellStyle name="Comma 75 2 4" xfId="15001" xr:uid="{193D51ED-49AB-4877-A175-9F1D7D8C200C}"/>
    <cellStyle name="Comma 75 3" xfId="3724" xr:uid="{22399489-CE20-4F0E-B058-AC205138EF3B}"/>
    <cellStyle name="Comma 75 3 2" xfId="15133" xr:uid="{2B88285F-43CC-409A-93EE-47D6B02DE18C}"/>
    <cellStyle name="Comma 75 4" xfId="6181" xr:uid="{5FA141FE-73B7-4AA7-86D3-6F74E9A403FC}"/>
    <cellStyle name="Comma 75 4 2" xfId="15528" xr:uid="{3186C735-F2CD-45A1-B287-D4E4535C4451}"/>
    <cellStyle name="Comma 75 5" xfId="14877" xr:uid="{ED39AFCE-CF05-427C-B4B6-0CFE700A0F2B}"/>
    <cellStyle name="Comma 76" xfId="589" xr:uid="{14D2693A-20E0-441F-BBE2-D661C7F9F392}"/>
    <cellStyle name="Comma 76 2" xfId="1084" xr:uid="{7D9DB0A0-DF47-429E-9952-407EF5AE1CDA}"/>
    <cellStyle name="Comma 76 2 2" xfId="4205" xr:uid="{E5F3C1E1-D142-45BF-A7A2-E5B95A65712A}"/>
    <cellStyle name="Comma 76 2 2 2" xfId="15258" xr:uid="{561C6A6B-9FDA-4F04-A7AE-2ABCDB799261}"/>
    <cellStyle name="Comma 76 2 3" xfId="7176" xr:uid="{3E335E38-B109-4B84-B50A-7C86DF310274}"/>
    <cellStyle name="Comma 76 2 3 2" xfId="15653" xr:uid="{0B5C1C62-8316-425B-BA80-BE3372A6704A}"/>
    <cellStyle name="Comma 76 2 4" xfId="15002" xr:uid="{1323984D-3E0F-49D6-94E4-1AB74DB5ACF0}"/>
    <cellStyle name="Comma 76 3" xfId="3725" xr:uid="{8D273ECE-CBBF-45DB-9D33-64FBFF8F8BF6}"/>
    <cellStyle name="Comma 76 3 2" xfId="15134" xr:uid="{9A51DE05-369A-4839-BF38-5306B8D748F0}"/>
    <cellStyle name="Comma 76 4" xfId="6182" xr:uid="{FB427890-C500-4FFB-9D69-7870618C246E}"/>
    <cellStyle name="Comma 76 4 2" xfId="15529" xr:uid="{AE72454E-04EA-4CD9-9BDF-B35612F26F64}"/>
    <cellStyle name="Comma 76 5" xfId="14878" xr:uid="{C3BFE9D4-76D6-4619-AE43-3E1E0A875DDF}"/>
    <cellStyle name="Comma 77" xfId="591" xr:uid="{F5B17482-AF2F-4486-8A8F-94036BDF7321}"/>
    <cellStyle name="Comma 77 2" xfId="1086" xr:uid="{8C0EAC30-5B37-44FF-8471-F482549B68C3}"/>
    <cellStyle name="Comma 77 2 2" xfId="14477" xr:uid="{2755087A-A7E0-45F4-A9CC-07B1EA06AC17}"/>
    <cellStyle name="Comma 77 3" xfId="2810" xr:uid="{24101E40-D016-4CB7-ACEF-1675605A3CE0}"/>
    <cellStyle name="Comma 78" xfId="593" xr:uid="{D7EB11CF-F528-4E40-B319-60C7F3002AD2}"/>
    <cellStyle name="Comma 78 2" xfId="1088" xr:uid="{242D58C9-642B-4F40-9348-8C6245ED9955}"/>
    <cellStyle name="Comma 78 2 2" xfId="14481" xr:uid="{C498A1B4-54C1-47D4-8C96-D97447B2394D}"/>
    <cellStyle name="Comma 78 3" xfId="2814" xr:uid="{DB585110-CCBE-4F23-8ABA-6A3E44378DA0}"/>
    <cellStyle name="Comma 79" xfId="595" xr:uid="{56839932-057E-4F88-8CC9-ACE48D511ACB}"/>
    <cellStyle name="Comma 79 2" xfId="1090" xr:uid="{AB31B646-2B9B-44A8-A570-D2F37CF0B30D}"/>
    <cellStyle name="Comma 79 2 2" xfId="14482" xr:uid="{6A9E795E-61A3-4886-A07F-5DE85FEC4707}"/>
    <cellStyle name="Comma 79 3" xfId="2815" xr:uid="{BD6395D1-EC9C-4F14-9B4E-C8874CA441CC}"/>
    <cellStyle name="Comma 8" xfId="448" xr:uid="{BC4B403A-AFF6-4A5B-BA76-266E8DBFE2D3}"/>
    <cellStyle name="Comma 8 2" xfId="679" xr:uid="{6EECB0D6-9827-481F-BFE6-659CB0532BCB}"/>
    <cellStyle name="Comma 8 2 2" xfId="1173" xr:uid="{647DD61B-3576-4D90-BA15-377A5C9AD500}"/>
    <cellStyle name="Comma 8 2 2 2" xfId="8553" xr:uid="{9116C45F-F49A-4772-B7F9-C21401461111}"/>
    <cellStyle name="Comma 8 2 2 2 2" xfId="14631" xr:uid="{35A1105E-8633-4902-A35A-5C62333921BD}"/>
    <cellStyle name="Comma 8 2 2 3" xfId="14273" xr:uid="{61965E61-E3A3-49C5-913F-C249DE94C92E}"/>
    <cellStyle name="Comma 8 2 2 4" xfId="2339" xr:uid="{C95683BA-B4D3-4BA4-850A-134B777CAB96}"/>
    <cellStyle name="Comma 8 2 3" xfId="2610" xr:uid="{34428C4A-25ED-4CC6-8626-B0700D385F4A}"/>
    <cellStyle name="Comma 8 2 3 2" xfId="14397" xr:uid="{FA10F7B0-C744-4F1E-8A76-38061AC057F3}"/>
    <cellStyle name="Comma 8 2 4" xfId="8368" xr:uid="{ACD2C763-4728-4AAA-9987-98A19886EB6D}"/>
    <cellStyle name="Comma 8 2 4 2" xfId="14539" xr:uid="{6E241454-F536-41D3-B044-DA459556B3E5}"/>
    <cellStyle name="Comma 8 2 5" xfId="14181" xr:uid="{6BA71B5F-B66F-4794-A6A3-479B6B945628}"/>
    <cellStyle name="Comma 8 2 6" xfId="2149" xr:uid="{2D085EFF-3881-4162-970A-45485FFB388A}"/>
    <cellStyle name="Comma 8 3" xfId="944" xr:uid="{E8C00C2A-A861-4AA4-8881-F0FEC963C4B9}"/>
    <cellStyle name="Comma 8 3 2" xfId="8519" xr:uid="{E2F5387D-529E-4938-AB06-65F8D1A8AA84}"/>
    <cellStyle name="Comma 8 3 2 2" xfId="14601" xr:uid="{577CB748-08A0-4224-BDFF-D63545BA1B0F}"/>
    <cellStyle name="Comma 8 3 3" xfId="14243" xr:uid="{C16275C1-697D-4C15-B77B-79FD95CC3FDC}"/>
    <cellStyle name="Comma 8 3 4" xfId="2305" xr:uid="{5117BB1D-B489-44A3-B5AF-5335998CD0AF}"/>
    <cellStyle name="Comma 8 4" xfId="2580" xr:uid="{98356499-89CA-4DEB-A2D5-9CC02BC2D9BE}"/>
    <cellStyle name="Comma 8 4 2" xfId="14367" xr:uid="{5BA82343-BABC-4A11-82DB-6DBC13238848}"/>
    <cellStyle name="Comma 8 5" xfId="8338" xr:uid="{7210D83E-BCF8-4125-A798-CB88C994E3E8}"/>
    <cellStyle name="Comma 8 5 2" xfId="14509" xr:uid="{0BBBFC22-2876-444F-B347-4A927E891D1D}"/>
    <cellStyle name="Comma 8 6" xfId="14151" xr:uid="{890E8F68-F8D3-4DD8-B31C-8B9EF7AFE850}"/>
    <cellStyle name="Comma 8 7" xfId="2104" xr:uid="{8E475883-0621-4F33-8307-BDE5C35ECB22}"/>
    <cellStyle name="Comma 80" xfId="597" xr:uid="{06EC9AD0-B3AE-431E-82BA-6B007AFC9E85}"/>
    <cellStyle name="Comma 80 2" xfId="1092" xr:uid="{A2920C5A-3D80-4796-9432-C0929311484E}"/>
    <cellStyle name="Comma 80 2 2" xfId="15137" xr:uid="{2EAB5045-F7B8-446C-9703-7E795479F7E3}"/>
    <cellStyle name="Comma 80 3" xfId="6695" xr:uid="{034DA696-C071-4236-BDE2-4A09243C4C33}"/>
    <cellStyle name="Comma 80 3 2" xfId="15532" xr:uid="{C331C81F-3461-4BAE-B487-0FFFEB088CFF}"/>
    <cellStyle name="Comma 80 4" xfId="14881" xr:uid="{35344344-4FC2-4C3E-8312-476A4B5EFAEC}"/>
    <cellStyle name="Comma 81" xfId="599" xr:uid="{545D00FE-9C94-4E54-99FB-62EFE38D23C3}"/>
    <cellStyle name="Comma 81 2" xfId="1094" xr:uid="{1ED45B83-DF14-4A6E-AA45-AC3B0F381B8B}"/>
    <cellStyle name="Comma 81 2 2" xfId="15261" xr:uid="{0061514A-1BC5-4F9F-A831-A62EB0FDFDD8}"/>
    <cellStyle name="Comma 81 3" xfId="7179" xr:uid="{AE4B833C-7934-4BE6-B0BF-CFE142FF9FF4}"/>
    <cellStyle name="Comma 81 3 2" xfId="15656" xr:uid="{965FA23F-10B3-472A-A776-D613F884157E}"/>
    <cellStyle name="Comma 81 4" xfId="15005" xr:uid="{9F82EDDE-D15C-4956-8F56-42D44EA8FA9C}"/>
    <cellStyle name="Comma 82" xfId="600" xr:uid="{BE21A718-9EFC-441B-B86D-C08CA662CB31}"/>
    <cellStyle name="Comma 82 2" xfId="1095" xr:uid="{0DCB834F-4399-48D9-A853-E4BF5469FF03}"/>
    <cellStyle name="Comma 82 2 2" xfId="15265" xr:uid="{77E0CED4-5CF3-4D64-8B48-8EDB1C919E1A}"/>
    <cellStyle name="Comma 82 3" xfId="7183" xr:uid="{80CE1779-CEA0-484F-82A0-37F5B9475E46}"/>
    <cellStyle name="Comma 82 3 2" xfId="15660" xr:uid="{2B765FAB-078D-4934-8BD8-949455E9E5F6}"/>
    <cellStyle name="Comma 82 4" xfId="15009" xr:uid="{0624EE7C-39D4-48F4-AC37-34EC4E280106}"/>
    <cellStyle name="Comma 83" xfId="603" xr:uid="{5776AD98-7A72-484D-AF2F-177A0CD632B4}"/>
    <cellStyle name="Comma 83 2" xfId="1098" xr:uid="{6AC16A8A-94F3-4848-BB5A-D0B4398A831C}"/>
    <cellStyle name="Comma 83 2 2" xfId="15266" xr:uid="{9628A0DE-5601-4506-AB42-72195FF27EC0}"/>
    <cellStyle name="Comma 83 3" xfId="7184" xr:uid="{42DFC7F6-D455-401B-A121-E035D38D1725}"/>
    <cellStyle name="Comma 83 3 2" xfId="15661" xr:uid="{8AEEA7BE-E21F-433C-86C5-DE22FD5ECFFD}"/>
    <cellStyle name="Comma 83 4" xfId="15010" xr:uid="{C17960DB-F877-4C20-ADA3-E8BA54A3D2FF}"/>
    <cellStyle name="Comma 84" xfId="607" xr:uid="{388D430A-8DD1-432A-A123-813692CD142A}"/>
    <cellStyle name="Comma 84 2" xfId="1102" xr:uid="{4E1A1271-2314-46F2-A986-6F32C2CCB4BB}"/>
    <cellStyle name="Comma 84 2 2" xfId="15664" xr:uid="{1BABC048-0630-4487-8F14-EF79F93D15B4}"/>
    <cellStyle name="Comma 84 3" xfId="14485" xr:uid="{2500C76E-09C6-40CC-9061-699D7D4392D4}"/>
    <cellStyle name="Comma 84 4" xfId="3242" xr:uid="{60CC85C4-9746-458C-AEED-24AE7838C741}"/>
    <cellStyle name="Comma 85" xfId="609" xr:uid="{1093B723-A080-417B-9AE5-C512B25F43AB}"/>
    <cellStyle name="Comma 85 2" xfId="1104" xr:uid="{61E92267-5954-45D2-B3B7-6DD44916AD87}"/>
    <cellStyle name="Comma 85 2 2" xfId="15666" xr:uid="{7A7D697B-1CB7-4FDC-A5C5-BCB4F7A374EB}"/>
    <cellStyle name="Comma 85 3" xfId="14488" xr:uid="{B62D1636-5919-47F0-A0C7-1467D9885AB0}"/>
    <cellStyle name="Comma 85 4" xfId="3245" xr:uid="{AB8A3A73-0440-46F6-B08A-8DB480B8ABAD}"/>
    <cellStyle name="Comma 86" xfId="611" xr:uid="{D050A477-CB4B-415E-9EB0-D98D216F1FBA}"/>
    <cellStyle name="Comma 86 2" xfId="1106" xr:uid="{32A99A70-A887-49C5-863E-2F965DBC4094}"/>
    <cellStyle name="Comma 86 2 2" xfId="15668" xr:uid="{79D41089-618D-4329-9FC5-768322C55CEF}"/>
    <cellStyle name="Comma 86 3" xfId="15013" xr:uid="{53A38663-AAF2-4049-ABD6-F423D348099B}"/>
    <cellStyle name="Comma 87" xfId="613" xr:uid="{19268E0C-F72B-410F-9EA6-989F13D49017}"/>
    <cellStyle name="Comma 87 2" xfId="1108" xr:uid="{885BE66A-98FA-4E3A-91E0-2DD2F92D4A7F}"/>
    <cellStyle name="Comma 87 2 2" xfId="15670" xr:uid="{63D91D56-9C1A-46A4-AE8A-4500EA7C0873}"/>
    <cellStyle name="Comma 87 3" xfId="14491" xr:uid="{494C9BCD-9AA9-4F38-AA75-88D989D459E4}"/>
    <cellStyle name="Comma 87 4" xfId="4325" xr:uid="{85660222-DD34-450C-906B-44FF3F2DBAEB}"/>
    <cellStyle name="Comma 88" xfId="615" xr:uid="{DD978FF7-8BF6-4649-A9A6-8A14F182BB00}"/>
    <cellStyle name="Comma 88 2" xfId="1110" xr:uid="{23395509-9302-47C6-B3F1-986F7FD3AC64}"/>
    <cellStyle name="Comma 88 2 2" xfId="15672" xr:uid="{BA1FBD09-50E1-4470-8773-18352E44F5B5}"/>
    <cellStyle name="Comma 88 3" xfId="15270" xr:uid="{20CC7251-1C59-47F7-ADDD-FCEDBE6842FE}"/>
    <cellStyle name="Comma 89" xfId="617" xr:uid="{46E0E052-00F7-4EA8-B700-1D82CA072F52}"/>
    <cellStyle name="Comma 89 2" xfId="1112" xr:uid="{91EF8D77-F7D1-48C1-8585-D063D967D6EB}"/>
    <cellStyle name="Comma 89 2 2" xfId="15674" xr:uid="{C299EB89-4543-4E1A-B42A-19D699C7E843}"/>
    <cellStyle name="Comma 89 3" xfId="15272" xr:uid="{5DA600B1-88FF-40D5-B334-BB414F53B9F1}"/>
    <cellStyle name="Comma 9" xfId="450" xr:uid="{1F908EE4-6A23-4CB3-B4B6-32B49504FAD3}"/>
    <cellStyle name="Comma 9 2" xfId="681" xr:uid="{71D47005-8F2B-4711-A184-233F4B81D354}"/>
    <cellStyle name="Comma 9 2 2" xfId="1175" xr:uid="{7E423000-C5D1-4388-A012-8BCFCEC2892C}"/>
    <cellStyle name="Comma 9 2 2 2" xfId="8555" xr:uid="{F65FECA5-8076-4707-AB18-4C402838404D}"/>
    <cellStyle name="Comma 9 2 2 2 2" xfId="14633" xr:uid="{13B455F6-0FCE-455D-B99A-9CC3E101801D}"/>
    <cellStyle name="Comma 9 2 2 3" xfId="14275" xr:uid="{FEE14376-AD56-4BF4-990B-31CBD5397B3C}"/>
    <cellStyle name="Comma 9 2 2 4" xfId="2341" xr:uid="{559B9FB0-A7CD-4B34-9816-811488C3E0A4}"/>
    <cellStyle name="Comma 9 2 3" xfId="2612" xr:uid="{D7C9DCE6-50CA-4B9F-A704-00900034D53C}"/>
    <cellStyle name="Comma 9 2 3 2" xfId="14399" xr:uid="{932AFCAC-68FB-45EE-98D4-108EBF26AEFD}"/>
    <cellStyle name="Comma 9 2 4" xfId="8370" xr:uid="{2E87C101-43CE-49EF-B9D6-C0BE7C231745}"/>
    <cellStyle name="Comma 9 2 4 2" xfId="14541" xr:uid="{EDF5146F-0D37-4E0F-BB4D-1F61B7FC754F}"/>
    <cellStyle name="Comma 9 2 5" xfId="14183" xr:uid="{5473BA78-C9FA-4176-961F-C841034DE9C8}"/>
    <cellStyle name="Comma 9 2 6" xfId="2151" xr:uid="{DB8997A5-65DD-40AE-A36D-4D95DE92491F}"/>
    <cellStyle name="Comma 9 3" xfId="946" xr:uid="{6C173A20-8DEE-49C6-8240-980606AD3F14}"/>
    <cellStyle name="Comma 9 3 2" xfId="8521" xr:uid="{25FC310E-9CC9-4B4A-9143-216EED01D436}"/>
    <cellStyle name="Comma 9 3 2 2" xfId="14603" xr:uid="{14E33692-A263-4001-B44D-4B44E1E64593}"/>
    <cellStyle name="Comma 9 3 3" xfId="14245" xr:uid="{A0DB01F2-DDB2-446B-B05C-AE1BEA948ED5}"/>
    <cellStyle name="Comma 9 3 4" xfId="2307" xr:uid="{321A9CE4-A4B6-40DA-8949-1473910B27D0}"/>
    <cellStyle name="Comma 9 4" xfId="2582" xr:uid="{52E2973D-E5C2-4D1E-B94E-A1144317D0AE}"/>
    <cellStyle name="Comma 9 4 2" xfId="14369" xr:uid="{0CA6617E-94D6-4ECA-B052-5980B94FB814}"/>
    <cellStyle name="Comma 9 5" xfId="8340" xr:uid="{881BA9B2-B85A-4C30-9236-CA4A019E46C7}"/>
    <cellStyle name="Comma 9 5 2" xfId="14511" xr:uid="{E0171745-74BE-4444-846F-154F5BA2F512}"/>
    <cellStyle name="Comma 9 6" xfId="14153" xr:uid="{E8A27080-9CFE-4EC2-8E72-47F427559238}"/>
    <cellStyle name="Comma 9 7" xfId="2106" xr:uid="{6684AECE-CA85-4019-9AB3-EC8C3D5F9C6D}"/>
    <cellStyle name="Comma 90" xfId="619" xr:uid="{DEEF5701-3AC0-41EF-8B29-A424CD4B7BEB}"/>
    <cellStyle name="Comma 90 2" xfId="1114" xr:uid="{9B827F78-686E-49B2-A26D-5A0DF9C7AC5A}"/>
    <cellStyle name="Comma 90 2 2" xfId="15675" xr:uid="{FEF8071B-3C5D-43B0-A6C0-278565C4E328}"/>
    <cellStyle name="Comma 90 3" xfId="15386" xr:uid="{31FD3053-0ED2-4296-BC83-03ABBB71B48A}"/>
    <cellStyle name="Comma 91" xfId="621" xr:uid="{D9DF874A-DE53-43C6-87D1-705D39BBEFAB}"/>
    <cellStyle name="Comma 91 2" xfId="1116" xr:uid="{D1F55C89-4898-49CD-9908-3EFE931AB553}"/>
    <cellStyle name="Comma 92" xfId="623" xr:uid="{A14CD11D-49FB-45C8-8556-6387ECF206D2}"/>
    <cellStyle name="Comma 92 2" xfId="1118" xr:uid="{AF2E5992-F61D-4DF5-BF7E-D4C26CD88905}"/>
    <cellStyle name="Comma 93" xfId="625" xr:uid="{2900C489-C0C8-4B16-9792-8BBDBE51DB2E}"/>
    <cellStyle name="Comma 93 2" xfId="1120" xr:uid="{F46AB90D-ECF6-44EB-9103-81F00D0B10F3}"/>
    <cellStyle name="Comma 94" xfId="627" xr:uid="{F2B3E87E-6729-44D5-8B26-A18EB7C5D1F5}"/>
    <cellStyle name="Comma 94 2" xfId="1122" xr:uid="{0005E4D9-6C12-48F7-B320-6177308E1225}"/>
    <cellStyle name="Comma 95" xfId="629" xr:uid="{80E0C8E6-24CE-490E-B3A7-A54DD7C0701D}"/>
    <cellStyle name="Comma 95 2" xfId="1124" xr:uid="{29CA88CA-A402-4678-BA64-CBE0B2F21A9A}"/>
    <cellStyle name="Comma 96" xfId="631" xr:uid="{033B3F63-50F9-407D-BEC8-FDEBF44F7303}"/>
    <cellStyle name="Comma 96 2" xfId="1126" xr:uid="{71CEB801-03FF-423D-B76E-14289D54081F}"/>
    <cellStyle name="Comma 97" xfId="633" xr:uid="{99DF171A-10ED-4CAA-8714-D6845DDA1080}"/>
    <cellStyle name="Comma 97 2" xfId="1128" xr:uid="{C55D8507-776D-4B90-8815-CB5152C1471F}"/>
    <cellStyle name="Comma 98" xfId="635" xr:uid="{693CFCF1-5941-4635-A283-2CFB47BF6F43}"/>
    <cellStyle name="Comma 98 2" xfId="1130" xr:uid="{049CA6FF-BFF3-415C-8F21-7481C4CD50B8}"/>
    <cellStyle name="Comma 99" xfId="637" xr:uid="{35B0DD34-DBC4-4A5B-B020-609F8DC6CDD4}"/>
    <cellStyle name="Comma 99 2" xfId="1132" xr:uid="{BA58D3A1-BF9A-49A7-91CA-EE912C7903DF}"/>
    <cellStyle name="Comma0" xfId="1725" xr:uid="{849F7EC8-DBD2-4419-86EE-086E12CA931D}"/>
    <cellStyle name="Comma0 - Estilo3" xfId="1726" xr:uid="{65273B11-D6BB-415B-A91D-39158A6A8B63}"/>
    <cellStyle name="Comma0 2" xfId="15678" xr:uid="{18E194BC-DD0B-4DC5-B21B-3C9506AACA8B}"/>
    <cellStyle name="Comma0_Costos Operación NNM 2005" xfId="1727" xr:uid="{E7D7E268-C556-451E-987C-2CEF0BA3325A}"/>
    <cellStyle name="Comma1 - Estilo1" xfId="1728" xr:uid="{6C5BB986-1D2A-47AF-A13E-7F52ADA575C7}"/>
    <cellStyle name="Currency" xfId="429" xr:uid="{48E89918-6FD1-4B7C-84A9-8BD5999081EF}"/>
    <cellStyle name="Currency [0]" xfId="430" xr:uid="{511958F2-A8E7-49F0-99B3-23F64F615AE0}"/>
    <cellStyle name="Currency [0] 10" xfId="849" xr:uid="{1ECEC172-BF14-41BB-BD9F-9C2AB944F314}"/>
    <cellStyle name="Currency [0] 10 2" xfId="1343" xr:uid="{EB4BB414-DAFE-4FEF-88DE-3DF76FDE47DC}"/>
    <cellStyle name="Currency [0] 10 2 2" xfId="14444" xr:uid="{76B8025A-79B2-4C69-9BD9-FA9A249A07BF}"/>
    <cellStyle name="Currency [0] 10 2 3" xfId="2717" xr:uid="{D96DB678-482F-496E-8BE3-F71D65CEAF3D}"/>
    <cellStyle name="Currency [0] 10 3" xfId="5503" xr:uid="{5743C99A-3E27-4ABA-A348-827F2068E67D}"/>
    <cellStyle name="Currency [0] 10 3 2" xfId="15485" xr:uid="{A00D80CB-A6FC-4418-8AD1-BA4F1688C13A}"/>
    <cellStyle name="Currency [0] 10 4" xfId="8678" xr:uid="{B4989855-33BC-47CD-B75D-DDEE7157AF5C}"/>
    <cellStyle name="Currency [0] 10 4 2" xfId="14678" xr:uid="{713B0A3E-B8E4-4884-A4B6-2CDDE009830D}"/>
    <cellStyle name="Currency [0] 10 5" xfId="14320" xr:uid="{465E4BC9-6EC2-4F27-A665-20A996210495}"/>
    <cellStyle name="Currency [0] 10 6" xfId="2464" xr:uid="{8427943B-6DE5-4E23-82E9-34097F8B5C32}"/>
    <cellStyle name="Currency [0] 11" xfId="853" xr:uid="{09AC3F73-F883-43F3-932C-C1A927FEE06A}"/>
    <cellStyle name="Currency [0] 11 2" xfId="1347" xr:uid="{6AEDD397-0DC8-466F-853A-A20F9FE0D47B}"/>
    <cellStyle name="Currency [0] 11 2 2" xfId="4061" xr:uid="{AF03F4A9-0007-43D3-99CB-21FEAA47B1F3}"/>
    <cellStyle name="Currency [0] 11 2 2 2" xfId="15234" xr:uid="{3A6FE904-6CF8-422A-9487-4CC79DDCCDF6}"/>
    <cellStyle name="Currency [0] 11 2 3" xfId="7032" xr:uid="{E999A8C8-CDD4-4C38-A50C-DC0E583613A5}"/>
    <cellStyle name="Currency [0] 11 2 3 2" xfId="15629" xr:uid="{0A091E03-BB17-46E4-9632-AB29E2BCD79D}"/>
    <cellStyle name="Currency [0] 11 2 4" xfId="14978" xr:uid="{1F5BA9BD-92BD-4608-A484-6EB6513EB5BC}"/>
    <cellStyle name="Currency [0] 11 3" xfId="3581" xr:uid="{8C3EB70D-F18C-4EC4-8D67-E7F5F8DF0782}"/>
    <cellStyle name="Currency [0] 11 3 2" xfId="15110" xr:uid="{F65B6935-8336-4A39-882C-E5F5B2E9BD6B}"/>
    <cellStyle name="Currency [0] 11 4" xfId="4778" xr:uid="{05190936-E7AB-4756-A714-BB081EAAEDBA}"/>
    <cellStyle name="Currency [0] 11 4 2" xfId="15369" xr:uid="{54E6C207-C475-4BE5-ACE6-1049B3E29966}"/>
    <cellStyle name="Currency [0] 11 5" xfId="5511" xr:uid="{1465FB5D-D668-4C08-B75B-2838ABF30E03}"/>
    <cellStyle name="Currency [0] 11 5 2" xfId="15493" xr:uid="{9F398A72-9217-4FDF-90D7-F2AD544E6B59}"/>
    <cellStyle name="Currency [0] 11 6" xfId="14854" xr:uid="{3FD49AB5-1A3F-4292-89FE-D9633B404400}"/>
    <cellStyle name="Currency [0] 12" xfId="861" xr:uid="{AC28FAF7-018A-49C3-B6FC-5C002AD43637}"/>
    <cellStyle name="Currency [0] 12 2" xfId="1355" xr:uid="{99A5653D-63D5-4706-B7DE-94E696ED926F}"/>
    <cellStyle name="Currency [0] 12 2 2" xfId="4199" xr:uid="{3C52ADB2-4AF5-4171-82D4-49229D8784E7}"/>
    <cellStyle name="Currency [0] 12 2 2 2" xfId="15252" xr:uid="{5A230A93-DB20-4563-815F-2E6247C53F9E}"/>
    <cellStyle name="Currency [0] 12 2 3" xfId="7170" xr:uid="{31582D72-FF6F-4CA6-A3A8-3DF001E41537}"/>
    <cellStyle name="Currency [0] 12 2 3 2" xfId="15647" xr:uid="{15279F95-E5D6-4636-9E94-6FE5A639FA30}"/>
    <cellStyle name="Currency [0] 12 2 4" xfId="14996" xr:uid="{A87AAA40-B914-4EBA-9804-5E0B08D39435}"/>
    <cellStyle name="Currency [0] 12 3" xfId="3719" xr:uid="{2E39D7E7-484F-46DD-8E66-3D50E0BE9294}"/>
    <cellStyle name="Currency [0] 12 3 2" xfId="15128" xr:uid="{063130B2-E94F-4744-99E1-C7FCD8F9F244}"/>
    <cellStyle name="Currency [0] 12 4" xfId="6176" xr:uid="{8D8B288E-1044-4EDD-A580-25746CDD2DF7}"/>
    <cellStyle name="Currency [0] 12 4 2" xfId="15523" xr:uid="{1AFA31D9-42F5-4494-8862-6A08642929EA}"/>
    <cellStyle name="Currency [0] 12 5" xfId="14872" xr:uid="{3F2EABA9-62A6-4524-9CCF-5D541FDF6DD7}"/>
    <cellStyle name="Currency [0] 13" xfId="871" xr:uid="{3C4161A3-14FC-4713-9B02-0184E8306646}"/>
    <cellStyle name="Currency [0] 13 2" xfId="1365" xr:uid="{02F54CA9-889B-4550-9687-879A9C468D46}"/>
    <cellStyle name="Currency [0] 13 2 2" xfId="14476" xr:uid="{242B59A5-C679-4CE4-B801-8AEE338D40FB}"/>
    <cellStyle name="Currency [0] 13 3" xfId="2809" xr:uid="{8B803C3B-14AD-4923-B34D-53DBFF44624B}"/>
    <cellStyle name="Currency [0] 14" xfId="893" xr:uid="{BD8D9948-09BB-4A41-A38F-8A014559EEEF}"/>
    <cellStyle name="Currency [0] 14 2" xfId="1387" xr:uid="{CCAD514B-1F7B-40C6-B646-141D73760BBF}"/>
    <cellStyle name="Currency [0] 14 2 2" xfId="15136" xr:uid="{C03C2FFB-1488-44F2-8ACC-E58E7EB68F19}"/>
    <cellStyle name="Currency [0] 14 3" xfId="6694" xr:uid="{EA5622FB-A9B4-42DF-9CA5-B8089C37AEFB}"/>
    <cellStyle name="Currency [0] 14 3 2" xfId="15531" xr:uid="{43F5FD1F-BEF2-4907-B7EB-3117C4A38280}"/>
    <cellStyle name="Currency [0] 14 4" xfId="14880" xr:uid="{0AB53486-CCB0-4299-B3A0-0F67A9F366B7}"/>
    <cellStyle name="Currency [0] 15" xfId="917" xr:uid="{A7D512AD-EB21-4A99-864D-CC0124479758}"/>
    <cellStyle name="Currency [0] 15 2" xfId="1411" xr:uid="{36314F87-5896-4495-A56B-59529A0696B4}"/>
    <cellStyle name="Currency [0] 15 2 2" xfId="15260" xr:uid="{F39D00EA-DE60-433A-9D9F-504508418B79}"/>
    <cellStyle name="Currency [0] 15 3" xfId="7178" xr:uid="{A012526F-1096-45C2-8F4A-D5DD549ED5E0}"/>
    <cellStyle name="Currency [0] 15 3 2" xfId="15655" xr:uid="{435FEFE6-56C2-4556-8381-1CE709B1333A}"/>
    <cellStyle name="Currency [0] 15 4" xfId="15004" xr:uid="{EB590794-72E4-40A4-92E3-67BFB4915E8F}"/>
    <cellStyle name="Currency [0] 16" xfId="925" xr:uid="{979C05A2-9A09-481D-882B-2AC7C647CE80}"/>
    <cellStyle name="Currency [0] 16 2" xfId="14484" xr:uid="{92B2346E-9AEF-4AF6-A531-B329706C71AE}"/>
    <cellStyle name="Currency [0] 16 3" xfId="3241" xr:uid="{E8B72D61-2008-401F-AD0F-364BEF6FC6F7}"/>
    <cellStyle name="Currency [0] 17" xfId="1420" xr:uid="{5AFF66F7-5D9E-4ECE-B611-155AED6B58F9}"/>
    <cellStyle name="Currency [0] 17 2" xfId="15012" xr:uid="{F5708A4C-4C4F-47FE-8CE8-F87C2938DB63}"/>
    <cellStyle name="Currency [0] 18" xfId="1430" xr:uid="{1E715C29-E864-4168-A359-20A55AA67F94}"/>
    <cellStyle name="Currency [0] 18 2" xfId="14490" xr:uid="{E2BA668C-7ED7-4896-9162-DC894D9D5410}"/>
    <cellStyle name="Currency [0] 18 3" xfId="4324" xr:uid="{D5D7C78B-114F-487A-AA84-A1D2DACCE672}"/>
    <cellStyle name="Currency [0] 19" xfId="4381" xr:uid="{8F8B9863-51F9-4B00-8376-4D94FC066C89}"/>
    <cellStyle name="Currency [0] 19 2" xfId="15269" xr:uid="{D14C77E4-6B22-483F-9D82-227DE6245714}"/>
    <cellStyle name="Currency [0] 2" xfId="434" xr:uid="{A25E3DC4-5087-4F23-984E-54B8A3642C03}"/>
    <cellStyle name="Currency [0] 2 2" xfId="664" xr:uid="{DB7EE6A9-E296-4F11-9882-3EAF005D603C}"/>
    <cellStyle name="Currency [0] 2 2 2" xfId="1158" xr:uid="{8B611C42-3786-4BEB-BFE9-693070819C7C}"/>
    <cellStyle name="Currency [0] 2 2 2 2" xfId="8538" xr:uid="{DA9824DD-4642-4613-95D6-86C7BBB092C5}"/>
    <cellStyle name="Currency [0] 2 2 2 2 2" xfId="14616" xr:uid="{6D6A3FEB-05CD-40BE-AD41-301585B7406A}"/>
    <cellStyle name="Currency [0] 2 2 2 3" xfId="14258" xr:uid="{F6C900E6-6504-4979-ACE3-DC5BAAF6B2FF}"/>
    <cellStyle name="Currency [0] 2 2 2 4" xfId="2324" xr:uid="{452B4AA9-4AE1-450F-9550-85DC4893B758}"/>
    <cellStyle name="Currency [0] 2 2 3" xfId="2595" xr:uid="{40CCC876-E46A-475A-8471-4C14C12E4D7A}"/>
    <cellStyle name="Currency [0] 2 2 3 2" xfId="14382" xr:uid="{CB216728-EF34-4625-BB88-3385366E537B}"/>
    <cellStyle name="Currency [0] 2 2 4" xfId="8353" xr:uid="{F9D4DE0E-E2F7-4265-AC49-AC665915FEC5}"/>
    <cellStyle name="Currency [0] 2 2 4 2" xfId="14524" xr:uid="{BF836DD0-FB69-4CD9-B74E-855AF260CC68}"/>
    <cellStyle name="Currency [0] 2 2 5" xfId="14166" xr:uid="{3F496D46-8E2D-41FD-BBE3-99307DB9B1EC}"/>
    <cellStyle name="Currency [0] 2 2 6" xfId="2134" xr:uid="{24464EE6-D826-4890-91B8-1CB4D91D653A}"/>
    <cellStyle name="Currency [0] 2 3" xfId="929" xr:uid="{4C36D5D4-8646-45B5-AFD2-127EBA2D14B0}"/>
    <cellStyle name="Currency [0] 2 3 2" xfId="8504" xr:uid="{96C1AF38-63E7-4DE2-9D63-11AFC3BCB2AB}"/>
    <cellStyle name="Currency [0] 2 3 2 2" xfId="14586" xr:uid="{1F2015DB-78A8-480C-B85B-A4FFF777DB0D}"/>
    <cellStyle name="Currency [0] 2 3 3" xfId="14228" xr:uid="{DF841970-773C-4D41-96BF-FDF88A85F154}"/>
    <cellStyle name="Currency [0] 2 3 4" xfId="2290" xr:uid="{B8FD375A-3873-4C8D-9457-BFA0423B21B1}"/>
    <cellStyle name="Currency [0] 2 4" xfId="2565" xr:uid="{F83873F7-FF28-41D0-91AF-E85CC43F5BCF}"/>
    <cellStyle name="Currency [0] 2 4 2" xfId="14352" xr:uid="{D584CB09-BA70-4E6A-8C87-9D2CCEE00BB1}"/>
    <cellStyle name="Currency [0] 2 5" xfId="8323" xr:uid="{EC8C87DA-A3B4-4F79-847F-585521E5BBD5}"/>
    <cellStyle name="Currency [0] 2 5 2" xfId="14494" xr:uid="{87E7A039-BDAF-46C7-9BB2-9C93A5FC38C9}"/>
    <cellStyle name="Currency [0] 2 6" xfId="14136" xr:uid="{0CC5CCCA-348D-48B5-B8E0-2AAE67614BBC}"/>
    <cellStyle name="Currency [0] 2 7" xfId="2089" xr:uid="{495240FE-6001-4CFE-ADA8-5DE80C82C438}"/>
    <cellStyle name="Currency [0] 20" xfId="5272" xr:uid="{E9EEC47B-4B09-4657-9048-DC89AF37FA1D}"/>
    <cellStyle name="Currency [0] 20 2" xfId="15388" xr:uid="{89CB842E-F494-478A-8BCB-AFF6CD140D73}"/>
    <cellStyle name="Currency [0] 21" xfId="8779" xr:uid="{9F729B90-39C1-4918-A93D-9EF24CDE5B30}"/>
    <cellStyle name="Currency [0] 21 2" xfId="14710" xr:uid="{CD5592CF-EDE5-498F-BC97-948D0C383A34}"/>
    <cellStyle name="Currency [0] 22" xfId="8799" xr:uid="{DD8AB619-1C6E-4E49-8532-52816B5D0DB2}"/>
    <cellStyle name="Currency [0] 22 2" xfId="14730" xr:uid="{9599D517-AB33-4CD1-8538-FDBA2A2E5047}"/>
    <cellStyle name="Currency [0] 23" xfId="8817" xr:uid="{24E062D1-0F98-46D3-BBD8-2D9B39B844FC}"/>
    <cellStyle name="Currency [0] 23 2" xfId="14748" xr:uid="{55DE3116-F3D1-470F-8602-D8E1F0163872}"/>
    <cellStyle name="Currency [0] 24" xfId="14757" xr:uid="{50A15634-8168-4FE2-BBAB-8061D255052B}"/>
    <cellStyle name="Currency [0] 3" xfId="466" xr:uid="{169D2004-AC57-4867-98FC-B5174E4BE93B}"/>
    <cellStyle name="Currency [0] 3 2" xfId="961" xr:uid="{74160EF9-D72C-4A34-9FAD-21E1B0A912E4}"/>
    <cellStyle name="Currency [0] 3 2 2" xfId="2906" xr:uid="{64CEDE8B-7FA6-47A2-9783-8002D434D0B7}"/>
    <cellStyle name="Currency [0] 3 2 2 2" xfId="3835" xr:uid="{BC0C3DEA-EBE2-4D5A-A339-F6D39E8915DC}"/>
    <cellStyle name="Currency [0] 3 2 2 2 2" xfId="15190" xr:uid="{0E80722C-F053-4389-913F-F7FBD04A092A}"/>
    <cellStyle name="Currency [0] 3 2 2 3" xfId="6806" xr:uid="{30142115-7161-464A-90D9-B3E2184EEDF2}"/>
    <cellStyle name="Currency [0] 3 2 2 3 2" xfId="15585" xr:uid="{537F85CA-97CB-421E-A15E-C7870692F7CB}"/>
    <cellStyle name="Currency [0] 3 2 2 4" xfId="14934" xr:uid="{FBFCEA7C-DCCE-469C-AE81-A64B17F82D48}"/>
    <cellStyle name="Currency [0] 3 2 3" xfId="3355" xr:uid="{DCEF4003-7E10-4BD6-8C04-0A59BA290126}"/>
    <cellStyle name="Currency [0] 3 2 3 2" xfId="15066" xr:uid="{B7256428-1415-4F07-B00E-C330D3106280}"/>
    <cellStyle name="Currency [0] 3 2 4" xfId="4522" xr:uid="{E99A1287-0095-4FB4-B1EE-7C64C6FAC0BD}"/>
    <cellStyle name="Currency [0] 3 2 4 2" xfId="15324" xr:uid="{3047C0F7-EA33-405A-8676-6FABB174CFE1}"/>
    <cellStyle name="Currency [0] 3 2 5" xfId="5457" xr:uid="{374E8114-3522-4B4D-B057-A9C58050C6AE}"/>
    <cellStyle name="Currency [0] 3 2 5 2" xfId="15441" xr:uid="{55E79C44-94E4-4131-876B-3B9668897D83}"/>
    <cellStyle name="Currency [0] 3 2 6" xfId="14810" xr:uid="{6ABB6EB6-8D1E-44BF-86B2-E467A3C276CD}"/>
    <cellStyle name="Currency [0] 3 3" xfId="2816" xr:uid="{0C30EFF3-B9C1-43D0-928E-00C9875AA004}"/>
    <cellStyle name="Currency [0] 3 3 2" xfId="3727" xr:uid="{E86BFBF8-9CF7-4885-B12D-020056879C2E}"/>
    <cellStyle name="Currency [0] 3 3 2 2" xfId="15140" xr:uid="{7EEA97AD-6D53-41F2-9512-4EEEC7D5112F}"/>
    <cellStyle name="Currency [0] 3 3 3" xfId="6698" xr:uid="{C3CD60B5-D036-4CFE-8CEA-B68C876120BF}"/>
    <cellStyle name="Currency [0] 3 3 3 2" xfId="15535" xr:uid="{3B9E1ECC-E5A7-4CC3-8F00-6089F7A394CC}"/>
    <cellStyle name="Currency [0] 3 3 4" xfId="14884" xr:uid="{25121D79-6E75-4007-A01F-D47EF95D4CAF}"/>
    <cellStyle name="Currency [0] 3 4" xfId="3247" xr:uid="{4495106E-538D-416A-BCAB-4BF06298913F}"/>
    <cellStyle name="Currency [0] 3 4 2" xfId="15016" xr:uid="{13518ED3-ED81-4791-BD37-98F9FA1DA3CA}"/>
    <cellStyle name="Currency [0] 3 5" xfId="4405" xr:uid="{0FA31A71-9F9C-42F6-9E1F-C0F49D72D027}"/>
    <cellStyle name="Currency [0] 3 5 2" xfId="15274" xr:uid="{28F8E1E2-BBE0-4F52-8844-A4C564A19D2D}"/>
    <cellStyle name="Currency [0] 3 6" xfId="5327" xr:uid="{B5AF08A8-B815-4F8E-8DED-8236DAF4AFFB}"/>
    <cellStyle name="Currency [0] 3 6 2" xfId="15391" xr:uid="{008A5564-00ED-41D6-B5F5-0BDF79C5F599}"/>
    <cellStyle name="Currency [0] 3 7" xfId="14760" xr:uid="{A636BB3C-D74F-41E9-A1DF-EE2DC42A732D}"/>
    <cellStyle name="Currency [0] 4" xfId="508" xr:uid="{45ADD9EB-5C3C-4909-B75A-21CF79135A9B}"/>
    <cellStyle name="Currency [0] 4 2" xfId="1003" xr:uid="{E869AEBD-5521-4D7F-89A5-18F3EBE7B4CD}"/>
    <cellStyle name="Currency [0] 4 2 2" xfId="8571" xr:uid="{468922D5-72B0-43A2-8617-BCB421F121E1}"/>
    <cellStyle name="Currency [0] 4 2 2 2" xfId="14646" xr:uid="{B69CBCFD-7D80-4B33-9072-567CCE7DB419}"/>
    <cellStyle name="Currency [0] 4 2 3" xfId="14288" xr:uid="{6E6996AC-7B45-461B-8C6B-90D6AC3C1ABC}"/>
    <cellStyle name="Currency [0] 4 2 4" xfId="2357" xr:uid="{A2081476-2DB9-40D5-AEA1-9300C671498D}"/>
    <cellStyle name="Currency [0] 4 3" xfId="2625" xr:uid="{6FAFDB89-A325-478A-A49C-B2424FF0E5A2}"/>
    <cellStyle name="Currency [0] 4 3 2" xfId="14412" xr:uid="{148B8D5F-A42C-4CE3-989A-94129A810AD4}"/>
    <cellStyle name="Currency [0] 4 4" xfId="8383" xr:uid="{66E11219-5340-4A37-895C-B6207C8DDF10}"/>
    <cellStyle name="Currency [0] 4 4 2" xfId="14554" xr:uid="{0294259D-B38C-4689-B019-E826240E784C}"/>
    <cellStyle name="Currency [0] 4 5" xfId="14196" xr:uid="{84DF802B-EBA4-4744-93EB-02C8A5CE4AD5}"/>
    <cellStyle name="Currency [0] 4 6" xfId="2168" xr:uid="{F50339DB-CB60-40C7-AFB8-8072CD97E9E3}"/>
    <cellStyle name="Currency [0] 5" xfId="602" xr:uid="{6DCB56B2-EAA1-42E4-ADDA-A79A4DE4F345}"/>
    <cellStyle name="Currency [0] 5 2" xfId="1097" xr:uid="{112FF2B7-82AB-4E54-BA93-F35A168241B5}"/>
    <cellStyle name="Currency [0] 5 2 2" xfId="8577" xr:uid="{BA250361-B872-4FAC-809A-DD0B8877D40A}"/>
    <cellStyle name="Currency [0] 5 2 2 2" xfId="14652" xr:uid="{E966A86D-0549-4ED5-83A3-2BD40E8EC1D3}"/>
    <cellStyle name="Currency [0] 5 2 3" xfId="14294" xr:uid="{00ADF55C-9B55-42BC-82F5-357E30D9CBF3}"/>
    <cellStyle name="Currency [0] 5 2 4" xfId="2363" xr:uid="{2921CB90-AC7B-4D38-846D-4588D099AFF3}"/>
    <cellStyle name="Currency [0] 5 3" xfId="2631" xr:uid="{7A791400-324E-43B6-825E-441F332AF4A5}"/>
    <cellStyle name="Currency [0] 5 3 2" xfId="14418" xr:uid="{3BED5BFE-09F6-4384-BC4B-C3F726ACC660}"/>
    <cellStyle name="Currency [0] 5 4" xfId="8389" xr:uid="{4E9553F0-78F2-4736-9C8C-125EF57E6CB7}"/>
    <cellStyle name="Currency [0] 5 4 2" xfId="14560" xr:uid="{3B2CF47B-4C04-427B-B39E-C7F96D9D8292}"/>
    <cellStyle name="Currency [0] 5 5" xfId="14202" xr:uid="{66B73AB1-5680-4A46-A176-CC7C39AE2347}"/>
    <cellStyle name="Currency [0] 5 6" xfId="2174" xr:uid="{0785BD41-F4D6-4AD6-96AF-406FED00986F}"/>
    <cellStyle name="Currency [0] 6" xfId="709" xr:uid="{4B275074-8D54-4AB3-BD2E-C9EEA925B66A}"/>
    <cellStyle name="Currency [0] 6 2" xfId="1203" xr:uid="{63F03C8F-9C50-4EF6-91FE-A209E7086A8C}"/>
    <cellStyle name="Currency [0] 6 2 2" xfId="2911" xr:uid="{855D033F-1882-465F-83DE-A7374320842B}"/>
    <cellStyle name="Currency [0] 6 2 2 2" xfId="3851" xr:uid="{12271073-353B-4213-82F0-E62FBA27E058}"/>
    <cellStyle name="Currency [0] 6 2 2 2 2" xfId="15204" xr:uid="{6007D00A-A792-472F-8D19-69546AE5E7C8}"/>
    <cellStyle name="Currency [0] 6 2 2 3" xfId="6822" xr:uid="{CA6218B3-7BB9-41E6-8399-5A51760E62AE}"/>
    <cellStyle name="Currency [0] 6 2 2 3 2" xfId="15599" xr:uid="{830B905A-E529-47E9-A25B-3F2E3E8F4ED3}"/>
    <cellStyle name="Currency [0] 6 2 2 4" xfId="14948" xr:uid="{A40D0D42-3798-4DFE-A45C-5507A7F442DD}"/>
    <cellStyle name="Currency [0] 6 2 3" xfId="3371" xr:uid="{2FB5D6B0-FC41-4EB7-9D11-D84DC67B0C13}"/>
    <cellStyle name="Currency [0] 6 2 3 2" xfId="15080" xr:uid="{73D96DF6-4FE7-4B7C-A9C6-46E0F8B78C89}"/>
    <cellStyle name="Currency [0] 6 2 4" xfId="4538" xr:uid="{E4195529-6E5A-48F7-BC3F-DF87A31DC5C4}"/>
    <cellStyle name="Currency [0] 6 2 4 2" xfId="15338" xr:uid="{DA18B6AF-A8EF-4180-B069-311C87FD9EE7}"/>
    <cellStyle name="Currency [0] 6 2 5" xfId="5473" xr:uid="{1C4117AA-D2EB-49A8-B50C-1920EAB53479}"/>
    <cellStyle name="Currency [0] 6 2 5 2" xfId="15455" xr:uid="{7DECDB6E-C6FE-4AB9-8C78-7F4C4BF89745}"/>
    <cellStyle name="Currency [0] 6 2 6" xfId="14824" xr:uid="{514E9103-842C-4588-8CEE-765726CA7782}"/>
    <cellStyle name="Currency [0] 6 3" xfId="2819" xr:uid="{F3283145-BA64-4652-8FCD-5B18F3E13484}"/>
    <cellStyle name="Currency [0] 6 3 2" xfId="3739" xr:uid="{79F376D0-ACAF-40DE-A59B-CA0937BD98FB}"/>
    <cellStyle name="Currency [0] 6 3 2 2" xfId="15152" xr:uid="{FF4ED510-4C3F-4227-8432-E8AA269ABDEF}"/>
    <cellStyle name="Currency [0] 6 3 3" xfId="6710" xr:uid="{3D15E0D1-FAF9-47BE-A926-B3BD77CB0F4F}"/>
    <cellStyle name="Currency [0] 6 3 3 2" xfId="15547" xr:uid="{36763820-519C-400E-91DF-C6E4A6286446}"/>
    <cellStyle name="Currency [0] 6 3 4" xfId="14896" xr:uid="{E543326A-B883-4F0F-A8B4-454D96E6D9BC}"/>
    <cellStyle name="Currency [0] 6 4" xfId="3259" xr:uid="{171ABEA1-5CEC-4264-8A34-2DE4DF9023A4}"/>
    <cellStyle name="Currency [0] 6 4 2" xfId="15028" xr:uid="{373735C7-74A2-481A-90C5-A1F2B8EBD382}"/>
    <cellStyle name="Currency [0] 6 5" xfId="4426" xr:uid="{99C5F9ED-0416-4AFD-9686-24DCEA66CC32}"/>
    <cellStyle name="Currency [0] 6 5 2" xfId="15286" xr:uid="{681E524D-32BE-4326-B11E-912D17ECAF74}"/>
    <cellStyle name="Currency [0] 6 6" xfId="5361" xr:uid="{ED0E2280-0FBC-44FB-B271-59B743FB5DE6}"/>
    <cellStyle name="Currency [0] 6 6 2" xfId="15403" xr:uid="{35EDB3BB-84F9-4DFD-B7D1-B663B229E682}"/>
    <cellStyle name="Currency [0] 6 7" xfId="14772" xr:uid="{E9DE4CAB-0E43-4D20-BC6D-2E41D09E054E}"/>
    <cellStyle name="Currency [0] 7" xfId="801" xr:uid="{488B9BDD-BA99-4353-8228-8BD8F5B2E3E3}"/>
    <cellStyle name="Currency [0] 7 2" xfId="1295" xr:uid="{9021702F-F34D-468F-8D14-D83C549BB920}"/>
    <cellStyle name="Currency [0] 7 2 2" xfId="2925" xr:uid="{6088DAE3-BF8D-4AF3-BB91-47F6DB6CB83F}"/>
    <cellStyle name="Currency [0] 7 2 2 2" xfId="3865" xr:uid="{63FE8E82-1D32-4A2A-A498-512CBF022751}"/>
    <cellStyle name="Currency [0] 7 2 2 2 2" xfId="15218" xr:uid="{91910C16-8B3E-468F-A23D-A575BFE1C076}"/>
    <cellStyle name="Currency [0] 7 2 2 3" xfId="6836" xr:uid="{B204AEF3-1FD8-41D2-ADD8-FE42B8078895}"/>
    <cellStyle name="Currency [0] 7 2 2 3 2" xfId="15613" xr:uid="{24A82F40-FDD7-42BD-B810-5BC4E70F34AA}"/>
    <cellStyle name="Currency [0] 7 2 2 4" xfId="14962" xr:uid="{80C2AB41-D0D8-4A0C-AD77-AB136959C3E5}"/>
    <cellStyle name="Currency [0] 7 2 3" xfId="3385" xr:uid="{61D58324-EEB9-4CF5-9C95-A2816F09294A}"/>
    <cellStyle name="Currency [0] 7 2 3 2" xfId="15094" xr:uid="{24918D46-F70F-43F2-8217-465A957D22B5}"/>
    <cellStyle name="Currency [0] 7 2 4" xfId="4552" xr:uid="{DCDF65B6-2D48-484F-92A9-B0C703BE9685}"/>
    <cellStyle name="Currency [0] 7 2 4 2" xfId="15352" xr:uid="{99F2BB68-8016-4E9A-A445-704F3EF42BBB}"/>
    <cellStyle name="Currency [0] 7 2 5" xfId="5487" xr:uid="{C1E99FF3-5BF1-457A-96A0-5A6E2DCAF04C}"/>
    <cellStyle name="Currency [0] 7 2 5 2" xfId="15469" xr:uid="{979DA91B-4C0D-4E82-BD37-593EFDA3BC2B}"/>
    <cellStyle name="Currency [0] 7 2 6" xfId="14838" xr:uid="{01D03797-0C7E-48D2-BECD-97519DD77D97}"/>
    <cellStyle name="Currency [0] 7 3" xfId="2833" xr:uid="{430C5DAB-7768-4715-A2A3-CDAB8515678F}"/>
    <cellStyle name="Currency [0] 7 3 2" xfId="3753" xr:uid="{FDAF0634-2D01-4A33-85C7-3A48A8C5DB9F}"/>
    <cellStyle name="Currency [0] 7 3 2 2" xfId="15166" xr:uid="{BF51B379-A24D-4400-AB5D-50FD9D8AA0D1}"/>
    <cellStyle name="Currency [0] 7 3 3" xfId="6724" xr:uid="{B364E9C4-58F9-4124-8461-07FA3CE900E6}"/>
    <cellStyle name="Currency [0] 7 3 3 2" xfId="15561" xr:uid="{A55ECAA1-6946-4CCE-B990-D663BAE3100A}"/>
    <cellStyle name="Currency [0] 7 3 4" xfId="14910" xr:uid="{1A3F751C-3F20-4D5B-AD29-548D4B5B0B07}"/>
    <cellStyle name="Currency [0] 7 4" xfId="3273" xr:uid="{B6723ABC-30C7-4E84-A616-87CE153A2F1C}"/>
    <cellStyle name="Currency [0] 7 4 2" xfId="15042" xr:uid="{9C3BC854-06D2-4A5C-849C-B6BD84AC76F9}"/>
    <cellStyle name="Currency [0] 7 5" xfId="4440" xr:uid="{B4F87316-0691-4B9A-8A07-0CD6FAFBDE4F}"/>
    <cellStyle name="Currency [0] 7 5 2" xfId="15300" xr:uid="{E307DA8A-267C-4FA4-91DD-2E9E1901CFA8}"/>
    <cellStyle name="Currency [0] 7 6" xfId="5375" xr:uid="{3AFF10E3-DFAA-4D3D-827A-3B87B54797D7}"/>
    <cellStyle name="Currency [0] 7 6 2" xfId="15417" xr:uid="{8E3167D9-EDBD-4E04-914E-69E0A1DF50C0}"/>
    <cellStyle name="Currency [0] 7 7" xfId="14786" xr:uid="{BE2F5A3D-F31C-45AF-A7F0-ABC3320006B9}"/>
    <cellStyle name="Currency [0] 8" xfId="815" xr:uid="{DC12A06B-A58C-4D51-894A-3E664A0D2347}"/>
    <cellStyle name="Currency [0] 8 2" xfId="1309" xr:uid="{D9C74986-3E1D-4AD2-A1F4-3EC010F17460}"/>
    <cellStyle name="Currency [0] 8 2 2" xfId="2935" xr:uid="{63E7F475-7D91-40BE-B10D-B8AF3036F6AB}"/>
    <cellStyle name="Currency [0] 8 2 2 2" xfId="3875" xr:uid="{875FAD8E-9D03-4E1A-B433-55E4BDBB3B1F}"/>
    <cellStyle name="Currency [0] 8 2 2 2 2" xfId="15228" xr:uid="{3237F975-4499-4BB2-AF38-39DCB1AE519F}"/>
    <cellStyle name="Currency [0] 8 2 2 3" xfId="6846" xr:uid="{6880247C-0192-4391-AEA6-3F6CABB55C47}"/>
    <cellStyle name="Currency [0] 8 2 2 3 2" xfId="15623" xr:uid="{3DB43D96-E55D-4A42-9CA3-F02AA4489615}"/>
    <cellStyle name="Currency [0] 8 2 2 4" xfId="14972" xr:uid="{4DEC65D3-3DED-4B7D-BBE1-7B5D18AD985D}"/>
    <cellStyle name="Currency [0] 8 2 3" xfId="3395" xr:uid="{7088A4F5-9B86-415C-AD2F-E9F95320D534}"/>
    <cellStyle name="Currency [0] 8 2 3 2" xfId="15104" xr:uid="{770645AB-E66F-43D6-94D1-895DE807FC30}"/>
    <cellStyle name="Currency [0] 8 2 4" xfId="4562" xr:uid="{A537C457-273C-4115-911C-1A0637E130F1}"/>
    <cellStyle name="Currency [0] 8 2 4 2" xfId="15362" xr:uid="{3A37C561-45E6-47F0-B58E-3DF56E23B4D6}"/>
    <cellStyle name="Currency [0] 8 2 5" xfId="5497" xr:uid="{4E927348-AA0D-4FA2-9DFA-E8E0F78968D2}"/>
    <cellStyle name="Currency [0] 8 2 5 2" xfId="15479" xr:uid="{CDDD0BCC-3C1C-4719-8CBA-36F3EC465A56}"/>
    <cellStyle name="Currency [0] 8 2 6" xfId="14848" xr:uid="{8A09D076-F0A6-48DC-B805-FB74A3BD8E88}"/>
    <cellStyle name="Currency [0] 8 3" xfId="2843" xr:uid="{F5778C85-C47F-482D-B85C-C603BF4B56BE}"/>
    <cellStyle name="Currency [0] 8 3 2" xfId="3763" xr:uid="{CC21B92E-8F40-419D-A423-7A38FE62938A}"/>
    <cellStyle name="Currency [0] 8 3 2 2" xfId="15176" xr:uid="{1A6798A6-5FAA-464F-A7C5-0CA3A9329324}"/>
    <cellStyle name="Currency [0] 8 3 3" xfId="6734" xr:uid="{AEFA8EC1-AABA-4AC5-83A3-6314D1058698}"/>
    <cellStyle name="Currency [0] 8 3 3 2" xfId="15571" xr:uid="{D788CF4E-FD92-4105-A342-27F07FA675A0}"/>
    <cellStyle name="Currency [0] 8 3 4" xfId="14920" xr:uid="{237A675F-07F1-43E3-86F2-C257BEC5B957}"/>
    <cellStyle name="Currency [0] 8 4" xfId="3283" xr:uid="{C208581B-C00F-4AD9-8F06-99BD3791AE76}"/>
    <cellStyle name="Currency [0] 8 4 2" xfId="15052" xr:uid="{9873C238-CE4B-4E52-80EF-530F694DE7AB}"/>
    <cellStyle name="Currency [0] 8 5" xfId="4450" xr:uid="{31B63B0E-D18C-4B1E-847D-81FC7C5C75CB}"/>
    <cellStyle name="Currency [0] 8 5 2" xfId="15310" xr:uid="{D7566DAB-F2B8-424F-8FCE-C4CA3976E16C}"/>
    <cellStyle name="Currency [0] 8 6" xfId="5385" xr:uid="{BB8C1D54-4B75-44F7-A6F6-B4EC042EB7A0}"/>
    <cellStyle name="Currency [0] 8 6 2" xfId="15427" xr:uid="{FF741E6C-5AB4-4A7B-859B-DCDF2093E629}"/>
    <cellStyle name="Currency [0] 8 7" xfId="14796" xr:uid="{2BF0DEE7-1088-4CD9-82FA-D2D7750F2A46}"/>
    <cellStyle name="Currency [0] 9" xfId="835" xr:uid="{7B759799-E356-4CBC-9627-81C3A3957EDB}"/>
    <cellStyle name="Currency [0] 9 2" xfId="1329" xr:uid="{07E9D9F5-0EDA-4BB6-B31F-B54E439ED04E}"/>
    <cellStyle name="Currency [0] 9 2 2" xfId="3804" xr:uid="{D2A4EC7B-5D8A-44CF-9B3B-049C9F4F2DAA}"/>
    <cellStyle name="Currency [0] 9 2 2 2" xfId="15186" xr:uid="{48C3704A-C3E6-47D7-88E2-8121999878DD}"/>
    <cellStyle name="Currency [0] 9 2 3" xfId="6775" xr:uid="{EF8E1DBD-FA5B-4557-82A4-FB5F520C3F20}"/>
    <cellStyle name="Currency [0] 9 2 3 2" xfId="15581" xr:uid="{F0ECD927-FA0A-4F43-9CA9-BC2AE5421D2E}"/>
    <cellStyle name="Currency [0] 9 2 4" xfId="14930" xr:uid="{84F4CD8A-EC6D-4851-8C73-0792116280C6}"/>
    <cellStyle name="Currency [0] 9 3" xfId="3324" xr:uid="{881B4779-26E5-4EC2-804A-B620C0494B0A}"/>
    <cellStyle name="Currency [0] 9 3 2" xfId="15062" xr:uid="{89BF5D42-BD7E-41DC-BD98-907ADDA0E378}"/>
    <cellStyle name="Currency [0] 9 4" xfId="4491" xr:uid="{6B39878D-CBA5-4B9E-B1DA-7ADEDE6EDF8F}"/>
    <cellStyle name="Currency [0] 9 4 2" xfId="15320" xr:uid="{74B78A1A-5FC8-4E2E-B056-FE75137B870A}"/>
    <cellStyle name="Currency [0] 9 5" xfId="5426" xr:uid="{F9CC12CD-9DC0-4046-8352-364D5017F09F}"/>
    <cellStyle name="Currency [0] 9 5 2" xfId="15437" xr:uid="{31FA5AE8-4F58-44B5-8D2D-50FEC8020730}"/>
    <cellStyle name="Currency [0] 9 6" xfId="14806" xr:uid="{1376907D-A513-4AED-9639-FFE1F0FB84F1}"/>
    <cellStyle name="Currency 10" xfId="449" xr:uid="{4F28DE7F-401C-4A24-A2CD-CB1E88EAB22F}"/>
    <cellStyle name="Currency 10 2" xfId="680" xr:uid="{BD4ACAC6-D013-4024-A133-3B5EE9A98342}"/>
    <cellStyle name="Currency 10 2 2" xfId="1174" xr:uid="{12696061-C3BC-4093-8094-1E2709D730EE}"/>
    <cellStyle name="Currency 10 2 2 2" xfId="8554" xr:uid="{AF4A5E1F-C3D4-4B52-A66A-0B3CEBA63546}"/>
    <cellStyle name="Currency 10 2 2 2 2" xfId="14632" xr:uid="{360FC3E6-A549-42CA-9E4F-258DA71674B5}"/>
    <cellStyle name="Currency 10 2 2 3" xfId="14274" xr:uid="{6FC4ADE3-B06D-4118-8BFA-E94369A5E5C3}"/>
    <cellStyle name="Currency 10 2 2 4" xfId="2340" xr:uid="{7F57C46D-7E68-4F1E-BD05-A07E611B2C01}"/>
    <cellStyle name="Currency 10 2 3" xfId="2611" xr:uid="{14AE7F56-3176-4383-A100-05AC91AA5665}"/>
    <cellStyle name="Currency 10 2 3 2" xfId="14398" xr:uid="{D936AB30-802C-4B3C-B6C0-020711BB42B0}"/>
    <cellStyle name="Currency 10 2 4" xfId="8369" xr:uid="{F85BE0E3-0F57-4F98-ACFD-E5B0CE6F227F}"/>
    <cellStyle name="Currency 10 2 4 2" xfId="14540" xr:uid="{C760887E-990C-4128-85D4-B3812FC432FC}"/>
    <cellStyle name="Currency 10 2 5" xfId="14182" xr:uid="{000F9882-379E-4359-A7B1-F68210B2410A}"/>
    <cellStyle name="Currency 10 2 6" xfId="2150" xr:uid="{AFBEA33C-D5E9-4321-8731-7A355A38030F}"/>
    <cellStyle name="Currency 10 3" xfId="945" xr:uid="{23F0CA46-D1E7-4882-B788-C7E2C73D398E}"/>
    <cellStyle name="Currency 10 3 2" xfId="8520" xr:uid="{E3634522-35C3-4E14-8811-B9D0C836AA8C}"/>
    <cellStyle name="Currency 10 3 2 2" xfId="14602" xr:uid="{92B56B00-29CB-4121-8CEC-0BFFA0B2BA13}"/>
    <cellStyle name="Currency 10 3 3" xfId="14244" xr:uid="{40081A64-E41F-4FD5-8691-CACA7B49276C}"/>
    <cellStyle name="Currency 10 3 4" xfId="2306" xr:uid="{FBBE09E3-0F65-4593-8487-AF33A5706E64}"/>
    <cellStyle name="Currency 10 4" xfId="2581" xr:uid="{DF5A375F-88C5-4A83-8A50-68DE064AF698}"/>
    <cellStyle name="Currency 10 4 2" xfId="14368" xr:uid="{4189EC28-9FF3-42B8-AD59-260DD12D8EC3}"/>
    <cellStyle name="Currency 10 5" xfId="8339" xr:uid="{39909D49-935E-4EA1-AF75-3EF33F18986D}"/>
    <cellStyle name="Currency 10 5 2" xfId="14510" xr:uid="{59E4C655-6B00-4DA2-A37A-56709C963D18}"/>
    <cellStyle name="Currency 10 6" xfId="14152" xr:uid="{8C3760C9-5EC8-4EE1-84A1-83C03A2C736B}"/>
    <cellStyle name="Currency 10 7" xfId="2105" xr:uid="{E7E2B3CA-A6DF-4F54-BE30-3DB5326D7177}"/>
    <cellStyle name="Currency 100" xfId="636" xr:uid="{8A96EC84-275F-42B5-A25E-853428E5A0E7}"/>
    <cellStyle name="Currency 100 2" xfId="1131" xr:uid="{2D6B7469-2D92-4B30-8A4F-FD23BD8BB5DE}"/>
    <cellStyle name="Currency 101" xfId="638" xr:uid="{F546C4ED-F592-4C60-9436-68DE39FDC3F5}"/>
    <cellStyle name="Currency 101 2" xfId="1133" xr:uid="{B597540F-FAAD-4B0E-8EA3-914764BD83EA}"/>
    <cellStyle name="Currency 102" xfId="640" xr:uid="{8DECAE42-C0DC-4B9B-B17B-75DEC1E1B7A1}"/>
    <cellStyle name="Currency 102 2" xfId="1135" xr:uid="{98872A08-5A53-4D63-9966-AC5A865096DD}"/>
    <cellStyle name="Currency 103" xfId="643" xr:uid="{D9904C37-EA3C-4CA4-9804-20B164BE6392}"/>
    <cellStyle name="Currency 103 2" xfId="1138" xr:uid="{F905ABCF-05D8-40D0-8792-D579CAB95A06}"/>
    <cellStyle name="Currency 104" xfId="644" xr:uid="{2ED6F8D3-044D-42BE-811C-B78A2D6B3982}"/>
    <cellStyle name="Currency 104 2" xfId="1139" xr:uid="{64B9AB35-CEA5-44F6-8F7F-815B51323F97}"/>
    <cellStyle name="Currency 105" xfId="646" xr:uid="{48526D8E-292F-4676-9C23-8CCEEED04676}"/>
    <cellStyle name="Currency 105 2" xfId="1141" xr:uid="{D74C2E26-1763-4E20-84F8-0F5EF1C46189}"/>
    <cellStyle name="Currency 106" xfId="648" xr:uid="{6BF38ED1-3BC7-4408-9102-14C2D3F3CB0E}"/>
    <cellStyle name="Currency 106 2" xfId="1143" xr:uid="{53819117-8C5E-4DF1-803D-F49040D8BC75}"/>
    <cellStyle name="Currency 107" xfId="650" xr:uid="{C8FE0B07-9341-46EF-BFF1-8A7E2515B080}"/>
    <cellStyle name="Currency 107 2" xfId="1145" xr:uid="{E4B996BC-F373-43AE-A183-D439A80CF184}"/>
    <cellStyle name="Currency 108" xfId="652" xr:uid="{DF5D789D-7789-4C3A-89EC-C705BB399613}"/>
    <cellStyle name="Currency 108 2" xfId="1147" xr:uid="{0C30D78C-1D2D-4798-A29E-3E7C54A74319}"/>
    <cellStyle name="Currency 108 2 2" xfId="14709" xr:uid="{637580A7-3AEC-44D7-89AD-A88BD0802E73}"/>
    <cellStyle name="Currency 108 3" xfId="8778" xr:uid="{413A31E9-137F-4C02-96D4-0F82B0B4397F}"/>
    <cellStyle name="Currency 109" xfId="654" xr:uid="{2A3BEB85-7594-4535-A3F5-F5666C6D2363}"/>
    <cellStyle name="Currency 109 2" xfId="1149" xr:uid="{6526A6F6-4726-4383-89B3-D2BF925D1C8C}"/>
    <cellStyle name="Currency 109 2 2" xfId="14713" xr:uid="{0E80C01D-C6EC-496C-B79C-5C213577DE40}"/>
    <cellStyle name="Currency 109 3" xfId="8782" xr:uid="{E6617BD4-95CD-4A6D-A82F-CEAE90E0DFBD}"/>
    <cellStyle name="Currency 11" xfId="451" xr:uid="{827D155A-4170-4BED-B5D9-B9988F8F0B81}"/>
    <cellStyle name="Currency 11 2" xfId="682" xr:uid="{D35B8BD5-6856-4455-A85D-FF2AB292781A}"/>
    <cellStyle name="Currency 11 2 2" xfId="1176" xr:uid="{5797D845-1559-46F4-8E13-4E615A8691D1}"/>
    <cellStyle name="Currency 11 2 2 2" xfId="8556" xr:uid="{2D057DA0-A247-4874-8CCB-339996528E6B}"/>
    <cellStyle name="Currency 11 2 2 2 2" xfId="14634" xr:uid="{E99E0085-71BA-47A5-A891-C4DC4C101670}"/>
    <cellStyle name="Currency 11 2 2 3" xfId="14276" xr:uid="{407182C4-8F1C-4112-8FAF-3E57DA9583F0}"/>
    <cellStyle name="Currency 11 2 2 4" xfId="2342" xr:uid="{3C68831D-9031-482B-9BDF-F3E62C959516}"/>
    <cellStyle name="Currency 11 2 3" xfId="2613" xr:uid="{DCBBFAD1-DD63-4B84-9AD8-F4E007229234}"/>
    <cellStyle name="Currency 11 2 3 2" xfId="14400" xr:uid="{87AD249C-E24D-42B2-B18A-B04BEA833F82}"/>
    <cellStyle name="Currency 11 2 4" xfId="8371" xr:uid="{FEE94BD9-BA6B-4F14-A579-A755C7F6D0A7}"/>
    <cellStyle name="Currency 11 2 4 2" xfId="14542" xr:uid="{8EB21362-BCC1-4E2C-ACF3-D3674C446343}"/>
    <cellStyle name="Currency 11 2 5" xfId="14184" xr:uid="{12A042A3-C819-4118-8134-43EF776897D4}"/>
    <cellStyle name="Currency 11 2 6" xfId="2152" xr:uid="{C0057BFF-5730-4B93-8688-A9D0D67F1984}"/>
    <cellStyle name="Currency 11 3" xfId="947" xr:uid="{BA2B8B16-1596-4A3F-8205-68084B87522E}"/>
    <cellStyle name="Currency 11 3 2" xfId="8522" xr:uid="{83EE5D32-0397-44CC-B7C0-6744070B8108}"/>
    <cellStyle name="Currency 11 3 2 2" xfId="14604" xr:uid="{2B9E0793-C1A8-4A2E-B6C5-B8C981917EF5}"/>
    <cellStyle name="Currency 11 3 3" xfId="14246" xr:uid="{7ED05488-E733-43B1-AE20-4CBC6B359469}"/>
    <cellStyle name="Currency 11 3 4" xfId="2308" xr:uid="{2F88342F-5B75-4F62-A130-5B46D0B23072}"/>
    <cellStyle name="Currency 11 4" xfId="2583" xr:uid="{8CA4EC06-7A01-479C-AE3C-C1A0C71D85DA}"/>
    <cellStyle name="Currency 11 4 2" xfId="14370" xr:uid="{FD8FA3B7-A579-427C-9CEF-E03A122A0AD9}"/>
    <cellStyle name="Currency 11 5" xfId="8341" xr:uid="{18631324-D1EE-421C-BD74-D63AAA27AB93}"/>
    <cellStyle name="Currency 11 5 2" xfId="14512" xr:uid="{7400DC2B-32C7-4562-99DC-C98F189AE965}"/>
    <cellStyle name="Currency 11 6" xfId="14154" xr:uid="{63F96F45-884E-46D1-A0CB-9E6A217D3D95}"/>
    <cellStyle name="Currency 11 7" xfId="2107" xr:uid="{AFE39A87-1BD2-4149-99F9-FAE831C71A4F}"/>
    <cellStyle name="Currency 110" xfId="656" xr:uid="{97225750-6A12-4BA4-8A0D-7FB84DC5F7BA}"/>
    <cellStyle name="Currency 110 2" xfId="1151" xr:uid="{62270B72-E3AC-4739-B151-F37CEBE6717F}"/>
    <cellStyle name="Currency 110 2 2" xfId="14714" xr:uid="{D9164882-93B6-4687-B2A5-263EA6E5AA62}"/>
    <cellStyle name="Currency 110 3" xfId="8783" xr:uid="{011DB33D-2A18-4E58-B552-C5CE7F2FB1F2}"/>
    <cellStyle name="Currency 111" xfId="660" xr:uid="{25627EFE-A648-4CD5-BBD9-7C777970843E}"/>
    <cellStyle name="Currency 111 2" xfId="1154" xr:uid="{C9FB9B8F-5A83-470D-9DA1-A3E0CB10AC7F}"/>
    <cellStyle name="Currency 111 2 2" xfId="14716" xr:uid="{51CFD4C1-522A-45BA-A3D8-151FA6258C8F}"/>
    <cellStyle name="Currency 111 3" xfId="8785" xr:uid="{5628D799-0F73-4987-B34A-961949043FA6}"/>
    <cellStyle name="Currency 112" xfId="662" xr:uid="{5069FC90-3C75-4A33-BD2B-1993AE4D07E2}"/>
    <cellStyle name="Currency 112 2" xfId="1156" xr:uid="{79E2DE34-9F07-4D4E-925D-4E5C5AFE69B5}"/>
    <cellStyle name="Currency 112 2 2" xfId="14718" xr:uid="{05E60E1B-E75E-4D8F-8280-B1B091D1F0BD}"/>
    <cellStyle name="Currency 112 3" xfId="8787" xr:uid="{F9FF4AC4-0768-4CC0-BCCB-8606D5714D93}"/>
    <cellStyle name="Currency 113" xfId="706" xr:uid="{D2A32D8A-7E86-45ED-A7C4-766639EB1448}"/>
    <cellStyle name="Currency 113 2" xfId="1200" xr:uid="{6E62C4DC-42BB-4326-8193-F2D322D2599F}"/>
    <cellStyle name="Currency 113 2 2" xfId="14720" xr:uid="{B90AC643-646B-4ABE-B2DD-874B8C323F61}"/>
    <cellStyle name="Currency 113 3" xfId="8789" xr:uid="{F1A81CD3-4D85-4997-B0F5-A4FBB297925E}"/>
    <cellStyle name="Currency 114" xfId="704" xr:uid="{06508747-7187-43DE-BE80-216CD0DAE206}"/>
    <cellStyle name="Currency 114 2" xfId="1198" xr:uid="{B7E7C178-D295-4D38-A267-B1A273286F9C}"/>
    <cellStyle name="Currency 114 2 2" xfId="14722" xr:uid="{AADAF9FC-594F-4219-A8C4-F25071115BB3}"/>
    <cellStyle name="Currency 114 3" xfId="8791" xr:uid="{20C3D590-69F3-4E9A-B0F7-9E862DDB38AE}"/>
    <cellStyle name="Currency 115" xfId="708" xr:uid="{2F6F7920-AC80-450F-A74D-16F3B4987905}"/>
    <cellStyle name="Currency 115 2" xfId="1202" xr:uid="{D154CEE3-681D-43BF-857B-EDB371EBDCEA}"/>
    <cellStyle name="Currency 115 2 2" xfId="14724" xr:uid="{2B4564C3-E3D9-449D-A92B-C2D0C9205418}"/>
    <cellStyle name="Currency 115 3" xfId="8793" xr:uid="{037A851C-5DCE-42C3-8835-696D6CDBC5EF}"/>
    <cellStyle name="Currency 116" xfId="712" xr:uid="{5E0CE18D-4502-4191-96A2-59A3C712047E}"/>
    <cellStyle name="Currency 116 2" xfId="1206" xr:uid="{0B8D29A5-3D43-4EF0-A0B1-0D0957EB79B2}"/>
    <cellStyle name="Currency 116 2 2" xfId="14726" xr:uid="{9CE8992D-EB78-4D57-85A6-AD1FE2F3599D}"/>
    <cellStyle name="Currency 116 3" xfId="8795" xr:uid="{5D041966-BCD7-4962-9F1F-36616F54B2A0}"/>
    <cellStyle name="Currency 117" xfId="713" xr:uid="{EE626DDA-D98F-42EB-9E5A-07637F40BD75}"/>
    <cellStyle name="Currency 117 2" xfId="1207" xr:uid="{C8483F3E-BF1F-481D-ADF6-B83EF8DF6E3B}"/>
    <cellStyle name="Currency 117 2 2" xfId="14729" xr:uid="{BD35D069-EFD1-4743-AB50-8A661825E4EF}"/>
    <cellStyle name="Currency 117 3" xfId="8798" xr:uid="{7AB2DD46-D6E8-47F1-BFE4-4181F78E0BFB}"/>
    <cellStyle name="Currency 118" xfId="715" xr:uid="{98F82AEE-DA6D-4B71-8D10-5D886225157F}"/>
    <cellStyle name="Currency 118 2" xfId="1209" xr:uid="{B4433C6A-7A36-4C7E-8024-5DD15B7219AA}"/>
    <cellStyle name="Currency 118 2 2" xfId="14733" xr:uid="{94A6F0D2-5B4A-4D1A-BBD4-0A87787743B8}"/>
    <cellStyle name="Currency 118 3" xfId="8802" xr:uid="{0A6F590B-D7CD-4862-8F83-0DE3058DC56A}"/>
    <cellStyle name="Currency 119" xfId="717" xr:uid="{796AF945-B238-4182-ABB9-50528C792B27}"/>
    <cellStyle name="Currency 119 2" xfId="1211" xr:uid="{E3D89EC9-0B16-432D-8A6D-5BD5846BF314}"/>
    <cellStyle name="Currency 119 2 2" xfId="14734" xr:uid="{53EE0D76-5B55-42B5-9C52-60F145B70EE3}"/>
    <cellStyle name="Currency 119 3" xfId="8803" xr:uid="{9EF72E3F-1F7F-4032-8500-0BA8F086CC23}"/>
    <cellStyle name="Currency 12" xfId="453" xr:uid="{28655214-A6AF-4F32-BE93-FBDCA9CB4994}"/>
    <cellStyle name="Currency 12 2" xfId="684" xr:uid="{CFDBC361-F5B6-456B-8DBE-400FC9C0BA2A}"/>
    <cellStyle name="Currency 12 2 2" xfId="1178" xr:uid="{472A72BB-3369-4C8B-B371-3753662F4541}"/>
    <cellStyle name="Currency 12 2 2 2" xfId="8558" xr:uid="{C66B65AD-2CEA-423D-9730-24C770A9CA15}"/>
    <cellStyle name="Currency 12 2 2 2 2" xfId="14636" xr:uid="{ED74260C-791C-4DB6-B917-3B47AC004103}"/>
    <cellStyle name="Currency 12 2 2 3" xfId="14278" xr:uid="{C5DDDD95-CED6-4CDC-9798-522B9D9583D1}"/>
    <cellStyle name="Currency 12 2 2 4" xfId="2344" xr:uid="{40C14C75-9A5C-4B55-AA72-3FC3B91C7762}"/>
    <cellStyle name="Currency 12 2 3" xfId="2615" xr:uid="{E0A469D5-D6F1-4A90-B91B-32AF9F1AD972}"/>
    <cellStyle name="Currency 12 2 3 2" xfId="14402" xr:uid="{83197282-683B-4962-8712-DCA7ACDE669F}"/>
    <cellStyle name="Currency 12 2 4" xfId="8373" xr:uid="{4059C8C8-BE16-4E49-A2F8-C5B926FBE306}"/>
    <cellStyle name="Currency 12 2 4 2" xfId="14544" xr:uid="{029F3F73-EA4D-4F3D-AC62-8E0425B38341}"/>
    <cellStyle name="Currency 12 2 5" xfId="14186" xr:uid="{BF16281D-3237-458A-B3C4-0D91202C6820}"/>
    <cellStyle name="Currency 12 2 6" xfId="2154" xr:uid="{6BE443AB-4206-49C4-839B-3A3F8AA4C0BE}"/>
    <cellStyle name="Currency 12 3" xfId="949" xr:uid="{57E8501A-BCD3-43FF-89EA-19952E8A1A14}"/>
    <cellStyle name="Currency 12 3 2" xfId="8524" xr:uid="{CFDB1E44-C68E-44B8-94C9-4B981074F303}"/>
    <cellStyle name="Currency 12 3 2 2" xfId="14606" xr:uid="{281AE85A-9BFA-4ED2-BCB3-6843C51B5714}"/>
    <cellStyle name="Currency 12 3 3" xfId="14248" xr:uid="{60729953-07CA-4AD4-9140-BF1D1D6B1E09}"/>
    <cellStyle name="Currency 12 3 4" xfId="2310" xr:uid="{422C0ADF-3214-4DAE-BF2E-AE17FA45AF9D}"/>
    <cellStyle name="Currency 12 4" xfId="2585" xr:uid="{A399713C-721B-41A6-BFE7-D01BC2C9FCB4}"/>
    <cellStyle name="Currency 12 4 2" xfId="14372" xr:uid="{4A251367-555C-4FED-9919-8C9D97C71E0F}"/>
    <cellStyle name="Currency 12 5" xfId="8343" xr:uid="{C81794B7-125C-4B7B-81A6-019F3789AFDF}"/>
    <cellStyle name="Currency 12 5 2" xfId="14514" xr:uid="{19396862-C07C-4680-BDB5-A1105B897C1B}"/>
    <cellStyle name="Currency 12 6" xfId="14156" xr:uid="{56263984-E88E-4210-B6E2-4D93FA7C9548}"/>
    <cellStyle name="Currency 12 7" xfId="2109" xr:uid="{04A85CEA-5407-4C79-810D-45813C942764}"/>
    <cellStyle name="Currency 120" xfId="719" xr:uid="{FF67E2D7-CC91-48DF-A515-47E1FA7305DA}"/>
    <cellStyle name="Currency 120 2" xfId="1213" xr:uid="{88BCEC52-0E0E-45F4-8767-B7B8B62C1DE6}"/>
    <cellStyle name="Currency 120 2 2" xfId="14737" xr:uid="{3310E502-9988-423A-BF21-981CE62197BF}"/>
    <cellStyle name="Currency 120 3" xfId="8806" xr:uid="{20D2175A-266C-425E-86E2-E599C5FCCBE8}"/>
    <cellStyle name="Currency 121" xfId="721" xr:uid="{DACF6827-D12E-4B5F-8043-E9A774D3F640}"/>
    <cellStyle name="Currency 121 2" xfId="1215" xr:uid="{59D25B9D-A2FC-40E5-9F97-07C48162F409}"/>
    <cellStyle name="Currency 121 2 2" xfId="14738" xr:uid="{2C6B3C3C-21D6-4BF3-8D49-8CC435F41B55}"/>
    <cellStyle name="Currency 121 3" xfId="8807" xr:uid="{A2DD88D2-DE4A-4A59-B6CA-B035DCA5CFE3}"/>
    <cellStyle name="Currency 122" xfId="723" xr:uid="{6BB78572-04BF-4406-906E-8175A6B85C55}"/>
    <cellStyle name="Currency 122 2" xfId="1217" xr:uid="{C5281097-C4CC-419B-A828-6B444CE4FB2B}"/>
    <cellStyle name="Currency 122 2 2" xfId="14740" xr:uid="{14DD0AA3-169D-4FCA-8878-9A904A99EA39}"/>
    <cellStyle name="Currency 122 3" xfId="8809" xr:uid="{6E60C9D2-1486-449B-9976-2C3D6D5AF1D1}"/>
    <cellStyle name="Currency 123" xfId="725" xr:uid="{4AE1AB84-FD29-479F-B03F-5936CB1A355F}"/>
    <cellStyle name="Currency 123 2" xfId="1219" xr:uid="{982DDC33-26EA-4C98-A5A6-EB4444EB1FBF}"/>
    <cellStyle name="Currency 123 2 2" xfId="14742" xr:uid="{CC0B54BE-892C-4181-A641-D6F63B2D0D4F}"/>
    <cellStyle name="Currency 123 3" xfId="8811" xr:uid="{0A7F8416-C42B-4AF6-A549-44C538DD48F5}"/>
    <cellStyle name="Currency 124" xfId="727" xr:uid="{C7DD37F0-8393-44AE-AE3B-4FA162B670E5}"/>
    <cellStyle name="Currency 124 2" xfId="1221" xr:uid="{F1E2523C-66D6-49FC-810A-5FDD8A6D9C36}"/>
    <cellStyle name="Currency 124 2 2" xfId="14744" xr:uid="{9A7C2321-8E98-47CB-8B3A-3A868FD95062}"/>
    <cellStyle name="Currency 124 3" xfId="8813" xr:uid="{4719CC0B-5A50-4495-A29E-4CF1A0F704DF}"/>
    <cellStyle name="Currency 125" xfId="729" xr:uid="{6B6ADE77-A471-4969-9315-576658AE710B}"/>
    <cellStyle name="Currency 125 2" xfId="1223" xr:uid="{A4E6F370-C4B9-4B74-87A0-82CBE83DDB95}"/>
    <cellStyle name="Currency 125 2 2" xfId="14747" xr:uid="{3CB88691-24CD-45EA-A252-DE759D74069A}"/>
    <cellStyle name="Currency 125 3" xfId="8816" xr:uid="{14BF06BA-2316-4AE8-A9C3-40BF13FABD34}"/>
    <cellStyle name="Currency 126" xfId="731" xr:uid="{D9B53A23-5DCC-4E25-ABA0-959117090B39}"/>
    <cellStyle name="Currency 126 2" xfId="1225" xr:uid="{8552FFBD-DD7B-428D-8A3C-80C4EFDC92B9}"/>
    <cellStyle name="Currency 126 2 2" xfId="14751" xr:uid="{474AE45F-DAFE-42BB-AD80-DE68BFE2F3A3}"/>
    <cellStyle name="Currency 126 3" xfId="8820" xr:uid="{EDAD8A7E-AF20-4B87-884C-A5340D16A7FA}"/>
    <cellStyle name="Currency 127" xfId="733" xr:uid="{F643E6ED-E961-43DB-9D44-C46F1112CA17}"/>
    <cellStyle name="Currency 127 2" xfId="1227" xr:uid="{48E82CC3-E475-4C84-B1C6-A8BF5D527972}"/>
    <cellStyle name="Currency 127 2 2" xfId="14752" xr:uid="{DF36CE60-AF35-4637-BC23-9333F43E865C}"/>
    <cellStyle name="Currency 127 3" xfId="8821" xr:uid="{344164E0-BDDC-4004-8750-0A5F84E127A6}"/>
    <cellStyle name="Currency 128" xfId="735" xr:uid="{AED856B2-215E-4C32-AC01-2E3EF4E37F87}"/>
    <cellStyle name="Currency 128 2" xfId="1229" xr:uid="{0718D0B5-C5CE-4B79-A3A5-0E69049B713F}"/>
    <cellStyle name="Currency 128 2 2" xfId="14754" xr:uid="{1152F263-708E-49F0-A9E9-1F22531F8310}"/>
    <cellStyle name="Currency 128 3" xfId="8823" xr:uid="{AD673B7F-68BB-4F75-9C5D-873239489254}"/>
    <cellStyle name="Currency 129" xfId="737" xr:uid="{EF20F3D1-687B-43F6-9218-50E0D88DEBB4}"/>
    <cellStyle name="Currency 129 2" xfId="1231" xr:uid="{9964954C-3ABD-43B1-A836-943785B5EEED}"/>
    <cellStyle name="Currency 13" xfId="455" xr:uid="{208EB755-4F41-4624-AF23-77AF05AB5F27}"/>
    <cellStyle name="Currency 13 2" xfId="686" xr:uid="{C4909CFC-68D7-4327-A4DE-41017EF194D4}"/>
    <cellStyle name="Currency 13 2 2" xfId="1180" xr:uid="{4FE4BC4D-9175-48E6-B190-0F212CDB9EC7}"/>
    <cellStyle name="Currency 13 2 2 2" xfId="8560" xr:uid="{E660B9D9-2068-4DD4-AA54-2C7AEE1DDEC2}"/>
    <cellStyle name="Currency 13 2 2 2 2" xfId="14638" xr:uid="{EE06D24E-C8B0-46BE-B4A9-A973F28A37A9}"/>
    <cellStyle name="Currency 13 2 2 3" xfId="14280" xr:uid="{F02F484D-85EC-4BF8-ACDD-4DB779A16D90}"/>
    <cellStyle name="Currency 13 2 2 4" xfId="2346" xr:uid="{CF3D561C-749B-4BD4-BB15-C3DDF6ED9508}"/>
    <cellStyle name="Currency 13 2 3" xfId="2617" xr:uid="{304E0FFA-FE0D-45E3-AF41-F776C04624BD}"/>
    <cellStyle name="Currency 13 2 3 2" xfId="14404" xr:uid="{AE2FCC3C-BE1F-4D91-8535-45EFD306F96C}"/>
    <cellStyle name="Currency 13 2 4" xfId="8375" xr:uid="{BE214327-8234-412A-948E-5202834CF3CB}"/>
    <cellStyle name="Currency 13 2 4 2" xfId="14546" xr:uid="{D10E2196-C754-4A40-88AD-5AB1DB661552}"/>
    <cellStyle name="Currency 13 2 5" xfId="14188" xr:uid="{79EF8D6B-AEB1-4006-B020-D1E2049BBA33}"/>
    <cellStyle name="Currency 13 2 6" xfId="2156" xr:uid="{1CD391F5-3A7E-4F75-B8A9-A2204A69446C}"/>
    <cellStyle name="Currency 13 3" xfId="951" xr:uid="{71289CC2-14E4-44F5-A2A1-33BE3F8470D3}"/>
    <cellStyle name="Currency 13 3 2" xfId="8526" xr:uid="{8C2865CB-7819-4916-8E58-954257486C7F}"/>
    <cellStyle name="Currency 13 3 2 2" xfId="14608" xr:uid="{22C4C072-45B0-47A6-877C-86AC850EB296}"/>
    <cellStyle name="Currency 13 3 3" xfId="14250" xr:uid="{281EE67B-3A30-4B36-AFB3-F722D20E514D}"/>
    <cellStyle name="Currency 13 3 4" xfId="2312" xr:uid="{E1427224-A6F3-4B22-8D7B-DBF526D3C546}"/>
    <cellStyle name="Currency 13 4" xfId="2587" xr:uid="{18AE07E4-302D-42CF-A356-F3A221448622}"/>
    <cellStyle name="Currency 13 4 2" xfId="14374" xr:uid="{9DA71C5A-DD09-4A49-B0AC-0C0749945AED}"/>
    <cellStyle name="Currency 13 5" xfId="8345" xr:uid="{9CE43488-A21F-4BFD-939B-6AECA5F4BD31}"/>
    <cellStyle name="Currency 13 5 2" xfId="14516" xr:uid="{E3B89B2F-DC66-40FF-9F59-67CA96EF5188}"/>
    <cellStyle name="Currency 13 6" xfId="14158" xr:uid="{12D75568-3600-4B00-840D-514EAAAC55F8}"/>
    <cellStyle name="Currency 13 7" xfId="2111" xr:uid="{72BF8FB4-5913-4643-A380-6D481BC122F6}"/>
    <cellStyle name="Currency 130" xfId="739" xr:uid="{EFC48B8D-A4C3-4DD8-BFEF-960A2E6C05BB}"/>
    <cellStyle name="Currency 130 2" xfId="1233" xr:uid="{FB6F0A97-974F-4E34-A18B-4FD91CE6CE9D}"/>
    <cellStyle name="Currency 131" xfId="741" xr:uid="{ABD02F35-A447-46A9-9E98-5C6FD2C24C8C}"/>
    <cellStyle name="Currency 131 2" xfId="1235" xr:uid="{E85CBD93-7372-41F0-BBE9-B142C5E02808}"/>
    <cellStyle name="Currency 132" xfId="743" xr:uid="{5248A1F0-6052-43AA-B169-D2D1DA60D650}"/>
    <cellStyle name="Currency 132 2" xfId="1237" xr:uid="{8B9D1DD9-993C-4843-A4BD-8F0BB3926370}"/>
    <cellStyle name="Currency 133" xfId="745" xr:uid="{D1F5E445-3DB6-4E21-8964-F5CBC2295B2E}"/>
    <cellStyle name="Currency 133 2" xfId="1239" xr:uid="{F055DEA3-A949-4DC9-879B-29887D414723}"/>
    <cellStyle name="Currency 134" xfId="747" xr:uid="{A2ED0A89-AB4D-457F-8984-0B36F670C94F}"/>
    <cellStyle name="Currency 134 2" xfId="1241" xr:uid="{232A9819-718E-42B2-8663-68DBAB26680F}"/>
    <cellStyle name="Currency 135" xfId="749" xr:uid="{D036C6BA-77E0-4C7D-B719-5B1DC06CA038}"/>
    <cellStyle name="Currency 135 2" xfId="1243" xr:uid="{89651F67-39C0-4ECB-8C46-07E71AD5235B}"/>
    <cellStyle name="Currency 136" xfId="751" xr:uid="{C672D78E-0E48-492F-A52D-88037D9EF59B}"/>
    <cellStyle name="Currency 136 2" xfId="1245" xr:uid="{3A017968-9F6A-4D2D-B81B-262C762E913F}"/>
    <cellStyle name="Currency 137" xfId="753" xr:uid="{58739162-A0E2-451C-AE92-66563C47A7B0}"/>
    <cellStyle name="Currency 137 2" xfId="1247" xr:uid="{E6978606-0D10-4FC9-970B-7453A4BD9362}"/>
    <cellStyle name="Currency 138" xfId="756" xr:uid="{B8AA893D-481C-4208-851A-C71F5AA51516}"/>
    <cellStyle name="Currency 138 2" xfId="1250" xr:uid="{AABCACB4-0EA3-4E2C-954F-A3583FDA8642}"/>
    <cellStyle name="Currency 139" xfId="757" xr:uid="{E07428E9-F1AC-4477-808B-DC2B8B225763}"/>
    <cellStyle name="Currency 139 2" xfId="1251" xr:uid="{D4B912C4-5ED3-4421-B103-DD75FE9A4724}"/>
    <cellStyle name="Currency 14" xfId="457" xr:uid="{A35C3A75-3D4D-4B32-891D-E9B38CFFDECE}"/>
    <cellStyle name="Currency 14 2" xfId="688" xr:uid="{673DB4A8-5BAE-493D-BC3C-5C7C42FE6CA0}"/>
    <cellStyle name="Currency 14 2 2" xfId="1182" xr:uid="{BFC1E112-729D-49AC-96BC-ADEB15DA4F08}"/>
    <cellStyle name="Currency 14 2 2 2" xfId="8562" xr:uid="{CDBA7EED-5B8A-4DAC-9C0E-508863F969A0}"/>
    <cellStyle name="Currency 14 2 2 2 2" xfId="14640" xr:uid="{7332BE57-43B0-4089-AE0E-8474AC12B086}"/>
    <cellStyle name="Currency 14 2 2 3" xfId="14282" xr:uid="{A7AB6901-5BDF-47DA-8BFA-3077015E4FDB}"/>
    <cellStyle name="Currency 14 2 2 4" xfId="2348" xr:uid="{0CB77495-9A08-4710-AE27-5A220387B9E2}"/>
    <cellStyle name="Currency 14 2 3" xfId="2619" xr:uid="{6CA00D6D-8001-4B55-AB0F-D01601F423D9}"/>
    <cellStyle name="Currency 14 2 3 2" xfId="14406" xr:uid="{45C8E0EA-E16A-46D5-B579-8772D6FBA9DC}"/>
    <cellStyle name="Currency 14 2 4" xfId="8377" xr:uid="{B6B09818-27AB-4265-A1E1-2AA4ADDD83ED}"/>
    <cellStyle name="Currency 14 2 4 2" xfId="14548" xr:uid="{ED51AC07-5CC5-4F74-8AF7-67D886728F0E}"/>
    <cellStyle name="Currency 14 2 5" xfId="14190" xr:uid="{3750E2DE-C261-4555-8C7F-D930915A78B3}"/>
    <cellStyle name="Currency 14 2 6" xfId="2158" xr:uid="{2935A56F-A7CC-4D10-A36C-9A7CE58E2487}"/>
    <cellStyle name="Currency 14 3" xfId="953" xr:uid="{8AD4792F-5B24-4F52-8EB5-4FA7425C34B8}"/>
    <cellStyle name="Currency 14 3 2" xfId="8528" xr:uid="{E23B2F0D-1183-4716-B595-392E5019EDDC}"/>
    <cellStyle name="Currency 14 3 2 2" xfId="14610" xr:uid="{D8B4AC94-4481-4942-81BA-AF691D02EE31}"/>
    <cellStyle name="Currency 14 3 3" xfId="14252" xr:uid="{A2F08BD3-E4F1-4306-A7A5-AF127768FFD9}"/>
    <cellStyle name="Currency 14 3 4" xfId="2314" xr:uid="{B0EC74AB-11B6-4FAC-93E6-E35734CC74D8}"/>
    <cellStyle name="Currency 14 4" xfId="2589" xr:uid="{1A7932B1-B6F1-4D5C-8D00-D963982A86A5}"/>
    <cellStyle name="Currency 14 4 2" xfId="14376" xr:uid="{B1C6BD62-EF2E-4C66-ADCF-D2B64CF4D9B9}"/>
    <cellStyle name="Currency 14 5" xfId="8347" xr:uid="{C6D33A38-83EA-4DB8-B35A-7D3BBD359815}"/>
    <cellStyle name="Currency 14 5 2" xfId="14518" xr:uid="{58131260-94CD-4BE5-9A33-1516CE2AEAF5}"/>
    <cellStyle name="Currency 14 6" xfId="14160" xr:uid="{BBE61D2C-546C-4F05-BEE4-8C197BBAB6B9}"/>
    <cellStyle name="Currency 14 7" xfId="2113" xr:uid="{00068872-640A-437E-8FEB-EBC67697BB29}"/>
    <cellStyle name="Currency 140" xfId="759" xr:uid="{FC2BA29B-7931-4B17-81FA-01AA6D8F7419}"/>
    <cellStyle name="Currency 140 2" xfId="1253" xr:uid="{DE95D57D-AD97-42FE-AC2A-1E461629128A}"/>
    <cellStyle name="Currency 141" xfId="761" xr:uid="{1B597EDD-4B3D-4A84-9010-2B0F6C19347C}"/>
    <cellStyle name="Currency 141 2" xfId="1255" xr:uid="{58F8127F-6E44-4A04-ADED-0CBF42B3E1AA}"/>
    <cellStyle name="Currency 142" xfId="763" xr:uid="{93679D6B-EB20-4C60-A0CE-01390E950142}"/>
    <cellStyle name="Currency 142 2" xfId="1257" xr:uid="{D04F79E8-60F9-42AA-97B9-F3524D465763}"/>
    <cellStyle name="Currency 143" xfId="765" xr:uid="{DFC50024-4A1E-4C10-97B3-F753F8E7C380}"/>
    <cellStyle name="Currency 143 2" xfId="1259" xr:uid="{6361578F-6721-4380-B8DB-AD929FE5FE30}"/>
    <cellStyle name="Currency 144" xfId="767" xr:uid="{815B5AD9-2DCB-4786-8279-E9FF8A85F97A}"/>
    <cellStyle name="Currency 144 2" xfId="1261" xr:uid="{EE034C8C-E945-4E17-9042-301AA0CC4DD9}"/>
    <cellStyle name="Currency 145" xfId="769" xr:uid="{0B66FE6E-119A-4660-810D-FBD95260DC6D}"/>
    <cellStyle name="Currency 145 2" xfId="1263" xr:uid="{BC9CE786-5EB9-4C05-81D3-DD1A43F677C3}"/>
    <cellStyle name="Currency 146" xfId="771" xr:uid="{FF14A0EF-2455-46C9-AC2D-24A21494FC38}"/>
    <cellStyle name="Currency 146 2" xfId="1265" xr:uid="{E3528F42-8E27-4959-9A7D-D417079BE249}"/>
    <cellStyle name="Currency 147" xfId="773" xr:uid="{20A6613B-F610-421D-B081-EB6608F93E8E}"/>
    <cellStyle name="Currency 147 2" xfId="1267" xr:uid="{6427C76C-870B-4565-9ADA-74189480FB3E}"/>
    <cellStyle name="Currency 148" xfId="775" xr:uid="{18B92941-FE15-48B6-A40B-87220BAB2387}"/>
    <cellStyle name="Currency 148 2" xfId="1269" xr:uid="{C3427BB6-8FE4-4071-9F48-51C13A32742E}"/>
    <cellStyle name="Currency 149" xfId="777" xr:uid="{6B39A8D9-562E-4FFE-B361-13C34DAED5BA}"/>
    <cellStyle name="Currency 149 2" xfId="1271" xr:uid="{7F79F060-7D22-4DC0-94B1-81C39098C399}"/>
    <cellStyle name="Currency 15" xfId="459" xr:uid="{B82A931B-9ACC-41CD-AA55-0405CBD2506E}"/>
    <cellStyle name="Currency 15 2" xfId="690" xr:uid="{98662EB7-4D5A-4045-9EF9-73E7DE3BB397}"/>
    <cellStyle name="Currency 15 2 2" xfId="1184" xr:uid="{D73DC3ED-35C7-4DDB-BA87-54AC9F767C75}"/>
    <cellStyle name="Currency 15 2 2 2" xfId="8564" xr:uid="{9774A7BA-824B-4954-9DCB-4BE9F5F38900}"/>
    <cellStyle name="Currency 15 2 2 2 2" xfId="14642" xr:uid="{6F77B270-47FD-4158-90E4-619788618DA2}"/>
    <cellStyle name="Currency 15 2 2 3" xfId="14284" xr:uid="{1D84B07B-242E-4E5F-BB43-00F37CD4A525}"/>
    <cellStyle name="Currency 15 2 2 4" xfId="2350" xr:uid="{FDA40715-CC8F-4C09-89E3-082962485D2C}"/>
    <cellStyle name="Currency 15 2 3" xfId="2621" xr:uid="{6F13DB6D-6EEE-417A-80FC-D1EB20D27AEF}"/>
    <cellStyle name="Currency 15 2 3 2" xfId="14408" xr:uid="{8E733AA3-D65D-4375-B801-D964D913690B}"/>
    <cellStyle name="Currency 15 2 4" xfId="8379" xr:uid="{00983B75-0E2C-4D5E-9F12-337D92291FE6}"/>
    <cellStyle name="Currency 15 2 4 2" xfId="14550" xr:uid="{141926FF-026E-455F-B029-6AAEC45097D6}"/>
    <cellStyle name="Currency 15 2 5" xfId="14192" xr:uid="{7F624686-96B9-4D83-9CD2-2678672BC872}"/>
    <cellStyle name="Currency 15 2 6" xfId="2160" xr:uid="{F81B69AE-9571-48C1-A763-AD82CCEF5F41}"/>
    <cellStyle name="Currency 15 3" xfId="955" xr:uid="{EB669B91-D9E5-486B-A9AE-97BEF42C2403}"/>
    <cellStyle name="Currency 15 3 2" xfId="8530" xr:uid="{2ABE1C11-4611-405B-9D2E-5B40FA2CC8CC}"/>
    <cellStyle name="Currency 15 3 2 2" xfId="14612" xr:uid="{DE2FD470-CD17-462E-BC05-06DAE7E9B04E}"/>
    <cellStyle name="Currency 15 3 3" xfId="14254" xr:uid="{67F3DEF9-916E-47B1-ABCB-182E75C49CCB}"/>
    <cellStyle name="Currency 15 3 4" xfId="2316" xr:uid="{F84EA4B0-CFE8-48E9-BBB8-1EF6AE7664D7}"/>
    <cellStyle name="Currency 15 4" xfId="2591" xr:uid="{500F1BB2-4D66-49AC-9C10-2629B74B1499}"/>
    <cellStyle name="Currency 15 4 2" xfId="14378" xr:uid="{257E72E5-3488-4F08-80B6-B5486C4D001E}"/>
    <cellStyle name="Currency 15 5" xfId="8349" xr:uid="{A6F03A4E-FD14-4137-9EDE-B6E70EB30371}"/>
    <cellStyle name="Currency 15 5 2" xfId="14520" xr:uid="{35CA2D7F-3F9C-40FC-BEE5-2275A4103D4A}"/>
    <cellStyle name="Currency 15 6" xfId="14162" xr:uid="{9537CC6F-0E47-4ADC-84A7-5BFEC03670D0}"/>
    <cellStyle name="Currency 15 7" xfId="2115" xr:uid="{17FEA0C8-BA8E-482B-A39A-D2A4CE1C9C50}"/>
    <cellStyle name="Currency 150" xfId="779" xr:uid="{2FFBF85B-0764-4030-8D63-C7B65791C663}"/>
    <cellStyle name="Currency 150 2" xfId="1273" xr:uid="{B8943530-B992-4D27-8D1F-077F67AF132E}"/>
    <cellStyle name="Currency 151" xfId="781" xr:uid="{A769D799-3CD0-47FC-AC23-F2C90ECC9EAC}"/>
    <cellStyle name="Currency 151 2" xfId="1275" xr:uid="{03B007D8-0A19-4DE2-99D7-A73B0583733D}"/>
    <cellStyle name="Currency 152" xfId="783" xr:uid="{7EE958A3-C3B6-4AA8-BA0C-B9F34AEC274D}"/>
    <cellStyle name="Currency 152 2" xfId="1277" xr:uid="{28911E7E-30AA-4B4F-8A59-117BF9323159}"/>
    <cellStyle name="Currency 153" xfId="785" xr:uid="{F608C65B-D820-40E7-84C9-48A0DFBB3D42}"/>
    <cellStyle name="Currency 153 2" xfId="1279" xr:uid="{6368BFAE-C7D8-403C-B40B-B096F9EB1AEE}"/>
    <cellStyle name="Currency 154" xfId="787" xr:uid="{1EFF4247-C16A-4E9C-BF1A-76E5487D6ED2}"/>
    <cellStyle name="Currency 154 2" xfId="1281" xr:uid="{3D0C58C8-1EE9-4E46-B889-502E70F13E36}"/>
    <cellStyle name="Currency 155" xfId="789" xr:uid="{7DC5268A-E5C0-4A02-AA6C-25539A63055B}"/>
    <cellStyle name="Currency 155 2" xfId="1283" xr:uid="{2D780901-59B5-4000-BEFA-55E4C63F1974}"/>
    <cellStyle name="Currency 156" xfId="791" xr:uid="{BDB0C1C8-5093-411E-A7A8-BCB18B5EB1D6}"/>
    <cellStyle name="Currency 156 2" xfId="1285" xr:uid="{D7C60FDD-519D-4AC9-B7F3-0EC6DECD5433}"/>
    <cellStyle name="Currency 157" xfId="793" xr:uid="{9EC1AA90-815D-4D2D-A978-9DF382A502BC}"/>
    <cellStyle name="Currency 157 2" xfId="1287" xr:uid="{61DBA6F8-47E7-4761-852F-6AFDC78387BB}"/>
    <cellStyle name="Currency 158" xfId="795" xr:uid="{C983758E-A37A-4513-B74F-C191C9E99537}"/>
    <cellStyle name="Currency 158 2" xfId="1289" xr:uid="{EF4399BF-E845-4936-AE8A-53A75A65587E}"/>
    <cellStyle name="Currency 159" xfId="797" xr:uid="{DE87837C-E388-468A-BAF5-5819DD8C3AB3}"/>
    <cellStyle name="Currency 159 2" xfId="1291" xr:uid="{403C1B54-FF21-40C1-940E-2ED7F04C6091}"/>
    <cellStyle name="Currency 16" xfId="461" xr:uid="{239345FA-53B0-40F2-9675-4224EFA4663D}"/>
    <cellStyle name="Currency 16 2" xfId="692" xr:uid="{8F5DF34E-6398-408D-8408-3FDA8D95BB65}"/>
    <cellStyle name="Currency 16 2 2" xfId="1186" xr:uid="{EC8473B4-696E-43E3-9616-C8DEF0283AC6}"/>
    <cellStyle name="Currency 16 2 2 2" xfId="3834" xr:uid="{754ACFC0-B822-44C5-ADFE-D51F91A781E2}"/>
    <cellStyle name="Currency 16 2 2 2 2" xfId="15189" xr:uid="{ED180733-B077-4946-BCDE-039C226D0337}"/>
    <cellStyle name="Currency 16 2 2 3" xfId="6805" xr:uid="{EBF27E56-1D5F-44B5-9182-4FF3616AFFAD}"/>
    <cellStyle name="Currency 16 2 2 3 2" xfId="15584" xr:uid="{BB2726CD-1DE3-4A87-801D-72196AEEE832}"/>
    <cellStyle name="Currency 16 2 2 4" xfId="14933" xr:uid="{563ED7F0-AC65-42AA-A209-886C1EB2EDA2}"/>
    <cellStyle name="Currency 16 2 3" xfId="3354" xr:uid="{1354FD1E-9B1D-4701-9BE9-6D084C0FBA33}"/>
    <cellStyle name="Currency 16 2 3 2" xfId="15065" xr:uid="{96B95DC8-2D2D-4F93-A8D5-91EF666CD0B2}"/>
    <cellStyle name="Currency 16 2 4" xfId="4521" xr:uid="{E9FC9465-4A4F-4439-91C1-6ED01B66CD83}"/>
    <cellStyle name="Currency 16 2 4 2" xfId="15323" xr:uid="{55EFA899-1169-4BDF-BFBA-DBEA168F9D9C}"/>
    <cellStyle name="Currency 16 2 5" xfId="5456" xr:uid="{16E0ECBA-FAE3-4B64-A79A-989343269E80}"/>
    <cellStyle name="Currency 16 2 5 2" xfId="15440" xr:uid="{5A61A518-09BD-4ADF-846F-E7C8D4BD12AC}"/>
    <cellStyle name="Currency 16 2 6" xfId="14809" xr:uid="{584498E5-F9FF-4187-8909-E98B4CBAFED3}"/>
    <cellStyle name="Currency 16 3" xfId="957" xr:uid="{BEF9AE79-8AE0-45B4-9384-777824B37E80}"/>
    <cellStyle name="Currency 16 3 2" xfId="3726" xr:uid="{953FAF03-28AA-49C6-9C4A-3A611B2C69C6}"/>
    <cellStyle name="Currency 16 3 2 2" xfId="15139" xr:uid="{62CCA0F8-DD68-489F-A119-9233A30BB724}"/>
    <cellStyle name="Currency 16 3 3" xfId="6697" xr:uid="{4560F459-17AC-43F0-A93D-6A03264B7D20}"/>
    <cellStyle name="Currency 16 3 3 2" xfId="15534" xr:uid="{587ED8C9-DFD9-4DE8-84AA-7B144AEC704E}"/>
    <cellStyle name="Currency 16 3 4" xfId="14883" xr:uid="{F9A99F62-3A7E-4AA5-A85A-4499A752614D}"/>
    <cellStyle name="Currency 16 4" xfId="3246" xr:uid="{607E182D-CEA5-4C63-BBF4-11E451FC69F7}"/>
    <cellStyle name="Currency 16 4 2" xfId="15015" xr:uid="{976A3BAF-FE53-4D2B-9E4B-B19818C1B9E0}"/>
    <cellStyle name="Currency 16 5" xfId="4404" xr:uid="{238BCD90-BA41-4449-BE91-7275FF2D0D89}"/>
    <cellStyle name="Currency 16 5 2" xfId="15273" xr:uid="{223741DD-F1EC-4222-8A70-CA3A20814D53}"/>
    <cellStyle name="Currency 16 6" xfId="5326" xr:uid="{37C7F97D-4ACA-4E91-8C97-E41E598A8498}"/>
    <cellStyle name="Currency 16 6 2" xfId="15390" xr:uid="{AE8FA40C-FBD5-45BA-A397-26B3A1E6F918}"/>
    <cellStyle name="Currency 16 7" xfId="14759" xr:uid="{A23F35AF-90AB-4EDF-9E2B-F1955FC23103}"/>
    <cellStyle name="Currency 160" xfId="800" xr:uid="{79399005-252A-4538-BBD9-489D5EA65335}"/>
    <cellStyle name="Currency 160 2" xfId="1294" xr:uid="{82C81535-9EFA-4AB3-9ACB-D7D126D912AF}"/>
    <cellStyle name="Currency 161" xfId="804" xr:uid="{FE71417D-D2F4-44DA-A6DD-37072C84B073}"/>
    <cellStyle name="Currency 161 2" xfId="1298" xr:uid="{A567F60E-090D-45F3-9302-9B288E57527A}"/>
    <cellStyle name="Currency 162" xfId="805" xr:uid="{C371EA92-15E2-4451-A422-B2F36E23D2EC}"/>
    <cellStyle name="Currency 162 2" xfId="1299" xr:uid="{454C13D5-13DD-46D8-8BC7-F99AB95BB1C5}"/>
    <cellStyle name="Currency 163" xfId="807" xr:uid="{AB8EFB6F-18D7-4A34-A4B5-98B71BA79F89}"/>
    <cellStyle name="Currency 163 2" xfId="1301" xr:uid="{B4E83466-F329-47CA-AF42-B1437432FDB3}"/>
    <cellStyle name="Currency 164" xfId="809" xr:uid="{66BC0BDA-D633-4698-A490-2F85339EF1BE}"/>
    <cellStyle name="Currency 164 2" xfId="1303" xr:uid="{B02AFDFB-5584-4EA0-A6D3-2BFD58AC7E27}"/>
    <cellStyle name="Currency 165" xfId="811" xr:uid="{527898BE-C211-4388-95DE-B0CEAFE9AA97}"/>
    <cellStyle name="Currency 165 2" xfId="1305" xr:uid="{6FE12668-54BE-4C99-82C7-31F26694095D}"/>
    <cellStyle name="Currency 166" xfId="814" xr:uid="{42116B7E-1A5F-4C0D-A5D2-2014FDD8A071}"/>
    <cellStyle name="Currency 166 2" xfId="1308" xr:uid="{4AD64BBF-5AAF-4DCD-A8AD-D9B17038016C}"/>
    <cellStyle name="Currency 167" xfId="818" xr:uid="{3A3338D8-E2D7-4B51-92E1-E0B21988E74B}"/>
    <cellStyle name="Currency 167 2" xfId="1312" xr:uid="{A44DE185-26B0-483E-8B0B-6540088D2678}"/>
    <cellStyle name="Currency 168" xfId="819" xr:uid="{D3E3C2F8-F210-4E6D-A68E-455AE7505F5F}"/>
    <cellStyle name="Currency 168 2" xfId="1313" xr:uid="{C4AD0119-3721-4916-A5E8-36693B435A01}"/>
    <cellStyle name="Currency 169" xfId="821" xr:uid="{15D9F0A9-F2AF-4CA4-A44F-ABE34CD21DE4}"/>
    <cellStyle name="Currency 169 2" xfId="1315" xr:uid="{804941A7-7274-4368-85FC-041A21B94690}"/>
    <cellStyle name="Currency 17" xfId="465" xr:uid="{6F13091C-7389-440E-BB42-D5BAB9396DB0}"/>
    <cellStyle name="Currency 17 2" xfId="694" xr:uid="{E1DA144B-B3E6-46B5-978A-5F0518999D05}"/>
    <cellStyle name="Currency 17 2 2" xfId="1188" xr:uid="{ADF1EAA1-CFE5-4FC2-BB8D-68DA3A782EA5}"/>
    <cellStyle name="Currency 17 2 2 2" xfId="3838" xr:uid="{04D13F96-4901-4CF9-A052-FBF935302944}"/>
    <cellStyle name="Currency 17 2 2 2 2" xfId="15193" xr:uid="{C9E742DE-D65A-4877-8AEF-519133C2F651}"/>
    <cellStyle name="Currency 17 2 2 3" xfId="6809" xr:uid="{484B3CF5-0657-4634-B452-839D9C4631A1}"/>
    <cellStyle name="Currency 17 2 2 3 2" xfId="15588" xr:uid="{E00DF639-0CE3-4ED6-804C-494F46903F75}"/>
    <cellStyle name="Currency 17 2 2 4" xfId="14937" xr:uid="{CB27A8B6-492A-4223-B088-B6B235DEEB69}"/>
    <cellStyle name="Currency 17 2 3" xfId="3358" xr:uid="{C47B327E-1E62-4BB7-94ED-358F12633646}"/>
    <cellStyle name="Currency 17 2 3 2" xfId="15069" xr:uid="{27B25348-8452-49DC-9CE4-8389256E57E3}"/>
    <cellStyle name="Currency 17 2 4" xfId="4525" xr:uid="{A849A512-BECB-4AEF-84D4-FBACEE62DB60}"/>
    <cellStyle name="Currency 17 2 4 2" xfId="15327" xr:uid="{F3AA2FD6-2A47-4601-A733-E0E9FC6C17A3}"/>
    <cellStyle name="Currency 17 2 5" xfId="5460" xr:uid="{7002979B-D2F9-4E8F-81A8-6F36CF8A5ED5}"/>
    <cellStyle name="Currency 17 2 5 2" xfId="15444" xr:uid="{5702C261-70FA-458F-9B50-B7AEE67B0AB5}"/>
    <cellStyle name="Currency 17 2 6" xfId="14813" xr:uid="{C275B1E9-4C25-4DF8-9426-9C92F57C69D4}"/>
    <cellStyle name="Currency 17 3" xfId="960" xr:uid="{A3006E44-D1D2-4F81-B0B2-B81C932D9E0E}"/>
    <cellStyle name="Currency 17 3 2" xfId="3730" xr:uid="{062C6122-27BB-4C70-A04D-1F332650E70F}"/>
    <cellStyle name="Currency 17 3 2 2" xfId="15143" xr:uid="{B5ACF918-BDED-48A3-BEF7-F0495843E652}"/>
    <cellStyle name="Currency 17 3 3" xfId="6701" xr:uid="{7169B955-955A-4B62-9736-B51EE6748C21}"/>
    <cellStyle name="Currency 17 3 3 2" xfId="15538" xr:uid="{92006DC7-764E-490C-903B-23082CDAB40A}"/>
    <cellStyle name="Currency 17 3 4" xfId="14887" xr:uid="{35684202-F54D-4E1E-AB06-2B010D3833BC}"/>
    <cellStyle name="Currency 17 4" xfId="3250" xr:uid="{487208C4-22A4-4417-8F53-453163C7B387}"/>
    <cellStyle name="Currency 17 4 2" xfId="15019" xr:uid="{A91A63F6-E587-491A-9273-EE810EB9CC6C}"/>
    <cellStyle name="Currency 17 5" xfId="4408" xr:uid="{91C80923-EAA7-4E11-B31B-08B0404DCEE3}"/>
    <cellStyle name="Currency 17 5 2" xfId="15277" xr:uid="{4EB6324B-6C9F-4803-8825-87D9500D5135}"/>
    <cellStyle name="Currency 17 6" xfId="5330" xr:uid="{48593F2D-6C19-4D5E-B10B-A6006422E510}"/>
    <cellStyle name="Currency 17 6 2" xfId="15394" xr:uid="{AD9233FD-20B7-4801-AAE4-ACAA7FFAD197}"/>
    <cellStyle name="Currency 17 7" xfId="14763" xr:uid="{306A8DF9-6C81-41BE-A145-8DD85D47B249}"/>
    <cellStyle name="Currency 170" xfId="823" xr:uid="{D61437D5-8934-4D88-B3BB-53CE917B8BCD}"/>
    <cellStyle name="Currency 170 2" xfId="1317" xr:uid="{88624AA3-C7E6-4B08-BCE8-EE610463160C}"/>
    <cellStyle name="Currency 171" xfId="825" xr:uid="{34A37B83-6F45-4A77-9CCD-7B495B2D50EE}"/>
    <cellStyle name="Currency 171 2" xfId="1319" xr:uid="{0C14832C-0A45-4411-8C7E-4B3D74EF32F1}"/>
    <cellStyle name="Currency 172" xfId="827" xr:uid="{510CCC43-02D0-4548-AAA2-D5A78D7DE836}"/>
    <cellStyle name="Currency 172 2" xfId="1321" xr:uid="{B52E0B95-F146-4C55-92F0-4AC310A1FAD3}"/>
    <cellStyle name="Currency 173" xfId="829" xr:uid="{716A598B-A762-4065-B464-6F83FBDA7E63}"/>
    <cellStyle name="Currency 173 2" xfId="1323" xr:uid="{59B69199-777D-4997-9B9B-D0EF5B970C54}"/>
    <cellStyle name="Currency 174" xfId="831" xr:uid="{BF7B3C14-7FD2-4FA1-8FE6-F08CF1A24B28}"/>
    <cellStyle name="Currency 174 2" xfId="1325" xr:uid="{B7007AE9-5BE0-4E7C-86AF-2FA580FFFAC9}"/>
    <cellStyle name="Currency 175" xfId="834" xr:uid="{7182F298-407A-48FC-8974-1AFC71518AF7}"/>
    <cellStyle name="Currency 175 2" xfId="1328" xr:uid="{AC3D35A1-878B-48BC-9488-FA3E63C5DB89}"/>
    <cellStyle name="Currency 176" xfId="838" xr:uid="{87F1475F-F037-4748-BEBC-3EC0E206EC95}"/>
    <cellStyle name="Currency 176 2" xfId="1332" xr:uid="{77A0640C-1344-4031-B202-AE09F60F4B10}"/>
    <cellStyle name="Currency 177" xfId="839" xr:uid="{19C3C6C3-B31D-4724-97DE-888F516824FC}"/>
    <cellStyle name="Currency 177 2" xfId="1333" xr:uid="{F27480A7-940F-454E-91AA-23873ACC7E06}"/>
    <cellStyle name="Currency 178" xfId="841" xr:uid="{313A7A0D-6EEC-46B1-BE68-06CB459F7BB6}"/>
    <cellStyle name="Currency 178 2" xfId="1335" xr:uid="{B6BE201F-7CAB-44A3-995F-3FE97CD15F2C}"/>
    <cellStyle name="Currency 179" xfId="843" xr:uid="{20FA1347-6CF2-4494-B7F8-AB944D9F5996}"/>
    <cellStyle name="Currency 179 2" xfId="1337" xr:uid="{8BF53ABD-4114-4CBD-8DFF-3DF95C9B4E6A}"/>
    <cellStyle name="Currency 18" xfId="469" xr:uid="{D2ECAA41-B335-4B35-BE83-79843B9E2581}"/>
    <cellStyle name="Currency 18 2" xfId="696" xr:uid="{D72D9CB1-72D5-48E9-8DBD-19A5E21AC440}"/>
    <cellStyle name="Currency 18 2 2" xfId="1190" xr:uid="{992BE5C8-2360-4534-8EA4-0C3A83EDA498}"/>
    <cellStyle name="Currency 18 2 2 2" xfId="3839" xr:uid="{3BE0CD8A-5C39-4A13-91DD-B80E4323E6EA}"/>
    <cellStyle name="Currency 18 2 2 2 2" xfId="15194" xr:uid="{EF2F1DE5-2A8E-430B-8EE8-58388C62AAFE}"/>
    <cellStyle name="Currency 18 2 2 3" xfId="6810" xr:uid="{F657489E-0244-4E10-B130-F11F5EBC3D76}"/>
    <cellStyle name="Currency 18 2 2 3 2" xfId="15589" xr:uid="{A0503D3C-E7B9-4EB7-B5BA-9CA8B35E6CB4}"/>
    <cellStyle name="Currency 18 2 2 4" xfId="14938" xr:uid="{5CACE1F1-A8AD-4042-AA41-0AEE583B0D65}"/>
    <cellStyle name="Currency 18 2 3" xfId="3359" xr:uid="{91C5241A-795F-4058-8409-977B72CE48C0}"/>
    <cellStyle name="Currency 18 2 3 2" xfId="15070" xr:uid="{B94BA979-52E8-4F30-967E-4B7EA4BD6022}"/>
    <cellStyle name="Currency 18 2 4" xfId="4526" xr:uid="{B15609D5-CA4E-4395-A16D-8A7C6A465CA9}"/>
    <cellStyle name="Currency 18 2 4 2" xfId="15328" xr:uid="{C2D0CCAF-A4F3-46E4-B57A-7AB249EF68D6}"/>
    <cellStyle name="Currency 18 2 5" xfId="5461" xr:uid="{F355464F-11D8-472E-A38B-A50E7732AE1A}"/>
    <cellStyle name="Currency 18 2 5 2" xfId="15445" xr:uid="{7802D325-6DB1-4735-BE69-62F09B9D4597}"/>
    <cellStyle name="Currency 18 2 6" xfId="14814" xr:uid="{BD197423-BF67-486D-99F6-1B0E76DB40F2}"/>
    <cellStyle name="Currency 18 3" xfId="964" xr:uid="{2E53DB16-2347-4AD4-8233-B623283EB697}"/>
    <cellStyle name="Currency 18 3 2" xfId="3731" xr:uid="{4E44A455-5BFF-4F86-B169-B05D1543DE8F}"/>
    <cellStyle name="Currency 18 3 2 2" xfId="15144" xr:uid="{78605DDE-1F7C-4BF7-A8F4-E4CC4E4AE61D}"/>
    <cellStyle name="Currency 18 3 3" xfId="6702" xr:uid="{C22888FB-E258-4DB9-858E-4F62B4656478}"/>
    <cellStyle name="Currency 18 3 3 2" xfId="15539" xr:uid="{906039A8-C197-452E-A1BC-279844329A0F}"/>
    <cellStyle name="Currency 18 3 4" xfId="14888" xr:uid="{01632C69-4EE5-486F-B7C5-7FAB5F496715}"/>
    <cellStyle name="Currency 18 4" xfId="3251" xr:uid="{2DA5CC13-57D0-4734-86F9-BA56EF1A9CC5}"/>
    <cellStyle name="Currency 18 4 2" xfId="15020" xr:uid="{23A2EE56-809D-4ABF-88A3-9A7A469FF136}"/>
    <cellStyle name="Currency 18 5" xfId="4409" xr:uid="{AE4B94C0-F9A8-4267-8012-9D20700BE812}"/>
    <cellStyle name="Currency 18 5 2" xfId="15278" xr:uid="{2984F6BF-9E9B-4930-AD0A-E38CBAE1F3AB}"/>
    <cellStyle name="Currency 18 6" xfId="5331" xr:uid="{699DD31D-EE81-4DBC-BEB7-257E8FD3FD4B}"/>
    <cellStyle name="Currency 18 6 2" xfId="15395" xr:uid="{D2649625-08AD-41B4-990F-BD490181931C}"/>
    <cellStyle name="Currency 18 7" xfId="14764" xr:uid="{3BA26F33-FDEB-49C3-8FD9-DE17B9B928BD}"/>
    <cellStyle name="Currency 180" xfId="845" xr:uid="{2396441B-2DC9-4228-AE14-2DAE5F91D20A}"/>
    <cellStyle name="Currency 180 2" xfId="1339" xr:uid="{D811EFA0-6272-4C70-9ACC-E624DD054316}"/>
    <cellStyle name="Currency 181" xfId="848" xr:uid="{3EB287B0-468A-4E70-9A29-A29A03E4D643}"/>
    <cellStyle name="Currency 181 2" xfId="1342" xr:uid="{387A5F51-080B-400E-B645-A79626CD13BB}"/>
    <cellStyle name="Currency 182" xfId="852" xr:uid="{6B2A0DAC-22CA-439B-8E08-B66EA113DCE9}"/>
    <cellStyle name="Currency 182 2" xfId="1346" xr:uid="{769D619A-936F-4B54-8CBA-C5170AAB061A}"/>
    <cellStyle name="Currency 183" xfId="856" xr:uid="{149F1DD3-88A7-4064-8D69-17BA2416DBF0}"/>
    <cellStyle name="Currency 183 2" xfId="1350" xr:uid="{5338C163-0B84-44F6-B4C0-82C99C1A6E51}"/>
    <cellStyle name="Currency 184" xfId="858" xr:uid="{BE881C3E-D0FC-43B6-901A-28288A15AA6F}"/>
    <cellStyle name="Currency 184 2" xfId="1352" xr:uid="{4185AEF0-E4AC-4284-BA9A-74269121984A}"/>
    <cellStyle name="Currency 185" xfId="860" xr:uid="{031C1D7B-2426-4A7D-BB7B-28A83AD1314C}"/>
    <cellStyle name="Currency 185 2" xfId="1354" xr:uid="{9F6FA974-BD58-45C5-9516-37F924D03B99}"/>
    <cellStyle name="Currency 186" xfId="864" xr:uid="{7AF6614D-2DCA-449D-8C34-2E442EC077FF}"/>
    <cellStyle name="Currency 186 2" xfId="1358" xr:uid="{CB012447-80BD-4692-9E20-F5D9BBD13CBB}"/>
    <cellStyle name="Currency 187" xfId="865" xr:uid="{4FFF5FA1-E00F-4598-ACA2-CAB65C8C4524}"/>
    <cellStyle name="Currency 187 2" xfId="1359" xr:uid="{74044171-67EB-4A11-8AF6-C0DADDF8641F}"/>
    <cellStyle name="Currency 188" xfId="868" xr:uid="{416ABD7C-D8E7-478B-AAED-5337D89E56A2}"/>
    <cellStyle name="Currency 188 2" xfId="1362" xr:uid="{DF84B398-0209-48B3-BC65-CF32EFC19E27}"/>
    <cellStyle name="Currency 189" xfId="870" xr:uid="{9DFA7D50-44FC-49BE-8159-81556BB318E1}"/>
    <cellStyle name="Currency 189 2" xfId="1364" xr:uid="{DA0D51A6-5AFE-4FF5-83CD-BA5F467E7DF2}"/>
    <cellStyle name="Currency 19" xfId="470" xr:uid="{C3F4581B-6895-4AD2-8FE9-ED933653DD3F}"/>
    <cellStyle name="Currency 19 2" xfId="698" xr:uid="{3D42CA4C-6DB3-453F-915F-933E039C67E4}"/>
    <cellStyle name="Currency 19 2 2" xfId="1192" xr:uid="{F961C2E5-2FBE-4F22-8ADC-52FCAC1D516F}"/>
    <cellStyle name="Currency 19 2 2 2" xfId="3841" xr:uid="{36E26EC7-F20C-4F36-B557-9BEB132BEFC5}"/>
    <cellStyle name="Currency 19 2 2 2 2" xfId="15196" xr:uid="{F65C4640-FB1D-4E65-AE4A-B9406EFC6E1F}"/>
    <cellStyle name="Currency 19 2 2 3" xfId="6812" xr:uid="{B58D43F7-322C-4428-97A4-2877C9AEB814}"/>
    <cellStyle name="Currency 19 2 2 3 2" xfId="15591" xr:uid="{A3EF7B4B-DF13-4AA7-8BC9-8016DD24D529}"/>
    <cellStyle name="Currency 19 2 2 4" xfId="14940" xr:uid="{5D8BDCB2-24A0-43DF-8D23-B9679E760487}"/>
    <cellStyle name="Currency 19 2 3" xfId="3361" xr:uid="{726177E5-E989-4110-84D4-B9E965CB1F01}"/>
    <cellStyle name="Currency 19 2 3 2" xfId="15072" xr:uid="{85176CA5-6547-46D7-A402-88BD573429A0}"/>
    <cellStyle name="Currency 19 2 4" xfId="4528" xr:uid="{6DA87371-F9B5-4DA9-A64C-16822EBE16FC}"/>
    <cellStyle name="Currency 19 2 4 2" xfId="15330" xr:uid="{C77A2755-CAC7-4AA7-ACA3-4559AC04F1D3}"/>
    <cellStyle name="Currency 19 2 5" xfId="5463" xr:uid="{37D7796C-C599-4F30-BB60-68A3A0C26A13}"/>
    <cellStyle name="Currency 19 2 5 2" xfId="15447" xr:uid="{FBA94F10-7588-4E65-AF61-1112BFFAFBF5}"/>
    <cellStyle name="Currency 19 2 6" xfId="14816" xr:uid="{5DEF219E-9E1F-420C-9B20-F5F70386DEAB}"/>
    <cellStyle name="Currency 19 3" xfId="965" xr:uid="{2B135E2D-3256-41DB-8A18-9C710934963D}"/>
    <cellStyle name="Currency 19 3 2" xfId="3733" xr:uid="{B43ECD5D-637C-4D82-A7EA-5196A279C20D}"/>
    <cellStyle name="Currency 19 3 2 2" xfId="15146" xr:uid="{B786B67C-1DEF-4EFD-91EF-928828C8F7A3}"/>
    <cellStyle name="Currency 19 3 3" xfId="6704" xr:uid="{F5457FF4-5F47-43FA-8D24-656D0D6A7AAC}"/>
    <cellStyle name="Currency 19 3 3 2" xfId="15541" xr:uid="{5ED8052C-B57B-429D-BCE6-735E74F60EB2}"/>
    <cellStyle name="Currency 19 3 4" xfId="14890" xr:uid="{BAD606C3-58B0-44E0-81C2-7E3B9061E129}"/>
    <cellStyle name="Currency 19 4" xfId="3253" xr:uid="{48B5C513-A9E6-47C9-B0FC-CE349C788040}"/>
    <cellStyle name="Currency 19 4 2" xfId="15022" xr:uid="{DD5F2EE0-659F-4018-921F-62DE1638A925}"/>
    <cellStyle name="Currency 19 5" xfId="4411" xr:uid="{A15548EB-E68B-4644-9ED1-08F3DB55DD25}"/>
    <cellStyle name="Currency 19 5 2" xfId="15280" xr:uid="{CAA41972-2DCD-45D5-A0DC-3DE94C8B3D70}"/>
    <cellStyle name="Currency 19 6" xfId="5333" xr:uid="{9904B891-59D2-40E3-BFD9-4CBD07F4537F}"/>
    <cellStyle name="Currency 19 6 2" xfId="15397" xr:uid="{6B826B51-10BC-49B4-B3BD-B6F14E968760}"/>
    <cellStyle name="Currency 19 7" xfId="14766" xr:uid="{35FAADB1-2815-41B6-B07C-5CFF2CC3E0AE}"/>
    <cellStyle name="Currency 190" xfId="874" xr:uid="{19CF95D3-213D-4FDF-AD1C-84747747A3B3}"/>
    <cellStyle name="Currency 190 2" xfId="1368" xr:uid="{DA8A7A5E-4A39-4178-AC37-C9D7C2000269}"/>
    <cellStyle name="Currency 191" xfId="875" xr:uid="{ECF798C8-AC53-4F58-A032-1B4FEFE88ADC}"/>
    <cellStyle name="Currency 191 2" xfId="1369" xr:uid="{A135A3BB-FD62-4A20-9D38-9B4BD3ED4510}"/>
    <cellStyle name="Currency 192" xfId="877" xr:uid="{ADAECDD6-771D-4A1C-A08A-2F9B7F7CB4EB}"/>
    <cellStyle name="Currency 192 2" xfId="1371" xr:uid="{DB3DB29C-43A8-46D7-BA48-1C42E0FFBF26}"/>
    <cellStyle name="Currency 193" xfId="880" xr:uid="{A81A1C4A-137E-4E16-9C9D-423F73B7FC7E}"/>
    <cellStyle name="Currency 193 2" xfId="1374" xr:uid="{FA20E53B-5CE5-418D-89F1-2D4C4DB71A97}"/>
    <cellStyle name="Currency 194" xfId="881" xr:uid="{DC36D5C4-BD35-4989-9CF8-30B0523B0568}"/>
    <cellStyle name="Currency 194 2" xfId="1375" xr:uid="{5A2AA477-32EA-473E-8BC8-59D4A54C8EA7}"/>
    <cellStyle name="Currency 195" xfId="883" xr:uid="{F9296FDF-26D0-412F-884D-78778FFBE096}"/>
    <cellStyle name="Currency 195 2" xfId="1377" xr:uid="{96123806-A18C-4E76-A87A-18F980CB9E94}"/>
    <cellStyle name="Currency 196" xfId="885" xr:uid="{1C6C8091-0D3A-4BE4-ABFC-10DDE73B4F19}"/>
    <cellStyle name="Currency 196 2" xfId="1379" xr:uid="{CED66AB6-6567-4943-AA89-773D52BF9A79}"/>
    <cellStyle name="Currency 197" xfId="888" xr:uid="{B3A5A644-690F-4233-925A-E94A2EFF4E0C}"/>
    <cellStyle name="Currency 197 2" xfId="1382" xr:uid="{96537258-DA3B-43A1-870B-DA5D57DC8840}"/>
    <cellStyle name="Currency 198" xfId="889" xr:uid="{A4A20007-8C96-4718-9394-C9AE4E957E05}"/>
    <cellStyle name="Currency 198 2" xfId="1383" xr:uid="{DF1FA5D6-6475-4392-A545-DAFD383E376B}"/>
    <cellStyle name="Currency 199" xfId="892" xr:uid="{275F63BC-0BAD-43B9-AAFC-8E8309B14F41}"/>
    <cellStyle name="Currency 199 2" xfId="1386" xr:uid="{B6101F47-2EDA-4E61-89CD-D08BE43B0A0D}"/>
    <cellStyle name="Currency 2" xfId="433" xr:uid="{E7DA931F-1A10-4C41-9A3D-40A0EDA5EC80}"/>
    <cellStyle name="Currency 2 2" xfId="663" xr:uid="{B4F8502D-2FED-4452-A8E4-82BACDE60683}"/>
    <cellStyle name="Currency 2 2 2" xfId="1157" xr:uid="{543FB962-8528-4DBC-A322-5A0E901F5AB1}"/>
    <cellStyle name="Currency 2 2 2 2" xfId="8537" xr:uid="{D642D1BF-95E4-4380-8E1F-9CF728234CE6}"/>
    <cellStyle name="Currency 2 2 2 2 2" xfId="14615" xr:uid="{1DFBE5D3-7337-4A35-B3AF-61DCF2CFF9DD}"/>
    <cellStyle name="Currency 2 2 2 3" xfId="14257" xr:uid="{99AFA6F3-4191-4EE6-A254-0B180466E55B}"/>
    <cellStyle name="Currency 2 2 2 4" xfId="2323" xr:uid="{C32817CD-6F13-40AD-A1D9-B2AB1C33B399}"/>
    <cellStyle name="Currency 2 2 3" xfId="2594" xr:uid="{0140FC85-2A65-4A34-8782-E258D6CB0D43}"/>
    <cellStyle name="Currency 2 2 3 2" xfId="14381" xr:uid="{DAB0D2D3-017E-4EB1-AFB8-C5FB4782DF16}"/>
    <cellStyle name="Currency 2 2 4" xfId="8352" xr:uid="{438BE609-F513-4EE5-85BB-DFAA3AD7B09C}"/>
    <cellStyle name="Currency 2 2 4 2" xfId="14523" xr:uid="{7B8AAF2E-7F66-49C7-911B-DC1B24BF7393}"/>
    <cellStyle name="Currency 2 2 5" xfId="14165" xr:uid="{A79C71B3-899B-4297-8801-F53D735691CB}"/>
    <cellStyle name="Currency 2 2 6" xfId="2133" xr:uid="{3695FB7E-141D-4B36-AC7C-7E936141E526}"/>
    <cellStyle name="Currency 2 3" xfId="928" xr:uid="{4B4AEEF2-330F-4D44-ACBA-04A46009B97E}"/>
    <cellStyle name="Currency 2 3 2" xfId="8503" xr:uid="{DC0C9229-84E5-43BF-8FF4-7B8464E312D4}"/>
    <cellStyle name="Currency 2 3 2 2" xfId="14585" xr:uid="{D88A8920-C50A-4AB5-B08C-DD76C104C268}"/>
    <cellStyle name="Currency 2 3 3" xfId="14227" xr:uid="{08B66467-0617-4831-A819-65C0371CC33D}"/>
    <cellStyle name="Currency 2 3 4" xfId="2289" xr:uid="{42718F9E-2A72-4EEE-8896-AA56EF148AD4}"/>
    <cellStyle name="Currency 2 4" xfId="2564" xr:uid="{BF54313C-6718-48B6-A0FF-0B9F63A9D873}"/>
    <cellStyle name="Currency 2 4 2" xfId="14351" xr:uid="{93A2ABB2-B6AA-4566-A3B3-F18371B1A298}"/>
    <cellStyle name="Currency 2 5" xfId="8322" xr:uid="{3FF3935D-2681-41C5-9618-D9433FAFD34A}"/>
    <cellStyle name="Currency 2 5 2" xfId="14493" xr:uid="{6F20FA9A-A5CE-46CB-ADD9-C0318BFD4B69}"/>
    <cellStyle name="Currency 2 6" xfId="14135" xr:uid="{4572D30D-88F8-46A3-8B2B-D4A202FA6939}"/>
    <cellStyle name="Currency 2 7" xfId="2088" xr:uid="{E40437BC-F108-423F-996E-539BD06EE905}"/>
    <cellStyle name="Currency 20" xfId="472" xr:uid="{E3E872CE-5DF2-4D67-BCAD-02FC116B6496}"/>
    <cellStyle name="Currency 20 2" xfId="700" xr:uid="{912FA6B1-2F0B-4A50-9227-6891A56A8043}"/>
    <cellStyle name="Currency 20 2 2" xfId="1194" xr:uid="{A3001A79-E16C-4FBA-B839-BC2DD266E794}"/>
    <cellStyle name="Currency 20 2 2 2" xfId="3843" xr:uid="{5187F671-BD48-4408-8C25-C472E899C8E3}"/>
    <cellStyle name="Currency 20 2 2 2 2" xfId="15198" xr:uid="{C0D75A4F-CC9C-4DC7-86E2-2130BD0BEB1F}"/>
    <cellStyle name="Currency 20 2 2 3" xfId="6814" xr:uid="{7CA21C87-E8E2-41DE-9D0D-3348F2D5E8C6}"/>
    <cellStyle name="Currency 20 2 2 3 2" xfId="15593" xr:uid="{EDAD05B5-A915-43F1-BD1B-FAC3FFCF38A5}"/>
    <cellStyle name="Currency 20 2 2 4" xfId="14942" xr:uid="{31BB55B6-090E-476E-A4F1-BC0EB921CEDB}"/>
    <cellStyle name="Currency 20 2 3" xfId="3363" xr:uid="{3D0E9AE6-C809-4718-95DC-9559E28F2360}"/>
    <cellStyle name="Currency 20 2 3 2" xfId="15074" xr:uid="{E79DD5DA-CEF0-46B9-B833-2BCF89A9E9F8}"/>
    <cellStyle name="Currency 20 2 4" xfId="4530" xr:uid="{316B9C57-2C4D-4D76-84AC-1DD1D3A56E43}"/>
    <cellStyle name="Currency 20 2 4 2" xfId="15332" xr:uid="{3F18D7E7-02F5-44D7-B7C0-F2728742D0BF}"/>
    <cellStyle name="Currency 20 2 5" xfId="5465" xr:uid="{1EEF8CF2-E227-4618-B8A9-7E914209BD36}"/>
    <cellStyle name="Currency 20 2 5 2" xfId="15449" xr:uid="{AAE41B70-AF1C-4BAE-9519-5C21F931F712}"/>
    <cellStyle name="Currency 20 2 6" xfId="14818" xr:uid="{23A147F1-B506-4CDA-B969-BFA4ACEF1CC3}"/>
    <cellStyle name="Currency 20 3" xfId="967" xr:uid="{F8021F5D-6677-45FB-9760-1F48EDA28FB9}"/>
    <cellStyle name="Currency 20 3 2" xfId="3735" xr:uid="{A81A7765-D420-4619-B1E7-306E4B4CA1E5}"/>
    <cellStyle name="Currency 20 3 2 2" xfId="15148" xr:uid="{332D449C-AB36-4645-8092-1B1ED214B8E0}"/>
    <cellStyle name="Currency 20 3 3" xfId="6706" xr:uid="{BFA315BF-5960-4E7B-B9D3-157B1989A49F}"/>
    <cellStyle name="Currency 20 3 3 2" xfId="15543" xr:uid="{0056F937-1356-4B1B-9804-D8D8D0F8F322}"/>
    <cellStyle name="Currency 20 3 4" xfId="14892" xr:uid="{EDDEDBE4-34DE-4DD7-9B98-727E28091D2E}"/>
    <cellStyle name="Currency 20 4" xfId="3255" xr:uid="{E4E9A9F2-5155-4D1F-BFD9-568A649BC0C2}"/>
    <cellStyle name="Currency 20 4 2" xfId="15024" xr:uid="{635635FA-0E21-444D-8640-55F13615D22F}"/>
    <cellStyle name="Currency 20 5" xfId="4413" xr:uid="{EA78943A-A05F-4DFB-A5C6-1AD9634500AE}"/>
    <cellStyle name="Currency 20 5 2" xfId="15282" xr:uid="{5CF42161-AE1D-4CE9-AFD3-3DAE4640D1B6}"/>
    <cellStyle name="Currency 20 6" xfId="5335" xr:uid="{82109303-3540-4697-94BB-4E21E12E694B}"/>
    <cellStyle name="Currency 20 6 2" xfId="15399" xr:uid="{DE7B951C-5933-4EDE-AB14-A11A57E8F267}"/>
    <cellStyle name="Currency 20 7" xfId="14768" xr:uid="{0B8B6F9D-CFFC-418A-A94C-9FC5F489B16A}"/>
    <cellStyle name="Currency 200" xfId="896" xr:uid="{290EAFBD-65F6-4E09-8FC9-5884240A867F}"/>
    <cellStyle name="Currency 200 2" xfId="1390" xr:uid="{8D734F17-DA74-4028-A6F5-5586A1F3F102}"/>
    <cellStyle name="Currency 201" xfId="897" xr:uid="{BB7BB4F9-B369-4DA1-9B22-742ADDE43D72}"/>
    <cellStyle name="Currency 201 2" xfId="1391" xr:uid="{C9CE6B1C-5B16-4034-8161-990E5FD41CA7}"/>
    <cellStyle name="Currency 202" xfId="899" xr:uid="{49B5F84F-9CD9-4A45-99F4-C71CC3950006}"/>
    <cellStyle name="Currency 202 2" xfId="1393" xr:uid="{7F22957C-2E10-40D1-BA6B-8FED06DF5327}"/>
    <cellStyle name="Currency 203" xfId="901" xr:uid="{4CA938CA-3BC2-43AF-B7CB-9403E839F646}"/>
    <cellStyle name="Currency 203 2" xfId="1395" xr:uid="{AD2DC946-B88A-4909-AED4-B4C881D94A17}"/>
    <cellStyle name="Currency 204" xfId="903" xr:uid="{D248B8CB-0AFB-4787-BCFA-06C2424D186A}"/>
    <cellStyle name="Currency 204 2" xfId="1397" xr:uid="{6B68F1AF-80D6-4D5B-8192-9C1D8C5F5ADB}"/>
    <cellStyle name="Currency 205" xfId="905" xr:uid="{BA3C19ED-D2C6-4870-A80E-78D81FAFADDD}"/>
    <cellStyle name="Currency 205 2" xfId="1399" xr:uid="{A3C96A17-1C3F-4432-86C4-96026265ACF5}"/>
    <cellStyle name="Currency 206" xfId="907" xr:uid="{24FAFB81-27DA-44BA-9D2E-299FE8FFEE16}"/>
    <cellStyle name="Currency 206 2" xfId="1401" xr:uid="{7B8E888D-E004-475A-86EA-EE0FEAD09E3F}"/>
    <cellStyle name="Currency 207" xfId="909" xr:uid="{0101C5A1-E024-49F9-9F33-62C8018BB6B9}"/>
    <cellStyle name="Currency 207 2" xfId="1403" xr:uid="{7910F2BB-E6FA-4ECA-A7BF-9D389074E76B}"/>
    <cellStyle name="Currency 208" xfId="911" xr:uid="{87CC9C70-A61D-43D4-9592-52DAC758022D}"/>
    <cellStyle name="Currency 208 2" xfId="1405" xr:uid="{4895800D-0DAA-480C-97F2-D75F6825F84F}"/>
    <cellStyle name="Currency 209" xfId="914" xr:uid="{7F1977C6-7376-411F-AC5E-99E6AB4F5A4C}"/>
    <cellStyle name="Currency 209 2" xfId="1408" xr:uid="{EEDD69B1-FC7B-44D4-A1B6-6C8004D1BB30}"/>
    <cellStyle name="Currency 21" xfId="474" xr:uid="{9EF70B0A-3FBF-46C0-98DB-114AE774D7CF}"/>
    <cellStyle name="Currency 21 2" xfId="969" xr:uid="{3004A1E0-4AA0-4DB4-9577-BA8BBB4BB230}"/>
    <cellStyle name="Currency 21 2 2" xfId="8570" xr:uid="{965B9FF9-DE12-4CA0-B579-55DB87348B94}"/>
    <cellStyle name="Currency 21 2 2 2" xfId="14645" xr:uid="{677CE51F-8EEB-46C8-8491-4ED57A6CF56C}"/>
    <cellStyle name="Currency 21 2 3" xfId="14287" xr:uid="{49CA6113-A035-4CD3-B89A-D9C0B3D94495}"/>
    <cellStyle name="Currency 21 2 4" xfId="2356" xr:uid="{64ACC974-696E-400C-8475-F981945E16FD}"/>
    <cellStyle name="Currency 21 3" xfId="2624" xr:uid="{35072AF1-5783-43F1-A488-D15E38CA6E15}"/>
    <cellStyle name="Currency 21 3 2" xfId="14411" xr:uid="{1A7543F4-25CD-4C11-ABC9-399BA1A3D40B}"/>
    <cellStyle name="Currency 21 4" xfId="8382" xr:uid="{5480F7A8-BAE5-4FD4-8D1C-9B9F22D45E9E}"/>
    <cellStyle name="Currency 21 4 2" xfId="14553" xr:uid="{4BC862CD-96B2-4012-9D57-CA233D3E965A}"/>
    <cellStyle name="Currency 21 5" xfId="14195" xr:uid="{E14556C3-21E9-4680-BE4B-F946CCF6253E}"/>
    <cellStyle name="Currency 21 6" xfId="2167" xr:uid="{F3AEA3CD-79F2-454C-A579-33F1B93ED99E}"/>
    <cellStyle name="Currency 210" xfId="916" xr:uid="{5B8A926E-7BA9-488C-8844-0BED91192969}"/>
    <cellStyle name="Currency 210 2" xfId="1410" xr:uid="{42ECD2C3-961D-4C96-BF69-77916F9AC22D}"/>
    <cellStyle name="Currency 211" xfId="920" xr:uid="{33B47D6D-0F9D-44DD-A2A8-D1D7C3ECEDDD}"/>
    <cellStyle name="Currency 211 2" xfId="1414" xr:uid="{8DFF0D6D-7DFD-4C00-9E43-A5365012AA11}"/>
    <cellStyle name="Currency 212" xfId="924" xr:uid="{3E585F42-260B-4C5C-941F-A472EAAF3CEE}"/>
    <cellStyle name="Currency 213" xfId="923" xr:uid="{35194849-E278-4EB8-8E31-BA9C90C709F3}"/>
    <cellStyle name="Currency 214" xfId="1418" xr:uid="{517C864E-0727-4B72-A934-498E8B38E018}"/>
    <cellStyle name="Currency 215" xfId="1419" xr:uid="{88389D03-7455-4CFB-8C3D-93B1D1703BB6}"/>
    <cellStyle name="Currency 216" xfId="1423" xr:uid="{387BDEFB-0949-4CFC-BB44-66A69EAFCDBA}"/>
    <cellStyle name="Currency 217" xfId="1425" xr:uid="{E8661654-1980-4200-9126-2BDCB5A8CCEB}"/>
    <cellStyle name="Currency 218" xfId="1426" xr:uid="{4139F907-CA4B-4642-B60B-77A1773968B1}"/>
    <cellStyle name="Currency 219" xfId="1429" xr:uid="{2AB6D49C-F0CF-4573-A236-8BB38423F776}"/>
    <cellStyle name="Currency 22" xfId="476" xr:uid="{CF2496F3-7444-4362-B228-75B20DA61059}"/>
    <cellStyle name="Currency 22 2" xfId="971" xr:uid="{34740513-E61F-448A-A74D-04D50DC44F8E}"/>
    <cellStyle name="Currency 22 2 2" xfId="8574" xr:uid="{5DCC528A-4261-4B2D-868C-03B662A991E3}"/>
    <cellStyle name="Currency 22 2 2 2" xfId="14649" xr:uid="{B0C663BE-AA63-4AF7-9275-E0EE9739059E}"/>
    <cellStyle name="Currency 22 2 3" xfId="14291" xr:uid="{7A026C9D-A3D6-4D65-BE8D-ACEAA0D3CB56}"/>
    <cellStyle name="Currency 22 2 4" xfId="2360" xr:uid="{53E2F833-E316-4C74-85C5-D4D2FB4EDAC7}"/>
    <cellStyle name="Currency 22 3" xfId="2628" xr:uid="{7B501650-A6C0-4124-8992-D7097ED1DBBB}"/>
    <cellStyle name="Currency 22 3 2" xfId="14415" xr:uid="{860B42C6-4929-4735-A1AC-59977170095C}"/>
    <cellStyle name="Currency 22 4" xfId="8386" xr:uid="{B5897DC2-48DB-4445-B1E8-901BF30D8B17}"/>
    <cellStyle name="Currency 22 4 2" xfId="14557" xr:uid="{48770229-C68C-47BE-A6EB-86C214EC2A8D}"/>
    <cellStyle name="Currency 22 5" xfId="14199" xr:uid="{FCC7A708-6D21-473A-9661-52DEE9BEE373}"/>
    <cellStyle name="Currency 22 6" xfId="2171" xr:uid="{B8BCD7A2-523C-441C-B0B7-C5361980F0CD}"/>
    <cellStyle name="Currency 220" xfId="1433" xr:uid="{A191DB84-F8C8-4E1E-A7E6-1DE687274806}"/>
    <cellStyle name="Currency 23" xfId="478" xr:uid="{7D9932B9-675A-4D2C-8F72-0040FE3AD738}"/>
    <cellStyle name="Currency 23 2" xfId="973" xr:uid="{7A0CB125-F113-46E5-BD72-D6120E09797D}"/>
    <cellStyle name="Currency 23 2 2" xfId="8576" xr:uid="{E33A7304-FE32-4F1F-8921-4CFF3F07A509}"/>
    <cellStyle name="Currency 23 2 2 2" xfId="14651" xr:uid="{0C3C3008-944C-42F5-AAC6-779AF90D45C0}"/>
    <cellStyle name="Currency 23 2 3" xfId="14293" xr:uid="{6011A351-15D1-4182-8D3E-9B75FA3F0620}"/>
    <cellStyle name="Currency 23 2 4" xfId="2362" xr:uid="{2E889E80-8AD8-411B-A7C8-C2BC2F2FD398}"/>
    <cellStyle name="Currency 23 3" xfId="2630" xr:uid="{91B160E0-9155-418B-B341-694C556B5854}"/>
    <cellStyle name="Currency 23 3 2" xfId="14417" xr:uid="{4C0EAC0D-EB32-417C-8FB9-499BAA20050B}"/>
    <cellStyle name="Currency 23 4" xfId="8388" xr:uid="{C9A1E1DF-33D7-448E-8526-38756840E58E}"/>
    <cellStyle name="Currency 23 4 2" xfId="14559" xr:uid="{1A32D04B-DA77-497F-809E-26935F1127F1}"/>
    <cellStyle name="Currency 23 5" xfId="14201" xr:uid="{746A4B38-46DD-42A6-993C-47EA86B9A4D0}"/>
    <cellStyle name="Currency 23 6" xfId="2173" xr:uid="{0731D598-9D23-4BAB-8658-B4CE5058339F}"/>
    <cellStyle name="Currency 24" xfId="480" xr:uid="{E82D355C-AEF3-4BD3-A795-D0CDC8F5BBC4}"/>
    <cellStyle name="Currency 24 2" xfId="975" xr:uid="{0990D965-B5B1-41DF-BC2F-7E828E39DD39}"/>
    <cellStyle name="Currency 24 2 2" xfId="8580" xr:uid="{A4FBBF27-AACE-402F-93ED-7BB293435686}"/>
    <cellStyle name="Currency 24 2 2 2" xfId="14655" xr:uid="{4BD24614-47F0-4944-8C35-873CD4CDB542}"/>
    <cellStyle name="Currency 24 2 3" xfId="14297" xr:uid="{64F9B9C8-9DC9-44EA-9F97-1FC1CE440D6A}"/>
    <cellStyle name="Currency 24 2 4" xfId="2366" xr:uid="{66890FF2-2A2B-489F-883A-A9ED036562FE}"/>
    <cellStyle name="Currency 24 3" xfId="2634" xr:uid="{FB76DC14-0415-421D-BBF5-6809017FD18B}"/>
    <cellStyle name="Currency 24 3 2" xfId="14421" xr:uid="{7956B760-F335-4F0C-9ED4-56309DE4639B}"/>
    <cellStyle name="Currency 24 4" xfId="8392" xr:uid="{D08C70A8-15B2-4AC8-A837-768810C8CA79}"/>
    <cellStyle name="Currency 24 4 2" xfId="14563" xr:uid="{4FE8FC66-366F-4222-85BE-A2554938F43C}"/>
    <cellStyle name="Currency 24 5" xfId="14205" xr:uid="{3B985D5F-90E5-4747-9CCD-619A04A6F28A}"/>
    <cellStyle name="Currency 24 6" xfId="2177" xr:uid="{DDBC703E-F17C-44E4-B03B-119BF6332DEF}"/>
    <cellStyle name="Currency 25" xfId="482" xr:uid="{2FB94032-C23F-4874-BAC3-4F7A2A8D2FDC}"/>
    <cellStyle name="Currency 25 2" xfId="977" xr:uid="{9E323B8F-2DB7-4C7E-98DE-6AB0D8B9430B}"/>
    <cellStyle name="Currency 25 2 2" xfId="8582" xr:uid="{C2D1FB70-9B98-46BE-8BA9-6650FDDAD995}"/>
    <cellStyle name="Currency 25 2 2 2" xfId="14657" xr:uid="{7745665D-740E-4161-8941-E9CFC6832C56}"/>
    <cellStyle name="Currency 25 2 3" xfId="14299" xr:uid="{7371F645-B358-4891-A3CF-AF89AD956444}"/>
    <cellStyle name="Currency 25 2 4" xfId="2368" xr:uid="{31B52052-11E4-40AC-A5A6-7F32EAEF321F}"/>
    <cellStyle name="Currency 25 3" xfId="2636" xr:uid="{17473CE8-DD2E-4338-A821-4A0251A91FC6}"/>
    <cellStyle name="Currency 25 3 2" xfId="14423" xr:uid="{70BB548F-96DB-41EC-B8A5-8708B2E8E9FB}"/>
    <cellStyle name="Currency 25 4" xfId="8394" xr:uid="{8EC4BDC9-8051-400A-BBF8-62CF13BB8090}"/>
    <cellStyle name="Currency 25 4 2" xfId="14565" xr:uid="{ABBF5AE4-E054-4BB1-BB43-A2800DA930C3}"/>
    <cellStyle name="Currency 25 5" xfId="14207" xr:uid="{92DDB6C1-294A-43BE-9B37-5D96E858D622}"/>
    <cellStyle name="Currency 25 6" xfId="2179" xr:uid="{BDA5423C-EAB4-4316-A1FD-4AF03578C565}"/>
    <cellStyle name="Currency 26" xfId="484" xr:uid="{D94C23D1-B0B3-4D4D-A654-14F2169F3A1B}"/>
    <cellStyle name="Currency 26 2" xfId="979" xr:uid="{3FD60CF0-B876-485D-B0F8-3AD064B95B32}"/>
    <cellStyle name="Currency 26 2 2" xfId="8584" xr:uid="{4375E47C-FDD4-4344-84A3-21CA56D9A1B8}"/>
    <cellStyle name="Currency 26 2 2 2" xfId="14659" xr:uid="{6742B668-A803-44C2-AA09-44A66EC8D3C9}"/>
    <cellStyle name="Currency 26 2 3" xfId="14301" xr:uid="{79B0F3C9-C0CB-4C8A-BF20-7F66552A19ED}"/>
    <cellStyle name="Currency 26 2 4" xfId="2370" xr:uid="{0BFD3F26-3EB9-4AFC-87C2-471FD931A560}"/>
    <cellStyle name="Currency 26 3" xfId="2638" xr:uid="{3DBB26E2-3949-4E6E-A0B0-7410B6CB5044}"/>
    <cellStyle name="Currency 26 3 2" xfId="14425" xr:uid="{4885BBA0-F414-4C6F-96C4-7CC8D8D7F841}"/>
    <cellStyle name="Currency 26 4" xfId="8396" xr:uid="{7F4E4677-52D8-4140-B002-C740BECF2798}"/>
    <cellStyle name="Currency 26 4 2" xfId="14567" xr:uid="{A0BD2264-FEB6-46E8-BBC4-BE0EC91F2264}"/>
    <cellStyle name="Currency 26 5" xfId="14209" xr:uid="{3270BA2D-C697-442C-8F28-BB65AC9B9C19}"/>
    <cellStyle name="Currency 26 6" xfId="2181" xr:uid="{6B524A77-91B0-43A0-9B54-7FABA32FFBE3}"/>
    <cellStyle name="Currency 27" xfId="486" xr:uid="{ACE0679E-E3D8-4536-A9FD-9EB25011D9F4}"/>
    <cellStyle name="Currency 27 2" xfId="981" xr:uid="{A2D1A639-BDB1-4D66-BAFE-013C21BDF3DF}"/>
    <cellStyle name="Currency 27 2 2" xfId="8585" xr:uid="{088E2000-9E4D-407F-9085-138145A417DC}"/>
    <cellStyle name="Currency 27 2 2 2" xfId="14660" xr:uid="{7C4FB150-8805-4D2B-B3B0-C5C53899AD41}"/>
    <cellStyle name="Currency 27 2 3" xfId="14302" xr:uid="{FE2C7769-CD51-4EAE-90A9-2D6C65956FE6}"/>
    <cellStyle name="Currency 27 2 4" xfId="2371" xr:uid="{872039FE-EE59-4BD7-B339-993649422F0D}"/>
    <cellStyle name="Currency 27 3" xfId="2639" xr:uid="{668D7BF6-08EA-414A-AD47-58262D9F3B13}"/>
    <cellStyle name="Currency 27 3 2" xfId="14426" xr:uid="{BFA7A6F6-9551-4482-8752-E702A011A88D}"/>
    <cellStyle name="Currency 27 4" xfId="8397" xr:uid="{4E6A5FC8-4A8B-4594-8E8F-DA4CF358DBF4}"/>
    <cellStyle name="Currency 27 4 2" xfId="14568" xr:uid="{9C2BAE06-E130-41BA-BE9E-44EACA71477C}"/>
    <cellStyle name="Currency 27 5" xfId="14210" xr:uid="{47174E9E-97CF-4D98-9D7F-26F5C396E56C}"/>
    <cellStyle name="Currency 27 6" xfId="2182" xr:uid="{AD7808A6-AFA5-477A-98C7-F5C9345580A5}"/>
    <cellStyle name="Currency 28" xfId="488" xr:uid="{25EBFF37-0500-4014-8C25-6F39BE0EFD46}"/>
    <cellStyle name="Currency 28 2" xfId="983" xr:uid="{444265DD-5806-48B8-8F2C-CEB0EFCBF3DE}"/>
    <cellStyle name="Currency 28 2 2" xfId="8587" xr:uid="{50301AC8-A9F2-4898-9AC7-96E8A45F40C6}"/>
    <cellStyle name="Currency 28 2 2 2" xfId="14662" xr:uid="{BA282B10-4B68-480A-AFFA-AC1004DEA8F3}"/>
    <cellStyle name="Currency 28 2 3" xfId="14304" xr:uid="{3CDDE894-C2CB-4691-A112-8AD48B5B4199}"/>
    <cellStyle name="Currency 28 2 4" xfId="2373" xr:uid="{105BD78D-AB73-4580-83F6-985B0806E626}"/>
    <cellStyle name="Currency 28 3" xfId="2641" xr:uid="{85F9A531-0C29-465F-A79C-4E2D74F34106}"/>
    <cellStyle name="Currency 28 3 2" xfId="14428" xr:uid="{E16C1CD4-A343-44CA-9C7D-BD945D8E200D}"/>
    <cellStyle name="Currency 28 4" xfId="8399" xr:uid="{EF7E278C-7F9B-47FA-9644-FA1A1225D172}"/>
    <cellStyle name="Currency 28 4 2" xfId="14570" xr:uid="{C856D9CB-7C76-455B-844E-9090A1CCFD86}"/>
    <cellStyle name="Currency 28 5" xfId="14212" xr:uid="{7A88F771-D6F7-433B-BC30-6F2DFCE591A4}"/>
    <cellStyle name="Currency 28 6" xfId="2184" xr:uid="{9E6C4679-25CB-4F4A-B65B-BFF76B8E49B4}"/>
    <cellStyle name="Currency 29" xfId="490" xr:uid="{16728682-BF20-4CDD-AD2B-DC2AE73E685A}"/>
    <cellStyle name="Currency 29 2" xfId="985" xr:uid="{09602140-0695-4F31-9363-B3FB0E2AEE6E}"/>
    <cellStyle name="Currency 29 2 2" xfId="8590" xr:uid="{E91138D5-4826-401D-987F-2D3E6D2AE3A4}"/>
    <cellStyle name="Currency 29 2 2 2" xfId="14665" xr:uid="{48A4AB65-7C7F-467F-91DD-54E4E16A72EA}"/>
    <cellStyle name="Currency 29 2 3" xfId="14307" xr:uid="{A04AE48C-9F26-4093-B14A-57DC0D445AEB}"/>
    <cellStyle name="Currency 29 2 4" xfId="2376" xr:uid="{2706B645-C6B9-4A74-A9F3-D980F00FCB23}"/>
    <cellStyle name="Currency 29 3" xfId="2644" xr:uid="{9F2DFA43-BFF1-4DAE-9638-0EDDC97AB3B9}"/>
    <cellStyle name="Currency 29 3 2" xfId="14431" xr:uid="{890143BD-5B10-4A13-9635-C344DD40FD11}"/>
    <cellStyle name="Currency 29 4" xfId="8402" xr:uid="{CF9BC1FC-FA44-4064-B955-877145AECA4C}"/>
    <cellStyle name="Currency 29 4 2" xfId="14573" xr:uid="{774B2F8F-34AD-459F-AEE9-9D7926CBE35C}"/>
    <cellStyle name="Currency 29 5" xfId="14215" xr:uid="{838AA388-5450-493F-87D7-7BF6B55125A5}"/>
    <cellStyle name="Currency 29 6" xfId="2187" xr:uid="{A6067E0A-C5AE-4FC9-A43A-D9B1C89144C6}"/>
    <cellStyle name="Currency 3" xfId="436" xr:uid="{FE3DB9FD-6FF3-4936-8B61-896CE28886A6}"/>
    <cellStyle name="Currency 3 2" xfId="667" xr:uid="{B2EEBF57-9D07-4630-86E9-E5CB3F4820A0}"/>
    <cellStyle name="Currency 3 2 2" xfId="1161" xr:uid="{A01A9ED6-5757-46C7-B2E7-FE1ED3EB94C2}"/>
    <cellStyle name="Currency 3 2 2 2" xfId="8541" xr:uid="{FF5BAC58-4FA3-4DCA-ACC2-2FD1A70E128B}"/>
    <cellStyle name="Currency 3 2 2 2 2" xfId="14619" xr:uid="{60B5A555-563B-48E6-B99E-F2B50EA83169}"/>
    <cellStyle name="Currency 3 2 2 3" xfId="14261" xr:uid="{CAE8794B-6BA0-4B3A-AAE2-D3521265D1A2}"/>
    <cellStyle name="Currency 3 2 2 4" xfId="2327" xr:uid="{C25499DE-F990-4866-839C-5797906D9AD0}"/>
    <cellStyle name="Currency 3 2 3" xfId="2598" xr:uid="{B956F6F8-82CC-403A-B990-FAB093A25787}"/>
    <cellStyle name="Currency 3 2 3 2" xfId="14385" xr:uid="{FEC7554A-51B1-4831-A361-70053310823B}"/>
    <cellStyle name="Currency 3 2 4" xfId="8356" xr:uid="{9BB929FC-2B60-4FCF-A18B-E332E9BEB0D7}"/>
    <cellStyle name="Currency 3 2 4 2" xfId="14527" xr:uid="{65F960A6-206E-4E26-B507-3C8FD6499029}"/>
    <cellStyle name="Currency 3 2 5" xfId="14169" xr:uid="{60BF2241-B293-481B-A45E-2D48E6DE652B}"/>
    <cellStyle name="Currency 3 2 6" xfId="2137" xr:uid="{4FAAA389-79D6-4EBD-A228-B9D597914FAF}"/>
    <cellStyle name="Currency 3 3" xfId="932" xr:uid="{C57AFDE3-AE16-41E6-8EF9-FC99A6DE2113}"/>
    <cellStyle name="Currency 3 3 2" xfId="8507" xr:uid="{7F173C6F-2D2B-4EA2-940D-5C498C416338}"/>
    <cellStyle name="Currency 3 3 2 2" xfId="14589" xr:uid="{A36A03C5-064B-497A-8F7E-CC49A7D5E192}"/>
    <cellStyle name="Currency 3 3 3" xfId="14231" xr:uid="{E38916AB-BA37-4AAD-83D4-4C0C91427AD5}"/>
    <cellStyle name="Currency 3 3 4" xfId="2293" xr:uid="{A270AE95-FD36-406E-A2D6-37966CEC197D}"/>
    <cellStyle name="Currency 3 4" xfId="2568" xr:uid="{FA149ED9-17EC-45E5-8526-FAC42AF37F7A}"/>
    <cellStyle name="Currency 3 4 2" xfId="14355" xr:uid="{39C67A9F-69B3-4E73-BD6E-B200B94CB0C6}"/>
    <cellStyle name="Currency 3 5" xfId="8326" xr:uid="{C9BDBADB-74A4-473D-AC4D-984E08AC0431}"/>
    <cellStyle name="Currency 3 5 2" xfId="14497" xr:uid="{C617E13E-1EFE-43F8-A8EF-A55C04297244}"/>
    <cellStyle name="Currency 3 6" xfId="14139" xr:uid="{7825BB3D-EF65-4DB9-9AB7-2FBDE4BAAF29}"/>
    <cellStyle name="Currency 3 7" xfId="2092" xr:uid="{8202DA79-91D6-4ECF-98D6-1E0A2DED2C9C}"/>
    <cellStyle name="Currency 30" xfId="492" xr:uid="{DC22BCA9-804F-4282-8979-17F51CBBB7A8}"/>
    <cellStyle name="Currency 30 2" xfId="987" xr:uid="{EB6A884E-521D-493D-8C2A-95B875842D36}"/>
    <cellStyle name="Currency 30 2 2" xfId="8592" xr:uid="{A4FE2148-C33C-49A6-B1F5-BA2C861D4B49}"/>
    <cellStyle name="Currency 30 2 2 2" xfId="14667" xr:uid="{35DD097D-4373-4D54-8E5E-614D46D2E953}"/>
    <cellStyle name="Currency 30 2 3" xfId="14309" xr:uid="{53D3CAA3-2EB6-45EA-B990-333C8F950C06}"/>
    <cellStyle name="Currency 30 2 4" xfId="2378" xr:uid="{112EE266-E442-42D7-A1AF-DB7CDC860049}"/>
    <cellStyle name="Currency 30 3" xfId="2646" xr:uid="{5AD12E48-4BF2-4DB1-A98A-7720C34A410F}"/>
    <cellStyle name="Currency 30 3 2" xfId="14433" xr:uid="{52D083A0-856F-4536-AD3F-6D98AAE64BBB}"/>
    <cellStyle name="Currency 30 4" xfId="8404" xr:uid="{B3ECEB6F-5250-48F6-A135-B66587D0A807}"/>
    <cellStyle name="Currency 30 4 2" xfId="14575" xr:uid="{F0536B0D-2AC2-49D3-977C-DE9F6277695C}"/>
    <cellStyle name="Currency 30 5" xfId="14217" xr:uid="{58FD039C-8D4B-4C0D-9C57-69F3A1E875A6}"/>
    <cellStyle name="Currency 30 6" xfId="2189" xr:uid="{B939D23E-5E59-40ED-9211-62DE43755F7C}"/>
    <cellStyle name="Currency 31" xfId="494" xr:uid="{5385E106-20E0-4833-AF3C-03E5F0223A87}"/>
    <cellStyle name="Currency 31 2" xfId="989" xr:uid="{2483FAF6-992D-40A9-A2D4-2EEBCBF628AF}"/>
    <cellStyle name="Currency 31 2 2" xfId="8593" xr:uid="{B2F59A3E-7053-4E7C-9D39-9DD61426E626}"/>
    <cellStyle name="Currency 31 2 2 2" xfId="14668" xr:uid="{652AB069-EC91-4128-AAF2-F725E3548972}"/>
    <cellStyle name="Currency 31 2 3" xfId="14310" xr:uid="{720EC94E-59D4-4FBE-AF35-CE6809AEF708}"/>
    <cellStyle name="Currency 31 2 4" xfId="2379" xr:uid="{7208DA3A-0419-4DBE-9BD4-21110C2A5930}"/>
    <cellStyle name="Currency 31 3" xfId="2647" xr:uid="{9C8144E6-8392-47E8-B629-D72A20B5C375}"/>
    <cellStyle name="Currency 31 3 2" xfId="14434" xr:uid="{60CC3EC2-07F8-4113-9F00-5D983C6BA17D}"/>
    <cellStyle name="Currency 31 4" xfId="8405" xr:uid="{2EB5BD41-C1F8-4E8D-B353-EC77A1940F39}"/>
    <cellStyle name="Currency 31 4 2" xfId="14576" xr:uid="{86AAD52B-AD10-4987-B1A5-97DD69A858E5}"/>
    <cellStyle name="Currency 31 5" xfId="14218" xr:uid="{3FD6B2BC-5530-4A26-BC08-BA629265730B}"/>
    <cellStyle name="Currency 31 6" xfId="2190" xr:uid="{88FDA634-08BE-48D7-B517-1FE1C9400EDD}"/>
    <cellStyle name="Currency 32" xfId="496" xr:uid="{73B1CEDC-2C9C-42BC-B08C-260D607A20A5}"/>
    <cellStyle name="Currency 32 2" xfId="991" xr:uid="{F64D5FAB-C750-4C3D-B3FC-CD9160C4CADF}"/>
    <cellStyle name="Currency 32 2 2" xfId="8595" xr:uid="{4653CF40-2B2C-4864-B7E1-55A19B1861BD}"/>
    <cellStyle name="Currency 32 2 2 2" xfId="14670" xr:uid="{2183B991-17F6-45B5-8EC8-1170C2122DD3}"/>
    <cellStyle name="Currency 32 2 3" xfId="14312" xr:uid="{829F4712-47E8-49C5-9407-51DA0F024644}"/>
    <cellStyle name="Currency 32 2 4" xfId="2381" xr:uid="{1861C896-AFB6-4B57-B2A8-7792CFBB282E}"/>
    <cellStyle name="Currency 32 3" xfId="2649" xr:uid="{464B0467-2F13-41C8-A194-0E7AEA33B189}"/>
    <cellStyle name="Currency 32 3 2" xfId="14436" xr:uid="{A32C02B2-875F-485A-BDA8-681413B2D810}"/>
    <cellStyle name="Currency 32 4" xfId="8407" xr:uid="{B649DC78-1FEF-4098-8680-F42F2FA5801C}"/>
    <cellStyle name="Currency 32 4 2" xfId="14578" xr:uid="{EE6E5FF5-4681-479F-A2CA-59ADC24C321E}"/>
    <cellStyle name="Currency 32 5" xfId="14220" xr:uid="{0B3E45C4-A15F-44B8-8A8B-DAD83D675D30}"/>
    <cellStyle name="Currency 32 6" xfId="2192" xr:uid="{0E71C26A-233E-4849-B5D0-15198AF6B94C}"/>
    <cellStyle name="Currency 33" xfId="498" xr:uid="{C7A0F6AB-379A-4850-8CF8-97D38FA773A8}"/>
    <cellStyle name="Currency 33 2" xfId="993" xr:uid="{586C58B5-D8B4-46B0-9B1C-0E9C5CF49464}"/>
    <cellStyle name="Currency 33 2 2" xfId="8597" xr:uid="{2C7E3B17-7C19-4FC9-86AA-C5B33776BD9C}"/>
    <cellStyle name="Currency 33 2 2 2" xfId="14672" xr:uid="{27FA1877-D325-4E01-B5AD-D87B47ED25F6}"/>
    <cellStyle name="Currency 33 2 3" xfId="14314" xr:uid="{84A66A05-48A6-429A-8687-AB0FB9AE6D28}"/>
    <cellStyle name="Currency 33 2 4" xfId="2383" xr:uid="{4E322677-E1F2-4B57-8972-AED938E2A06A}"/>
    <cellStyle name="Currency 33 3" xfId="2651" xr:uid="{CA636434-D5A3-427B-B8C5-66F0A2BC2A96}"/>
    <cellStyle name="Currency 33 3 2" xfId="14438" xr:uid="{ABAC3735-2DFB-48F6-AC29-759D42A5E02A}"/>
    <cellStyle name="Currency 33 4" xfId="8409" xr:uid="{C51E4EF3-8800-43A4-81A1-FF0E704BAC2B}"/>
    <cellStyle name="Currency 33 4 2" xfId="14580" xr:uid="{234C1F31-5F7A-4234-8E4A-C13CB1587F8C}"/>
    <cellStyle name="Currency 33 5" xfId="14222" xr:uid="{7E8DE65F-A9A3-491A-A875-2E5FB45D0C25}"/>
    <cellStyle name="Currency 33 6" xfId="2194" xr:uid="{1F7DCC9A-EFAB-4339-A995-A99745D35408}"/>
    <cellStyle name="Currency 34" xfId="500" xr:uid="{E7313177-2DE2-4154-B055-74969C20DB8B}"/>
    <cellStyle name="Currency 34 2" xfId="995" xr:uid="{75E78D0B-9346-4396-BA78-F0FFBB798A41}"/>
    <cellStyle name="Currency 34 2 2" xfId="8600" xr:uid="{65DFA67F-0380-4AAC-9801-23D9ED91749E}"/>
    <cellStyle name="Currency 34 2 2 2" xfId="14675" xr:uid="{633E12EC-8EF4-4393-B13E-7C8FF9E8D962}"/>
    <cellStyle name="Currency 34 2 3" xfId="14317" xr:uid="{8B9B944C-3CC7-4EE4-AAD1-E602A74BCBD5}"/>
    <cellStyle name="Currency 34 2 4" xfId="2386" xr:uid="{F9BAEE59-C0EF-4653-B2D3-D96007A79D76}"/>
    <cellStyle name="Currency 34 3" xfId="2654" xr:uid="{22FF6AED-6B0A-4F87-830E-5A44CE402468}"/>
    <cellStyle name="Currency 34 3 2" xfId="14441" xr:uid="{4228C84A-F59B-40CF-93A2-A7965A3D4963}"/>
    <cellStyle name="Currency 34 4" xfId="8412" xr:uid="{67B29EA2-EB87-4B07-87C2-6937C997FBE0}"/>
    <cellStyle name="Currency 34 4 2" xfId="14583" xr:uid="{88EBA865-C75E-4099-A410-0E07717F9B95}"/>
    <cellStyle name="Currency 34 5" xfId="14225" xr:uid="{1668D46C-1ED4-4184-A576-07EF220D11CA}"/>
    <cellStyle name="Currency 34 6" xfId="2197" xr:uid="{0AB9DC90-66F5-4C79-A017-0BB249A7C765}"/>
    <cellStyle name="Currency 35" xfId="502" xr:uid="{EEA0B7F9-5137-4BBA-A7B4-B0BA486BAEB1}"/>
    <cellStyle name="Currency 35 2" xfId="997" xr:uid="{61947E8D-D336-48F2-B4D3-189D230A89D0}"/>
    <cellStyle name="Currency 35 2 2" xfId="2910" xr:uid="{AB4A1771-6AF6-403C-A26C-9E127DA09B5E}"/>
    <cellStyle name="Currency 35 2 2 2" xfId="3850" xr:uid="{4C8D613C-D577-43DA-801E-D6ABE864DD59}"/>
    <cellStyle name="Currency 35 2 2 2 2" xfId="15203" xr:uid="{86B9B631-EC3F-42BB-886C-7DFAA9647A1F}"/>
    <cellStyle name="Currency 35 2 2 3" xfId="6821" xr:uid="{995C25E8-9D70-4F99-8174-60741FA523F2}"/>
    <cellStyle name="Currency 35 2 2 3 2" xfId="15598" xr:uid="{E5186B76-51A7-4658-B5D0-6E5E6C3953BE}"/>
    <cellStyle name="Currency 35 2 2 4" xfId="14947" xr:uid="{BAAF89D5-BE98-4333-98B0-B9ABA800727D}"/>
    <cellStyle name="Currency 35 2 3" xfId="3370" xr:uid="{FDCFB03F-F741-4288-91C4-ED1DFA29FDAA}"/>
    <cellStyle name="Currency 35 2 3 2" xfId="15079" xr:uid="{9FDEA9BE-AAAE-44B6-91D9-EBECC35686DA}"/>
    <cellStyle name="Currency 35 2 4" xfId="4537" xr:uid="{A493E523-4AA2-4B2F-BEB7-57DE0C9B22CC}"/>
    <cellStyle name="Currency 35 2 4 2" xfId="15337" xr:uid="{AE439F2D-C6E3-40D2-AEAF-863D5494558A}"/>
    <cellStyle name="Currency 35 2 5" xfId="5472" xr:uid="{F9B91AB4-6FCB-4BF8-B70B-E5B4313DA66B}"/>
    <cellStyle name="Currency 35 2 5 2" xfId="15454" xr:uid="{331FF2D8-84E0-48C6-A8D0-90F999D9B9DB}"/>
    <cellStyle name="Currency 35 2 6" xfId="14823" xr:uid="{38495C6D-841F-47D0-B261-F58C49291595}"/>
    <cellStyle name="Currency 35 3" xfId="2818" xr:uid="{AD09FF04-0EC7-4520-8325-6195B6714BB6}"/>
    <cellStyle name="Currency 35 3 2" xfId="3738" xr:uid="{B1818629-C531-4E60-B2CC-188AFEFA1D2A}"/>
    <cellStyle name="Currency 35 3 2 2" xfId="15151" xr:uid="{26F1CF80-0C0A-4409-BA6F-D23B97CDA96F}"/>
    <cellStyle name="Currency 35 3 3" xfId="6709" xr:uid="{299DA91F-591E-49F7-A891-4080105F5486}"/>
    <cellStyle name="Currency 35 3 3 2" xfId="15546" xr:uid="{3C6D61E2-D095-4256-AEAB-5F34CCDCC0BF}"/>
    <cellStyle name="Currency 35 3 4" xfId="14895" xr:uid="{A89A62C4-3C8E-438B-903D-80B067D22DBE}"/>
    <cellStyle name="Currency 35 4" xfId="3258" xr:uid="{F97B74D4-8CF5-400A-B810-A8D3F5D7D280}"/>
    <cellStyle name="Currency 35 4 2" xfId="15027" xr:uid="{307D753B-536D-4751-AB58-E947358F2A89}"/>
    <cellStyle name="Currency 35 5" xfId="4425" xr:uid="{014008F6-1728-4865-B945-F1401A982643}"/>
    <cellStyle name="Currency 35 5 2" xfId="15285" xr:uid="{62155D7A-87D4-420A-B3F8-3CFBB209F8AB}"/>
    <cellStyle name="Currency 35 6" xfId="5360" xr:uid="{27FAC038-F2C9-422D-B7E0-71F37B1E56D7}"/>
    <cellStyle name="Currency 35 6 2" xfId="15402" xr:uid="{F0CEC3F5-703E-4275-9EC8-8C2AAEF3A890}"/>
    <cellStyle name="Currency 35 7" xfId="14771" xr:uid="{42E8AA47-33C3-4B09-988A-01B52090E17B}"/>
    <cellStyle name="Currency 36" xfId="504" xr:uid="{6C0A6960-1701-4618-B6FE-5BDBD0DED6AF}"/>
    <cellStyle name="Currency 36 2" xfId="999" xr:uid="{D5D0D929-5A86-4DE0-BFB3-7B94D8519CC5}"/>
    <cellStyle name="Currency 36 2 2" xfId="2914" xr:uid="{5C9D1F08-0BF9-4FF2-BA41-298599FBECD8}"/>
    <cellStyle name="Currency 36 2 2 2" xfId="3854" xr:uid="{73BEC4C9-3807-472B-BFEC-B8BB0D5FED7E}"/>
    <cellStyle name="Currency 36 2 2 2 2" xfId="15207" xr:uid="{785E3ADC-9709-4B2C-856E-4F626441EED2}"/>
    <cellStyle name="Currency 36 2 2 3" xfId="6825" xr:uid="{61F471C9-C487-4CE9-BF92-65BF24892545}"/>
    <cellStyle name="Currency 36 2 2 3 2" xfId="15602" xr:uid="{E41E037D-3E2B-46EC-ACF7-651941595692}"/>
    <cellStyle name="Currency 36 2 2 4" xfId="14951" xr:uid="{2D54C3F7-5718-45A1-BDB6-16988674878F}"/>
    <cellStyle name="Currency 36 2 3" xfId="3374" xr:uid="{2DEB206F-0396-406F-9A15-A46EE07BB8E4}"/>
    <cellStyle name="Currency 36 2 3 2" xfId="15083" xr:uid="{9C68F5CD-AA82-48D0-8BC1-92B97A1C7DAE}"/>
    <cellStyle name="Currency 36 2 4" xfId="4541" xr:uid="{EC3737EB-6659-4779-8925-E9AEADFC4208}"/>
    <cellStyle name="Currency 36 2 4 2" xfId="15341" xr:uid="{71756651-FA0D-4B41-A8D6-9BDA261DC566}"/>
    <cellStyle name="Currency 36 2 5" xfId="5476" xr:uid="{A5C5D7C6-4F60-42C4-A498-D29F43B3FBDD}"/>
    <cellStyle name="Currency 36 2 5 2" xfId="15458" xr:uid="{D8C4C49B-72CF-4CE5-AFD8-6A4E550F5CCF}"/>
    <cellStyle name="Currency 36 2 6" xfId="14827" xr:uid="{131B2E1A-D62C-45DE-B219-13D95D34CC88}"/>
    <cellStyle name="Currency 36 3" xfId="2822" xr:uid="{EA31135A-F38E-4FD8-91FA-ABFB6C3CAC04}"/>
    <cellStyle name="Currency 36 3 2" xfId="3742" xr:uid="{48E95631-D71E-4341-AB34-C4836A706A71}"/>
    <cellStyle name="Currency 36 3 2 2" xfId="15155" xr:uid="{AE6BB441-21B7-476A-B1CE-25421F09811C}"/>
    <cellStyle name="Currency 36 3 3" xfId="6713" xr:uid="{3F3C5885-8188-4B04-8F3B-E87954785CE1}"/>
    <cellStyle name="Currency 36 3 3 2" xfId="15550" xr:uid="{D2A4089E-A848-43AD-AB3C-81E6A3B2F6FD}"/>
    <cellStyle name="Currency 36 3 4" xfId="14899" xr:uid="{B2F1418C-831C-4C2E-A8A3-9E6BD9B2B720}"/>
    <cellStyle name="Currency 36 4" xfId="3262" xr:uid="{C3E10B6F-30D1-43DF-8EE6-67009857F8A8}"/>
    <cellStyle name="Currency 36 4 2" xfId="15031" xr:uid="{EDB4C220-CE4F-4407-BDB9-23D363A6EA10}"/>
    <cellStyle name="Currency 36 5" xfId="4429" xr:uid="{31660938-1A1A-4539-8BFC-F37D83A8F822}"/>
    <cellStyle name="Currency 36 5 2" xfId="15289" xr:uid="{4268B0FC-817B-46FF-9699-0DCCC4B1A700}"/>
    <cellStyle name="Currency 36 6" xfId="5364" xr:uid="{A3342B1D-A93F-48B7-9717-407784C5F71A}"/>
    <cellStyle name="Currency 36 6 2" xfId="15406" xr:uid="{050BEDEB-09A2-4402-8AC6-D9A09E9D2F88}"/>
    <cellStyle name="Currency 36 7" xfId="14775" xr:uid="{F3859670-CFEE-462C-A233-C39B8BB009EE}"/>
    <cellStyle name="Currency 37" xfId="507" xr:uid="{718F9553-9926-4742-B1EE-3A8461E6E693}"/>
    <cellStyle name="Currency 37 2" xfId="1002" xr:uid="{B96603D8-3BAD-40DF-B6D4-25A61891CB3A}"/>
    <cellStyle name="Currency 37 2 2" xfId="2915" xr:uid="{71F82BDB-B3D3-47F7-BF38-C26824F1B0D1}"/>
    <cellStyle name="Currency 37 2 2 2" xfId="3855" xr:uid="{3154DAA9-9FF4-4F8E-85E0-83F58FB4EDE0}"/>
    <cellStyle name="Currency 37 2 2 2 2" xfId="15208" xr:uid="{23F96930-D402-462B-8AB5-58279796C89D}"/>
    <cellStyle name="Currency 37 2 2 3" xfId="6826" xr:uid="{683DE5F1-6E3B-4394-9860-BD756EE8B7E9}"/>
    <cellStyle name="Currency 37 2 2 3 2" xfId="15603" xr:uid="{D3F0E5FA-7B99-4BA4-91A7-8EF094D2DBAA}"/>
    <cellStyle name="Currency 37 2 2 4" xfId="14952" xr:uid="{4A405B67-029E-49A9-B335-8ABC9ED36B7D}"/>
    <cellStyle name="Currency 37 2 3" xfId="3375" xr:uid="{9F9521CD-DA57-49B6-A346-DB0FA238A664}"/>
    <cellStyle name="Currency 37 2 3 2" xfId="15084" xr:uid="{45F17863-F597-4AD3-8D52-65A8A3CEDCEC}"/>
    <cellStyle name="Currency 37 2 4" xfId="4542" xr:uid="{CD70721C-A3A9-4D34-B2A9-75B769C6B125}"/>
    <cellStyle name="Currency 37 2 4 2" xfId="15342" xr:uid="{8932686B-BE88-4EEE-B6E4-08AF93BEBCFE}"/>
    <cellStyle name="Currency 37 2 5" xfId="5477" xr:uid="{1C6DA0DC-550E-41FB-968D-75B72DD2C798}"/>
    <cellStyle name="Currency 37 2 5 2" xfId="15459" xr:uid="{CF320584-1887-4FC6-A06C-2A2BEFA9DC8F}"/>
    <cellStyle name="Currency 37 2 6" xfId="14828" xr:uid="{63CCCA14-61B5-4C38-B9F6-F627F423F7E9}"/>
    <cellStyle name="Currency 37 3" xfId="2823" xr:uid="{B0B95FF2-E12D-4A21-B812-FB55B2EF6558}"/>
    <cellStyle name="Currency 37 3 2" xfId="3743" xr:uid="{10A03A2A-A752-4D11-B3A1-8CCE1B7B9BD6}"/>
    <cellStyle name="Currency 37 3 2 2" xfId="15156" xr:uid="{0A25A3D1-F797-495E-921E-A3184E9B3222}"/>
    <cellStyle name="Currency 37 3 3" xfId="6714" xr:uid="{050392F9-D182-4C71-9DCF-0A853C6F3AA2}"/>
    <cellStyle name="Currency 37 3 3 2" xfId="15551" xr:uid="{6AFB2CD9-7C75-44A3-9B9F-FDDBAD9A9A8C}"/>
    <cellStyle name="Currency 37 3 4" xfId="14900" xr:uid="{9B1923ED-A20B-4F96-BB5F-2028A57DE6DE}"/>
    <cellStyle name="Currency 37 4" xfId="3263" xr:uid="{E73B4284-D82C-4A29-A38D-82756F8100B0}"/>
    <cellStyle name="Currency 37 4 2" xfId="15032" xr:uid="{652BD32A-0F30-4455-A4C5-89BDBE690D9E}"/>
    <cellStyle name="Currency 37 5" xfId="4430" xr:uid="{8F2E4F5F-A8D2-4B0D-87B6-AC90248E5EF6}"/>
    <cellStyle name="Currency 37 5 2" xfId="15290" xr:uid="{3838CFDA-E172-4E15-8150-09B9F8703483}"/>
    <cellStyle name="Currency 37 6" xfId="5365" xr:uid="{7FF3FBFA-68F1-49C7-ACE5-4D3FC97A6AA8}"/>
    <cellStyle name="Currency 37 6 2" xfId="15407" xr:uid="{EE420BF2-935E-4AC3-B22F-4559660AC2CB}"/>
    <cellStyle name="Currency 37 7" xfId="14776" xr:uid="{42DFECB6-0782-498E-A45C-75A0A12AE72B}"/>
    <cellStyle name="Currency 38" xfId="511" xr:uid="{41A9B778-05E7-4B3C-ACF6-E57483F18C80}"/>
    <cellStyle name="Currency 38 2" xfId="1006" xr:uid="{9D637D8C-E56A-4B31-9DDB-781B07640ACB}"/>
    <cellStyle name="Currency 38 2 2" xfId="2918" xr:uid="{2BFCF19A-CEDA-4ABA-A027-A1B405AC24B5}"/>
    <cellStyle name="Currency 38 2 2 2" xfId="3858" xr:uid="{EFEBCB95-6923-4B44-8E08-CCE9555F7B5A}"/>
    <cellStyle name="Currency 38 2 2 2 2" xfId="15211" xr:uid="{91A850C9-F191-4BF8-A274-2055D07D8ADD}"/>
    <cellStyle name="Currency 38 2 2 3" xfId="6829" xr:uid="{216ABB23-E5FF-4BDA-A469-8F830D61C9DA}"/>
    <cellStyle name="Currency 38 2 2 3 2" xfId="15606" xr:uid="{50EFFF35-C32C-413E-8FF8-4632B329AC72}"/>
    <cellStyle name="Currency 38 2 2 4" xfId="14955" xr:uid="{0384D2ED-5BC3-4493-B046-E25A1380B59B}"/>
    <cellStyle name="Currency 38 2 3" xfId="3378" xr:uid="{0105F576-B9B1-4CF7-B509-5CDC8429E316}"/>
    <cellStyle name="Currency 38 2 3 2" xfId="15087" xr:uid="{B0C7B93B-0AF1-4635-B826-285A2DD35364}"/>
    <cellStyle name="Currency 38 2 4" xfId="4545" xr:uid="{B0B38C33-05D0-432E-8BD4-A3679B0E6949}"/>
    <cellStyle name="Currency 38 2 4 2" xfId="15345" xr:uid="{26E9CF99-9DBF-4DFD-97D3-1B1AD2EBEFA5}"/>
    <cellStyle name="Currency 38 2 5" xfId="5480" xr:uid="{7FF9CBF2-8863-4D61-A3AD-0E357672383C}"/>
    <cellStyle name="Currency 38 2 5 2" xfId="15462" xr:uid="{7A438A6B-BFB7-465C-BF1C-1D0FDB609977}"/>
    <cellStyle name="Currency 38 2 6" xfId="14831" xr:uid="{32EA3464-C715-4084-B77C-7B81CDBEE3FD}"/>
    <cellStyle name="Currency 38 3" xfId="2826" xr:uid="{7A551648-7C98-44E6-BAD7-D85EFA5DB8F4}"/>
    <cellStyle name="Currency 38 3 2" xfId="3746" xr:uid="{9C991CEE-84D4-43A4-9D01-79889DF456F9}"/>
    <cellStyle name="Currency 38 3 2 2" xfId="15159" xr:uid="{4F18F5A4-16FB-427A-A028-FDCE157DD408}"/>
    <cellStyle name="Currency 38 3 3" xfId="6717" xr:uid="{20CEF91F-9B21-4664-97EB-86CAF03CED20}"/>
    <cellStyle name="Currency 38 3 3 2" xfId="15554" xr:uid="{3FDD8B92-B320-4833-BADA-49520B69F37D}"/>
    <cellStyle name="Currency 38 3 4" xfId="14903" xr:uid="{A536747F-7904-4DE7-9EC9-C6201FEC1F93}"/>
    <cellStyle name="Currency 38 4" xfId="3266" xr:uid="{DCEEE34D-1C78-4D1A-A186-B96A9B5A805F}"/>
    <cellStyle name="Currency 38 4 2" xfId="15035" xr:uid="{7AAEE731-0A58-457E-858A-F7D634E897B0}"/>
    <cellStyle name="Currency 38 5" xfId="4433" xr:uid="{9B1EE4A5-BC8F-4C72-A0D5-6203C630C3FA}"/>
    <cellStyle name="Currency 38 5 2" xfId="15293" xr:uid="{F3161288-3C77-491E-BA9B-10780B2E49A7}"/>
    <cellStyle name="Currency 38 6" xfId="5368" xr:uid="{B9F06641-0A78-4A3F-8495-9FEDE47E6C96}"/>
    <cellStyle name="Currency 38 6 2" xfId="15410" xr:uid="{B473A700-79A6-4278-A87E-4898A17FE563}"/>
    <cellStyle name="Currency 38 7" xfId="14779" xr:uid="{166B2967-A81C-4BFE-AB35-5C39AB7FBD97}"/>
    <cellStyle name="Currency 39" xfId="512" xr:uid="{D17D622B-A8E2-4BF7-84E7-02DF8F613F59}"/>
    <cellStyle name="Currency 39 2" xfId="1007" xr:uid="{ED3058DA-98EF-4730-B278-8891102985A2}"/>
    <cellStyle name="Currency 39 2 2" xfId="2919" xr:uid="{0DC1DF97-1E26-472A-B953-34A858FA7A98}"/>
    <cellStyle name="Currency 39 2 2 2" xfId="3859" xr:uid="{4507766B-01E1-4EF6-A946-A0694CE13BE7}"/>
    <cellStyle name="Currency 39 2 2 2 2" xfId="15212" xr:uid="{FB443BEE-4620-4F50-AED0-42E6460CEE1D}"/>
    <cellStyle name="Currency 39 2 2 3" xfId="6830" xr:uid="{94C9BEAF-0B76-4837-9970-8A1F880AB6FF}"/>
    <cellStyle name="Currency 39 2 2 3 2" xfId="15607" xr:uid="{2A0036B1-5674-48C4-8E6A-2EE5D55D5BCA}"/>
    <cellStyle name="Currency 39 2 2 4" xfId="14956" xr:uid="{DBCEF4AD-798B-45B1-937F-CAB8AEA823D5}"/>
    <cellStyle name="Currency 39 2 3" xfId="3379" xr:uid="{50B9A1EF-DAE7-4070-BA3A-F57E5E5B775E}"/>
    <cellStyle name="Currency 39 2 3 2" xfId="15088" xr:uid="{BFC43307-EBFC-420A-851F-23C74A779621}"/>
    <cellStyle name="Currency 39 2 4" xfId="4546" xr:uid="{3F73D1DD-5F7C-4548-A4C3-0FA84FB77680}"/>
    <cellStyle name="Currency 39 2 4 2" xfId="15346" xr:uid="{DBD39189-21F8-4172-A70D-5C0EF8F2EA0C}"/>
    <cellStyle name="Currency 39 2 5" xfId="5481" xr:uid="{055CCD3A-DA3E-4451-8BC7-AB4F208CCBEA}"/>
    <cellStyle name="Currency 39 2 5 2" xfId="15463" xr:uid="{A3DB1DC2-D682-4A8E-9162-CA76F1256C82}"/>
    <cellStyle name="Currency 39 2 6" xfId="14832" xr:uid="{0E6499A8-777E-4F22-8247-D22A8A10BB8C}"/>
    <cellStyle name="Currency 39 3" xfId="2827" xr:uid="{A0F2179C-A7E7-420B-8586-BCA3B59DD4DE}"/>
    <cellStyle name="Currency 39 3 2" xfId="3747" xr:uid="{48C48362-5210-46E6-BAFF-0507E08AF83A}"/>
    <cellStyle name="Currency 39 3 2 2" xfId="15160" xr:uid="{0D163C45-8A4C-4BD2-8598-DF880C19DCEC}"/>
    <cellStyle name="Currency 39 3 3" xfId="6718" xr:uid="{B92B884C-02E1-4DC5-926A-20D44C132393}"/>
    <cellStyle name="Currency 39 3 3 2" xfId="15555" xr:uid="{FDA24A28-8191-4FB1-92E5-5C55D4668691}"/>
    <cellStyle name="Currency 39 3 4" xfId="14904" xr:uid="{ABF7282F-D1C0-49DB-A085-74263733033F}"/>
    <cellStyle name="Currency 39 4" xfId="3267" xr:uid="{E72E0F96-2AF8-4BA4-B5A5-6D6A756570C4}"/>
    <cellStyle name="Currency 39 4 2" xfId="15036" xr:uid="{4EABF1EC-16E0-4544-80B4-8A44EFCF1595}"/>
    <cellStyle name="Currency 39 5" xfId="4434" xr:uid="{0BACC034-1C3D-490A-A89D-6F9864F418D8}"/>
    <cellStyle name="Currency 39 5 2" xfId="15294" xr:uid="{77E39019-49E9-4258-8FD7-0F0A3E5FAB34}"/>
    <cellStyle name="Currency 39 6" xfId="5369" xr:uid="{5CAC8FB0-E42B-4766-8210-7928FB08A807}"/>
    <cellStyle name="Currency 39 6 2" xfId="15411" xr:uid="{0A860C71-FFB5-444B-AD7A-468A75759E8C}"/>
    <cellStyle name="Currency 39 7" xfId="14780" xr:uid="{248CBCF1-43ED-4FCA-89FC-64910C096E60}"/>
    <cellStyle name="Currency 4" xfId="437" xr:uid="{2DD143EC-A3A5-43F3-85F8-DA96B7595DEA}"/>
    <cellStyle name="Currency 4 2" xfId="669" xr:uid="{157DA21D-B14C-4D43-89BC-B3FDB7607B10}"/>
    <cellStyle name="Currency 4 2 2" xfId="1163" xr:uid="{330F6898-8F59-4234-935A-4447551C718D}"/>
    <cellStyle name="Currency 4 2 2 2" xfId="8543" xr:uid="{7698B9A0-7577-4356-A25A-EC039E7216D4}"/>
    <cellStyle name="Currency 4 2 2 2 2" xfId="14621" xr:uid="{6EBB53E8-B4B1-4E31-A5EC-048EC7697A97}"/>
    <cellStyle name="Currency 4 2 2 3" xfId="14263" xr:uid="{2D576FE3-205E-4441-9DC2-C49A97A7307E}"/>
    <cellStyle name="Currency 4 2 2 4" xfId="2329" xr:uid="{E8D4A246-F0C6-41D2-BD2F-CC7AD8C7A7E7}"/>
    <cellStyle name="Currency 4 2 3" xfId="2600" xr:uid="{56C27B13-D232-47C2-9C3E-460859EF3363}"/>
    <cellStyle name="Currency 4 2 3 2" xfId="14387" xr:uid="{FBA4535F-1C49-48FE-B656-AC5A7BD71E2D}"/>
    <cellStyle name="Currency 4 2 4" xfId="8358" xr:uid="{EB7D6D8E-5EE5-4FCF-81BF-40A1269B1667}"/>
    <cellStyle name="Currency 4 2 4 2" xfId="14529" xr:uid="{1A8554A5-6FEF-4F2C-BFFE-FB45A524E777}"/>
    <cellStyle name="Currency 4 2 5" xfId="14171" xr:uid="{CFE972AA-9AC3-4152-9265-841F0C90E954}"/>
    <cellStyle name="Currency 4 2 6" xfId="2139" xr:uid="{EAB41C08-ECD8-4F2D-92B4-8FB15B0164FE}"/>
    <cellStyle name="Currency 4 3" xfId="933" xr:uid="{ADC64EB0-D815-4052-8AC0-5A451957DD85}"/>
    <cellStyle name="Currency 4 3 2" xfId="8509" xr:uid="{58ED3F74-110C-4C37-90FA-28B7E82C0C3E}"/>
    <cellStyle name="Currency 4 3 2 2" xfId="14591" xr:uid="{6E9E100B-0158-4C55-BBF1-4593A9B549B0}"/>
    <cellStyle name="Currency 4 3 3" xfId="14233" xr:uid="{D8B5671B-E267-4449-A076-F473EA25CF6B}"/>
    <cellStyle name="Currency 4 3 4" xfId="2295" xr:uid="{262B083D-A1BE-4731-8C18-5B2DD69C3462}"/>
    <cellStyle name="Currency 4 4" xfId="2570" xr:uid="{98268B49-4973-4581-A942-D0119AA59956}"/>
    <cellStyle name="Currency 4 4 2" xfId="14357" xr:uid="{F6AFCC18-A177-4AF9-8C74-9B48D76D5B49}"/>
    <cellStyle name="Currency 4 5" xfId="8328" xr:uid="{5E5C51BA-6A5B-47B0-B650-4CCAD51986E6}"/>
    <cellStyle name="Currency 4 5 2" xfId="14499" xr:uid="{FABC173B-29FF-4A48-AC70-735E35A62D15}"/>
    <cellStyle name="Currency 4 6" xfId="14141" xr:uid="{8428635F-0240-49C8-AE24-9879CC5F1DC5}"/>
    <cellStyle name="Currency 4 7" xfId="2094" xr:uid="{CD09A949-18F0-49D7-AE21-416608AC8E21}"/>
    <cellStyle name="Currency 40" xfId="514" xr:uid="{A2E3BDFC-64A7-4928-A3BA-FDF7D03B10DA}"/>
    <cellStyle name="Currency 40 2" xfId="1009" xr:uid="{91EB702A-7C3D-4C75-AA2B-B8E869CF61AF}"/>
    <cellStyle name="Currency 40 2 2" xfId="2921" xr:uid="{8FB99AD3-AFAD-45CB-B558-8A98728841B4}"/>
    <cellStyle name="Currency 40 2 2 2" xfId="3861" xr:uid="{4CB20ED1-BA0A-43F2-9A00-05E3C1424A0E}"/>
    <cellStyle name="Currency 40 2 2 2 2" xfId="15214" xr:uid="{4C0645DD-7283-4D58-AEBF-0BC986871610}"/>
    <cellStyle name="Currency 40 2 2 3" xfId="6832" xr:uid="{E9212D4A-DE83-445F-9D0A-A89C3557D80F}"/>
    <cellStyle name="Currency 40 2 2 3 2" xfId="15609" xr:uid="{8603AD21-39DA-47BE-9DF3-71B481FBA6EE}"/>
    <cellStyle name="Currency 40 2 2 4" xfId="14958" xr:uid="{38C29F44-DCB1-4B74-9073-B9269E7B670A}"/>
    <cellStyle name="Currency 40 2 3" xfId="3381" xr:uid="{C0AB52D7-0794-4173-812A-0D0A2D4953BE}"/>
    <cellStyle name="Currency 40 2 3 2" xfId="15090" xr:uid="{A63E86A3-05E6-4C00-8228-9CFBCA9BAAEF}"/>
    <cellStyle name="Currency 40 2 4" xfId="4548" xr:uid="{128FF7CB-FC4F-4D46-8018-94B9BA90A5FB}"/>
    <cellStyle name="Currency 40 2 4 2" xfId="15348" xr:uid="{3EDD50F5-B2C4-4BF5-8B45-4E82588A90D3}"/>
    <cellStyle name="Currency 40 2 5" xfId="5483" xr:uid="{66BFB94E-336C-4AB7-AC2C-04BD51184130}"/>
    <cellStyle name="Currency 40 2 5 2" xfId="15465" xr:uid="{DB9958A1-B0C6-4183-B270-615328688482}"/>
    <cellStyle name="Currency 40 2 6" xfId="14834" xr:uid="{5FCC698A-EC11-4C40-8EF9-AFC7C35A64C1}"/>
    <cellStyle name="Currency 40 3" xfId="2829" xr:uid="{ED3D217E-0222-4D0D-8280-8B5806F30840}"/>
    <cellStyle name="Currency 40 3 2" xfId="3749" xr:uid="{3D199CB7-FFC2-43EB-BC5C-C730C82F4EB0}"/>
    <cellStyle name="Currency 40 3 2 2" xfId="15162" xr:uid="{B692B01E-D507-4D60-89D0-5892C1040ABC}"/>
    <cellStyle name="Currency 40 3 3" xfId="6720" xr:uid="{D63104D8-885A-4AD2-93E8-E92FC875A9CE}"/>
    <cellStyle name="Currency 40 3 3 2" xfId="15557" xr:uid="{61E3BB73-C939-4F82-9C40-57ACB1741AA3}"/>
    <cellStyle name="Currency 40 3 4" xfId="14906" xr:uid="{AB1A7AC5-35EE-4309-8D6B-8DEA334F51CF}"/>
    <cellStyle name="Currency 40 4" xfId="3269" xr:uid="{B438C704-7501-4817-B50E-B4F615879B7E}"/>
    <cellStyle name="Currency 40 4 2" xfId="15038" xr:uid="{EAA195D7-ADAD-46CE-AF6C-5B997448E1F2}"/>
    <cellStyle name="Currency 40 5" xfId="4436" xr:uid="{7A6394FA-E89C-4CF5-B80B-A5B0E3E973E6}"/>
    <cellStyle name="Currency 40 5 2" xfId="15296" xr:uid="{87BC12F0-ECEC-4244-9623-4CB8BF54B8A4}"/>
    <cellStyle name="Currency 40 6" xfId="5371" xr:uid="{960B37FC-559C-4C23-8B79-0167114DD0AF}"/>
    <cellStyle name="Currency 40 6 2" xfId="15413" xr:uid="{AA920695-3077-451C-A032-74C406F44BDB}"/>
    <cellStyle name="Currency 40 7" xfId="14782" xr:uid="{A58D564D-EAD5-490D-80C6-C90A8EEF6E97}"/>
    <cellStyle name="Currency 41" xfId="516" xr:uid="{03721743-9AB6-4D79-A3C5-93A771C223A0}"/>
    <cellStyle name="Currency 41 2" xfId="1011" xr:uid="{99DA2F63-FBD1-47CB-82EB-68C1F80AD18A}"/>
    <cellStyle name="Currency 41 2 2" xfId="2924" xr:uid="{928D8FC2-918E-4BCC-B1DF-E49A89A294FA}"/>
    <cellStyle name="Currency 41 2 2 2" xfId="3864" xr:uid="{E6A2337E-9A90-4926-B965-CF686E7CE55B}"/>
    <cellStyle name="Currency 41 2 2 2 2" xfId="15217" xr:uid="{3FF71FE4-DA03-4A3C-BE6B-04609E6B51AA}"/>
    <cellStyle name="Currency 41 2 2 3" xfId="6835" xr:uid="{AF5C4EEF-7094-410A-9AA3-1550224A5D20}"/>
    <cellStyle name="Currency 41 2 2 3 2" xfId="15612" xr:uid="{0E09381D-4E5E-4B86-B7A4-E410103C97EE}"/>
    <cellStyle name="Currency 41 2 2 4" xfId="14961" xr:uid="{F9CF761B-AF84-48D6-BC97-BB019057EE5E}"/>
    <cellStyle name="Currency 41 2 3" xfId="3384" xr:uid="{AE563179-5427-42A2-8188-93D4BB1649A2}"/>
    <cellStyle name="Currency 41 2 3 2" xfId="15093" xr:uid="{795733FE-3405-4FDD-8D3F-1DC5A4F8F6B8}"/>
    <cellStyle name="Currency 41 2 4" xfId="4551" xr:uid="{00993A41-2021-41B8-95B5-B2D709490BB9}"/>
    <cellStyle name="Currency 41 2 4 2" xfId="15351" xr:uid="{A4C71020-D4B2-4849-AEB7-72E951FA4E60}"/>
    <cellStyle name="Currency 41 2 5" xfId="5486" xr:uid="{8FF70220-E39C-4937-89B4-E8FCBEEBD7B7}"/>
    <cellStyle name="Currency 41 2 5 2" xfId="15468" xr:uid="{72EC56F7-E13D-4033-A25C-E9228BED52EF}"/>
    <cellStyle name="Currency 41 2 6" xfId="14837" xr:uid="{8B8D868C-8F3B-4B7B-8C06-34970052FB66}"/>
    <cellStyle name="Currency 41 3" xfId="2832" xr:uid="{F79F5C0F-C0BE-42D8-BD95-D89A6C2A355D}"/>
    <cellStyle name="Currency 41 3 2" xfId="3752" xr:uid="{E4135C04-9D91-4C9F-B885-F0FB02B723BC}"/>
    <cellStyle name="Currency 41 3 2 2" xfId="15165" xr:uid="{5F5C0830-FC75-4EBB-B5AD-47E79059B2E8}"/>
    <cellStyle name="Currency 41 3 3" xfId="6723" xr:uid="{66141CBC-ACA4-4FB8-9846-8E8E3DFE80EB}"/>
    <cellStyle name="Currency 41 3 3 2" xfId="15560" xr:uid="{25717872-488F-4167-92F5-BC9F1FD1B808}"/>
    <cellStyle name="Currency 41 3 4" xfId="14909" xr:uid="{83568453-D6D9-4634-B61F-957A47690B69}"/>
    <cellStyle name="Currency 41 4" xfId="3272" xr:uid="{63C17214-8D83-4F04-BD25-092DD5643DBB}"/>
    <cellStyle name="Currency 41 4 2" xfId="15041" xr:uid="{C0D92927-5D05-4D9F-92CA-2FF1F4A81062}"/>
    <cellStyle name="Currency 41 5" xfId="4439" xr:uid="{ADF33ED1-2627-4045-A68B-A3ECADD92D1E}"/>
    <cellStyle name="Currency 41 5 2" xfId="15299" xr:uid="{564B7CF2-CCEC-494D-A85A-B6DC921F51B5}"/>
    <cellStyle name="Currency 41 6" xfId="5374" xr:uid="{537D29AD-F960-449C-81CD-CEC249403433}"/>
    <cellStyle name="Currency 41 6 2" xfId="15416" xr:uid="{54B8E12F-63C2-4093-AEB5-EBA4151A9EE5}"/>
    <cellStyle name="Currency 41 7" xfId="14785" xr:uid="{CD0F72F0-2129-4663-B6AB-3A7806C29431}"/>
    <cellStyle name="Currency 42" xfId="518" xr:uid="{74E4C872-2E39-437B-A5C2-BC0977A93A7D}"/>
    <cellStyle name="Currency 42 2" xfId="1013" xr:uid="{AEEB754D-080E-41E4-A978-E9E963ADDDD6}"/>
    <cellStyle name="Currency 42 2 2" xfId="2928" xr:uid="{B90ED651-9962-48CC-BB9C-A2615AAAC165}"/>
    <cellStyle name="Currency 42 2 2 2" xfId="3868" xr:uid="{54876D05-93EA-4967-8D31-7F119D49E4EC}"/>
    <cellStyle name="Currency 42 2 2 2 2" xfId="15221" xr:uid="{330BDC18-0437-4DDF-8CF4-3ED7828979A7}"/>
    <cellStyle name="Currency 42 2 2 3" xfId="6839" xr:uid="{70DA3092-0E52-4799-8A68-464CBB70F76A}"/>
    <cellStyle name="Currency 42 2 2 3 2" xfId="15616" xr:uid="{9B2E1156-C96F-4C16-92CE-A7E02B652EB7}"/>
    <cellStyle name="Currency 42 2 2 4" xfId="14965" xr:uid="{2F15C080-2427-4F73-8DFC-946CCA1C78C0}"/>
    <cellStyle name="Currency 42 2 3" xfId="3388" xr:uid="{9D4409B5-F9FC-49B0-8A18-6E04B9B902CF}"/>
    <cellStyle name="Currency 42 2 3 2" xfId="15097" xr:uid="{99386884-B171-4ED4-BBB8-19CE5120F5E0}"/>
    <cellStyle name="Currency 42 2 4" xfId="4555" xr:uid="{B604FAB0-811E-4B6E-B19E-76BFA892C51E}"/>
    <cellStyle name="Currency 42 2 4 2" xfId="15355" xr:uid="{84685A28-3327-4257-A733-51E045B4D8B3}"/>
    <cellStyle name="Currency 42 2 5" xfId="5490" xr:uid="{A7E1ACD6-4067-4F24-9AED-22A4CD6E0512}"/>
    <cellStyle name="Currency 42 2 5 2" xfId="15472" xr:uid="{B49CD619-086F-4D88-9318-01EF5BDC0FD7}"/>
    <cellStyle name="Currency 42 2 6" xfId="14841" xr:uid="{DCFC7DAC-6067-449E-8DC8-BD9AD7D78B33}"/>
    <cellStyle name="Currency 42 3" xfId="2836" xr:uid="{0EB8EB97-2B89-45AB-BBB8-6B1DD549ED09}"/>
    <cellStyle name="Currency 42 3 2" xfId="3756" xr:uid="{4615CA21-4309-4578-9FF9-E3F8650052EF}"/>
    <cellStyle name="Currency 42 3 2 2" xfId="15169" xr:uid="{534AE7DE-AB72-49D3-9ECE-47BBB993370B}"/>
    <cellStyle name="Currency 42 3 3" xfId="6727" xr:uid="{F5D99EA6-DDD8-46B4-8482-276B817FFBE1}"/>
    <cellStyle name="Currency 42 3 3 2" xfId="15564" xr:uid="{F8DD24E4-3A20-48CA-BBCB-DDF728576EDF}"/>
    <cellStyle name="Currency 42 3 4" xfId="14913" xr:uid="{9588810F-04DF-48DE-BBAD-779CBC8FDE22}"/>
    <cellStyle name="Currency 42 4" xfId="3276" xr:uid="{D6B68D2D-899D-4D08-833E-BE738E0945DB}"/>
    <cellStyle name="Currency 42 4 2" xfId="15045" xr:uid="{4D316366-6835-46A8-9DA9-7CF81AE39DF9}"/>
    <cellStyle name="Currency 42 5" xfId="4443" xr:uid="{22D8E039-614B-46AA-9E37-B53C750ECA60}"/>
    <cellStyle name="Currency 42 5 2" xfId="15303" xr:uid="{397F0FD5-49DD-42B9-8986-5D9CCB018C7E}"/>
    <cellStyle name="Currency 42 6" xfId="5378" xr:uid="{4F36105A-81F2-4B05-9708-197ED24EE45D}"/>
    <cellStyle name="Currency 42 6 2" xfId="15420" xr:uid="{D05D8009-3F83-49B0-B5B0-7F8FCC51AAC5}"/>
    <cellStyle name="Currency 42 7" xfId="14789" xr:uid="{DFF5BF1A-6DC5-428A-BB08-88E13071DD08}"/>
    <cellStyle name="Currency 43" xfId="520" xr:uid="{E2B591B2-D2D3-4EE8-B012-22001A42F349}"/>
    <cellStyle name="Currency 43 2" xfId="1015" xr:uid="{CB7270E2-D1AE-468E-9921-086DDD0FD8CB}"/>
    <cellStyle name="Currency 43 2 2" xfId="2929" xr:uid="{7DAAABD7-282F-44AD-B31B-689734D89EF5}"/>
    <cellStyle name="Currency 43 2 2 2" xfId="3869" xr:uid="{E6F8E374-93A9-4906-A6F2-A68804614409}"/>
    <cellStyle name="Currency 43 2 2 2 2" xfId="15222" xr:uid="{7F0287B9-E3A2-4CE1-9C05-824E7960C0F6}"/>
    <cellStyle name="Currency 43 2 2 3" xfId="6840" xr:uid="{DA8F2DAF-5360-4622-8150-D66CC3886C23}"/>
    <cellStyle name="Currency 43 2 2 3 2" xfId="15617" xr:uid="{9A479755-C6EA-4F05-AB98-8DFE6E2F725F}"/>
    <cellStyle name="Currency 43 2 2 4" xfId="14966" xr:uid="{6BDE0880-6B2E-466F-B68B-D728254C5893}"/>
    <cellStyle name="Currency 43 2 3" xfId="3389" xr:uid="{0DF10E24-E6D9-48D6-AA86-898C4803AA39}"/>
    <cellStyle name="Currency 43 2 3 2" xfId="15098" xr:uid="{BDB52F25-6552-4E71-B226-EBE7C17F0CF5}"/>
    <cellStyle name="Currency 43 2 4" xfId="4556" xr:uid="{18FDDFAA-3FC6-4E7B-863F-3A98497FAD79}"/>
    <cellStyle name="Currency 43 2 4 2" xfId="15356" xr:uid="{65748226-1A39-4124-9B92-1921AD251562}"/>
    <cellStyle name="Currency 43 2 5" xfId="5491" xr:uid="{2001A084-6658-4BB7-B825-EC8E07DF0DED}"/>
    <cellStyle name="Currency 43 2 5 2" xfId="15473" xr:uid="{55618B49-9E36-4042-AE4F-01EDAC31402D}"/>
    <cellStyle name="Currency 43 2 6" xfId="14842" xr:uid="{591293C4-47EA-45FA-A928-82FE54C21661}"/>
    <cellStyle name="Currency 43 3" xfId="2837" xr:uid="{4B044704-FCF1-4BE5-88EF-0E05503362BA}"/>
    <cellStyle name="Currency 43 3 2" xfId="3757" xr:uid="{40D7719A-62F8-4346-9EE5-323579D5504A}"/>
    <cellStyle name="Currency 43 3 2 2" xfId="15170" xr:uid="{4FFA181C-A6DB-44AB-8099-76C905B3997A}"/>
    <cellStyle name="Currency 43 3 3" xfId="6728" xr:uid="{F8A1B824-C191-4649-8F9E-E01C1BF132EE}"/>
    <cellStyle name="Currency 43 3 3 2" xfId="15565" xr:uid="{CBE0E398-A01A-45F9-A26A-FFF8E9BAFEF5}"/>
    <cellStyle name="Currency 43 3 4" xfId="14914" xr:uid="{D4945873-641F-4632-BC13-2852E911534A}"/>
    <cellStyle name="Currency 43 4" xfId="3277" xr:uid="{E98BE43B-2454-402C-98D8-DAE176EEBD21}"/>
    <cellStyle name="Currency 43 4 2" xfId="15046" xr:uid="{A035F20D-5ABA-47EB-943A-9A97ED4952F3}"/>
    <cellStyle name="Currency 43 5" xfId="4444" xr:uid="{7C08FBCC-4134-4C38-A8F2-6C16009835DA}"/>
    <cellStyle name="Currency 43 5 2" xfId="15304" xr:uid="{F0F310DE-0B7A-4217-9DFC-D0619A7BA064}"/>
    <cellStyle name="Currency 43 6" xfId="5379" xr:uid="{6DCE8057-87A6-458B-908B-5AD55656C8CF}"/>
    <cellStyle name="Currency 43 6 2" xfId="15421" xr:uid="{01791D30-C603-45B1-8DC8-05493756FE61}"/>
    <cellStyle name="Currency 43 7" xfId="14790" xr:uid="{6B665997-7076-435A-BDEB-CDDBA6822EDA}"/>
    <cellStyle name="Currency 44" xfId="522" xr:uid="{9CD4350A-BF12-41B4-8BB3-499190EEAE6A}"/>
    <cellStyle name="Currency 44 2" xfId="1017" xr:uid="{5CDAB15C-B7E3-4844-8B8B-D2E607C9BEF7}"/>
    <cellStyle name="Currency 44 2 2" xfId="2931" xr:uid="{ED3AF063-5910-4793-B8CA-D803485CAD24}"/>
    <cellStyle name="Currency 44 2 2 2" xfId="3871" xr:uid="{E4CFBB39-AB09-4D33-80ED-834D7DFD12D6}"/>
    <cellStyle name="Currency 44 2 2 2 2" xfId="15224" xr:uid="{74E69BAC-EADA-425E-9F38-5206CB9F9BA6}"/>
    <cellStyle name="Currency 44 2 2 3" xfId="6842" xr:uid="{3D519127-4F8F-4ED0-B711-187C08BF2AEA}"/>
    <cellStyle name="Currency 44 2 2 3 2" xfId="15619" xr:uid="{653EB122-E674-4FD3-AE2B-000E4C3A3102}"/>
    <cellStyle name="Currency 44 2 2 4" xfId="14968" xr:uid="{D5AE8AD4-BAC5-469F-8511-717561F97B65}"/>
    <cellStyle name="Currency 44 2 3" xfId="3391" xr:uid="{97FBC773-0AD9-4DE4-AB09-63F8284722D5}"/>
    <cellStyle name="Currency 44 2 3 2" xfId="15100" xr:uid="{082FB9D4-48ED-4C43-8D4D-8A49E3B09620}"/>
    <cellStyle name="Currency 44 2 4" xfId="4558" xr:uid="{46B502E5-11C4-4A13-ADB2-9DD02786902C}"/>
    <cellStyle name="Currency 44 2 4 2" xfId="15358" xr:uid="{C9AAAE4E-32F7-40FE-957E-7B6FE18BFC3C}"/>
    <cellStyle name="Currency 44 2 5" xfId="5493" xr:uid="{F68B09BA-9A65-41D9-8378-04D7F10E2901}"/>
    <cellStyle name="Currency 44 2 5 2" xfId="15475" xr:uid="{20C50D87-9792-4EE0-A00C-EC9731ACD984}"/>
    <cellStyle name="Currency 44 2 6" xfId="14844" xr:uid="{5D275BF5-C7B2-47F7-95ED-15B00FCA7C82}"/>
    <cellStyle name="Currency 44 3" xfId="2839" xr:uid="{E434E592-CEB3-4BF9-A617-C4AA64405783}"/>
    <cellStyle name="Currency 44 3 2" xfId="3759" xr:uid="{1F5D853C-9C37-4F8F-BD05-4885E5C13B62}"/>
    <cellStyle name="Currency 44 3 2 2" xfId="15172" xr:uid="{DFE529BD-8F53-42CC-840F-4F46A2F1B560}"/>
    <cellStyle name="Currency 44 3 3" xfId="6730" xr:uid="{30285546-8662-4CCF-A0E6-615B7211E161}"/>
    <cellStyle name="Currency 44 3 3 2" xfId="15567" xr:uid="{6F181B65-A8D0-47CE-8A36-1090530761D3}"/>
    <cellStyle name="Currency 44 3 4" xfId="14916" xr:uid="{F4D6B179-C447-41ED-B482-E54B54E198AF}"/>
    <cellStyle name="Currency 44 4" xfId="3279" xr:uid="{F215D646-18FC-4DE3-9D7F-A400D2AB4256}"/>
    <cellStyle name="Currency 44 4 2" xfId="15048" xr:uid="{C063A63A-4DFA-4E2B-ABA1-2CF5FB803EB6}"/>
    <cellStyle name="Currency 44 5" xfId="4446" xr:uid="{0D8E216C-3420-4CE6-B89B-33555ABA6BC0}"/>
    <cellStyle name="Currency 44 5 2" xfId="15306" xr:uid="{F1832B69-08B1-4408-B193-A71A9126FD4B}"/>
    <cellStyle name="Currency 44 6" xfId="5381" xr:uid="{8D129FF3-ADB0-4F0C-8E11-A187FE5DD5CF}"/>
    <cellStyle name="Currency 44 6 2" xfId="15423" xr:uid="{8077B6EB-6461-418F-9B58-48643D9DF0AE}"/>
    <cellStyle name="Currency 44 7" xfId="14792" xr:uid="{3DE1CDAE-4E16-4D78-BFE9-D5B0288FCE66}"/>
    <cellStyle name="Currency 45" xfId="524" xr:uid="{EDEE1A94-96A4-4FD9-8A91-45CD3FAFE851}"/>
    <cellStyle name="Currency 45 2" xfId="1019" xr:uid="{7D64B9B1-EA51-4411-AA5D-76C06FD11DC9}"/>
    <cellStyle name="Currency 45 2 2" xfId="2934" xr:uid="{7A8AB5F2-E0C0-4BBF-8D76-54CCB26D126C}"/>
    <cellStyle name="Currency 45 2 2 2" xfId="3874" xr:uid="{58ABAB8C-D1CE-4356-B538-B5E7EFFBAE6D}"/>
    <cellStyle name="Currency 45 2 2 2 2" xfId="15227" xr:uid="{7DE24AD8-DA5F-4058-8763-99BF9BBF9430}"/>
    <cellStyle name="Currency 45 2 2 3" xfId="6845" xr:uid="{A27D89FC-561B-4325-BA30-18920A2BE860}"/>
    <cellStyle name="Currency 45 2 2 3 2" xfId="15622" xr:uid="{A71AC727-5B48-4C2B-936E-0786189D5C46}"/>
    <cellStyle name="Currency 45 2 2 4" xfId="14971" xr:uid="{8A5181F1-69CA-4554-9FD5-24A86FDC5CAD}"/>
    <cellStyle name="Currency 45 2 3" xfId="3394" xr:uid="{ACF6E71E-B551-4E70-B601-D960E7A72D9D}"/>
    <cellStyle name="Currency 45 2 3 2" xfId="15103" xr:uid="{E5D5CAB0-C01F-4EA7-9138-926037596A3E}"/>
    <cellStyle name="Currency 45 2 4" xfId="4561" xr:uid="{13032DD0-1A3B-419B-A01B-A011636B9143}"/>
    <cellStyle name="Currency 45 2 4 2" xfId="15361" xr:uid="{29CCEAD4-C3C4-46E7-8CEB-B426C861A99B}"/>
    <cellStyle name="Currency 45 2 5" xfId="5496" xr:uid="{5CAB3BA8-7213-43F6-B641-D60434D8BFE2}"/>
    <cellStyle name="Currency 45 2 5 2" xfId="15478" xr:uid="{F68BD33D-5119-4FC8-923B-710AE2BB7B5F}"/>
    <cellStyle name="Currency 45 2 6" xfId="14847" xr:uid="{106E4DF8-0565-4226-A496-1EF4548FE5F2}"/>
    <cellStyle name="Currency 45 3" xfId="2842" xr:uid="{C868A5B2-7643-4EBA-B1F0-7ADA5402F96F}"/>
    <cellStyle name="Currency 45 3 2" xfId="3762" xr:uid="{98D02277-0BFA-41B4-ABB0-5ECFC2FDA242}"/>
    <cellStyle name="Currency 45 3 2 2" xfId="15175" xr:uid="{CA465168-9E5F-4DC5-9F15-FCE946EA4D8F}"/>
    <cellStyle name="Currency 45 3 3" xfId="6733" xr:uid="{BFFD9632-7B7C-4CD3-88FC-75260E107104}"/>
    <cellStyle name="Currency 45 3 3 2" xfId="15570" xr:uid="{543D59CA-8D71-4866-A8BD-E7E4D5D8CDE5}"/>
    <cellStyle name="Currency 45 3 4" xfId="14919" xr:uid="{A4FC82A2-30EF-4CDC-AD68-2611E574721F}"/>
    <cellStyle name="Currency 45 4" xfId="3282" xr:uid="{F07172B3-B2A1-4D52-A3B0-1453BDDA2483}"/>
    <cellStyle name="Currency 45 4 2" xfId="15051" xr:uid="{3BE34AB6-7617-4914-83B8-09A867F1812B}"/>
    <cellStyle name="Currency 45 5" xfId="4449" xr:uid="{FB9B6F40-3C53-4916-A4F9-B386ED5C98C8}"/>
    <cellStyle name="Currency 45 5 2" xfId="15309" xr:uid="{F3A74606-345F-4AD8-8D31-248EE9D83CDC}"/>
    <cellStyle name="Currency 45 6" xfId="5384" xr:uid="{36ED719C-842E-44F9-9E44-538849183895}"/>
    <cellStyle name="Currency 45 6 2" xfId="15426" xr:uid="{F513C5EB-4F46-43F1-9F42-02801EEBDAAC}"/>
    <cellStyle name="Currency 45 7" xfId="14795" xr:uid="{7DCAF5E1-C3AB-4089-B935-8E463AE84E09}"/>
    <cellStyle name="Currency 46" xfId="526" xr:uid="{D6340874-AE4F-4893-9D72-03B14E1159DA}"/>
    <cellStyle name="Currency 46 2" xfId="1021" xr:uid="{25A756B9-39D2-4056-9AE7-E46044471C0B}"/>
    <cellStyle name="Currency 46 2 2" xfId="2938" xr:uid="{C2E60629-C29F-47AC-B0CA-CA6A05F07F0D}"/>
    <cellStyle name="Currency 46 2 2 2" xfId="3878" xr:uid="{C46DF2EE-F884-408A-87F3-AAFE90922B24}"/>
    <cellStyle name="Currency 46 2 2 2 2" xfId="15231" xr:uid="{EAA17E8B-9031-4FEE-8E06-28FD268C7447}"/>
    <cellStyle name="Currency 46 2 2 3" xfId="6849" xr:uid="{0653D3CB-A8C8-4EFD-A76D-1E1A0ABE027D}"/>
    <cellStyle name="Currency 46 2 2 3 2" xfId="15626" xr:uid="{6D979236-8DC1-44B5-9934-4A45AEF7420D}"/>
    <cellStyle name="Currency 46 2 2 4" xfId="14975" xr:uid="{24B38F4D-9CD2-4096-BA11-1D7C9A49756C}"/>
    <cellStyle name="Currency 46 2 3" xfId="3398" xr:uid="{AB00F3D5-C29F-4615-B83A-35BBA45279C3}"/>
    <cellStyle name="Currency 46 2 3 2" xfId="15107" xr:uid="{87F0222A-43C9-48D3-9A2C-10E92EF781A6}"/>
    <cellStyle name="Currency 46 2 4" xfId="4565" xr:uid="{578AD3B3-E278-4F14-93E1-967D60A4C93E}"/>
    <cellStyle name="Currency 46 2 4 2" xfId="15365" xr:uid="{B2D22700-1060-4622-98B5-D7BCB0EAC7FE}"/>
    <cellStyle name="Currency 46 2 5" xfId="5500" xr:uid="{1CD99D0C-AD38-42A3-9E13-19F0CBC070D9}"/>
    <cellStyle name="Currency 46 2 5 2" xfId="15482" xr:uid="{EA6C20BD-976E-487F-A6FA-496217ACC39D}"/>
    <cellStyle name="Currency 46 2 6" xfId="14851" xr:uid="{01641D48-0FD8-4155-9523-8A548399C472}"/>
    <cellStyle name="Currency 46 3" xfId="2846" xr:uid="{38785925-08C4-4953-9753-1EEB53C8A3CD}"/>
    <cellStyle name="Currency 46 3 2" xfId="3766" xr:uid="{416E5B01-8445-451D-B782-282654B352FC}"/>
    <cellStyle name="Currency 46 3 2 2" xfId="15179" xr:uid="{B9C15BAD-6DFF-4101-AB57-ECEB916BBDCB}"/>
    <cellStyle name="Currency 46 3 3" xfId="6737" xr:uid="{9CA6B5DD-7495-4228-8D8A-A51DE4765C78}"/>
    <cellStyle name="Currency 46 3 3 2" xfId="15574" xr:uid="{C95BDFC5-4DBA-4C48-BB07-250CE7E95D9B}"/>
    <cellStyle name="Currency 46 3 4" xfId="14923" xr:uid="{BF90A83E-A0EA-4AAF-9BA1-A60E1B64434A}"/>
    <cellStyle name="Currency 46 4" xfId="3286" xr:uid="{24E526F3-1013-4AA7-BDC8-0F38E5BEB7E3}"/>
    <cellStyle name="Currency 46 4 2" xfId="15055" xr:uid="{24BF1D3C-A5FD-4001-980F-7539B3735981}"/>
    <cellStyle name="Currency 46 5" xfId="4453" xr:uid="{FEEB227A-19E9-4AFF-ADFD-D6E6825E4112}"/>
    <cellStyle name="Currency 46 5 2" xfId="15313" xr:uid="{59953B01-9E30-43EF-AE5B-AC081A0CC44D}"/>
    <cellStyle name="Currency 46 6" xfId="5388" xr:uid="{F8A1F0C5-4C61-495D-AB4E-B39D2DA97F6D}"/>
    <cellStyle name="Currency 46 6 2" xfId="15430" xr:uid="{EB93E6FD-C888-4490-9480-FC8B58B0D6DC}"/>
    <cellStyle name="Currency 46 7" xfId="14799" xr:uid="{47F1A5D8-9206-46F4-B5B1-A076368A25D3}"/>
    <cellStyle name="Currency 47" xfId="528" xr:uid="{596E8190-1634-4D4E-9FB0-29440DC755E8}"/>
    <cellStyle name="Currency 47 2" xfId="1023" xr:uid="{45B66430-B5C8-4D0A-8000-91B2819F6A44}"/>
    <cellStyle name="Currency 47 2 2" xfId="3767" xr:uid="{69EA2BC9-4052-41A1-81D7-968F80989450}"/>
    <cellStyle name="Currency 47 2 2 2" xfId="15180" xr:uid="{F1F5133E-DED0-49BE-A846-B93B17B7D6AA}"/>
    <cellStyle name="Currency 47 2 3" xfId="6738" xr:uid="{85188847-133F-40FF-B338-BBB43CD041EB}"/>
    <cellStyle name="Currency 47 2 3 2" xfId="15575" xr:uid="{2DEEB1C7-983F-45FB-AF0E-4F53FFDA361A}"/>
    <cellStyle name="Currency 47 2 4" xfId="14924" xr:uid="{90F04C1D-E3C5-4078-A365-8A03A9B02483}"/>
    <cellStyle name="Currency 47 3" xfId="3287" xr:uid="{196F6FF6-5E77-4BAF-8993-0242E78E4D78}"/>
    <cellStyle name="Currency 47 3 2" xfId="15056" xr:uid="{F0FC7E19-2F87-467C-90A5-9C5603D6DDE2}"/>
    <cellStyle name="Currency 47 4" xfId="4454" xr:uid="{BD8707F3-69B2-4912-AEAF-E6FBBF028EA7}"/>
    <cellStyle name="Currency 47 4 2" xfId="15314" xr:uid="{AE929378-5907-4C2B-8BCA-32B75BABBCFF}"/>
    <cellStyle name="Currency 47 5" xfId="5389" xr:uid="{90CD5AAB-87F3-446F-8DF6-6DD3E6D9C8B2}"/>
    <cellStyle name="Currency 47 5 2" xfId="15431" xr:uid="{71BDB725-B098-4558-AA22-62EAF51160A8}"/>
    <cellStyle name="Currency 47 6" xfId="14800" xr:uid="{33EE2FA8-D275-4661-9898-DF7C3DBF2263}"/>
    <cellStyle name="Currency 48" xfId="530" xr:uid="{46F30A55-E151-4600-84EA-8DAED0F53F59}"/>
    <cellStyle name="Currency 48 2" xfId="1025" xr:uid="{A75BAE8D-44A5-4058-9F78-A470CF4479EA}"/>
    <cellStyle name="Currency 48 2 2" xfId="3769" xr:uid="{C2B87582-0FD4-46F3-B867-8DA1C1ECB8F8}"/>
    <cellStyle name="Currency 48 2 2 2" xfId="15182" xr:uid="{71CBA309-D60E-499D-A488-DE2AB9D54F1F}"/>
    <cellStyle name="Currency 48 2 3" xfId="6740" xr:uid="{ABA4D80F-98ED-4924-939B-3E2B0184EC55}"/>
    <cellStyle name="Currency 48 2 3 2" xfId="15577" xr:uid="{46CFF282-EF6B-4210-924B-7131A9C8535B}"/>
    <cellStyle name="Currency 48 2 4" xfId="14926" xr:uid="{615ADBE9-3D48-4E18-9A1C-5EBC848FF194}"/>
    <cellStyle name="Currency 48 3" xfId="3289" xr:uid="{78A85282-FFFB-4894-BB9F-E2B290FB4DF9}"/>
    <cellStyle name="Currency 48 3 2" xfId="15058" xr:uid="{36A19957-CAEB-4A99-BA01-98F383512A04}"/>
    <cellStyle name="Currency 48 4" xfId="4456" xr:uid="{0945A689-9089-41BA-80D3-F779B6912D0F}"/>
    <cellStyle name="Currency 48 4 2" xfId="15316" xr:uid="{9307D0C9-6E0A-474A-AFD4-368E7EAA0A9E}"/>
    <cellStyle name="Currency 48 5" xfId="5391" xr:uid="{E33B8C92-AD91-46E6-8CB1-97916F45431F}"/>
    <cellStyle name="Currency 48 5 2" xfId="15433" xr:uid="{CA3DDB4E-8968-4430-BECB-F3A51F7BA18F}"/>
    <cellStyle name="Currency 48 6" xfId="14802" xr:uid="{32DB5AEC-9CAB-4A00-B59F-0F7AA438D53A}"/>
    <cellStyle name="Currency 49" xfId="532" xr:uid="{A64BB900-F92E-4CE6-B9C5-139796D67754}"/>
    <cellStyle name="Currency 49 2" xfId="1027" xr:uid="{1E5649AD-B6E9-4B1D-AA92-E05ED11201F8}"/>
    <cellStyle name="Currency 49 2 2" xfId="3803" xr:uid="{760DEE84-8F4C-4E15-9262-986642F384A5}"/>
    <cellStyle name="Currency 49 2 2 2" xfId="15185" xr:uid="{3168B152-29B8-4708-80FA-2C176798CB87}"/>
    <cellStyle name="Currency 49 2 3" xfId="6774" xr:uid="{4A0481C2-459C-4E6B-8276-768CED3C21AB}"/>
    <cellStyle name="Currency 49 2 3 2" xfId="15580" xr:uid="{A9C7AA8B-AFB5-4F23-AB8D-E280EF941119}"/>
    <cellStyle name="Currency 49 2 4" xfId="14929" xr:uid="{CD90BC01-7CD0-4760-B9A2-89991C15D203}"/>
    <cellStyle name="Currency 49 3" xfId="3323" xr:uid="{F26C04FC-1E54-4C29-8014-BE8B641FCF42}"/>
    <cellStyle name="Currency 49 3 2" xfId="15061" xr:uid="{967FAA82-56FC-4FA8-9CE8-05348CB09FD6}"/>
    <cellStyle name="Currency 49 4" xfId="4490" xr:uid="{670927D8-8238-40AA-A9BF-D5E48767CDC6}"/>
    <cellStyle name="Currency 49 4 2" xfId="15319" xr:uid="{9051F17B-B258-4ED2-BE56-A530FE3CEB9B}"/>
    <cellStyle name="Currency 49 5" xfId="5425" xr:uid="{7BEC5F97-8922-43B7-A7F7-52730BD58B92}"/>
    <cellStyle name="Currency 49 5 2" xfId="15436" xr:uid="{868BD851-119D-40AE-B234-EDF0E4375FD4}"/>
    <cellStyle name="Currency 49 6" xfId="14805" xr:uid="{BFCEAF7C-D863-4DDA-836A-75C3F722D2CB}"/>
    <cellStyle name="Currency 5" xfId="439" xr:uid="{57C727FA-DE92-4875-A7C1-59B6178C8E8C}"/>
    <cellStyle name="Currency 5 2" xfId="671" xr:uid="{5ECA911F-212C-4DF6-9BFE-FBF7678DD868}"/>
    <cellStyle name="Currency 5 2 2" xfId="1165" xr:uid="{E9D69646-3B45-4924-9FE7-C1E8D6F844D9}"/>
    <cellStyle name="Currency 5 2 2 2" xfId="8544" xr:uid="{12C91029-D8CD-47A7-8224-9DE01FAC7DDC}"/>
    <cellStyle name="Currency 5 2 2 2 2" xfId="14622" xr:uid="{4923380E-40A0-4D45-B15A-2A6EB5A3E64D}"/>
    <cellStyle name="Currency 5 2 2 3" xfId="14264" xr:uid="{7AF00CD7-0147-4B98-B6C2-2D3A4B2DE342}"/>
    <cellStyle name="Currency 5 2 2 4" xfId="2330" xr:uid="{69B2DBE4-629F-4E1B-9A20-418574543B00}"/>
    <cellStyle name="Currency 5 2 3" xfId="2601" xr:uid="{CEF5C006-A67F-4111-B9A8-A19F10E411FD}"/>
    <cellStyle name="Currency 5 2 3 2" xfId="14388" xr:uid="{DDF6E6E0-8C08-4718-84E5-481D70737474}"/>
    <cellStyle name="Currency 5 2 4" xfId="8359" xr:uid="{969401B6-9E67-49DE-9FE4-23D8D6EFAB97}"/>
    <cellStyle name="Currency 5 2 4 2" xfId="14530" xr:uid="{7E21B034-76B0-4EED-B9E5-3E6EA8798CDE}"/>
    <cellStyle name="Currency 5 2 5" xfId="14172" xr:uid="{808ED630-495D-4D19-8EE9-0EFC9CCCAD2A}"/>
    <cellStyle name="Currency 5 2 6" xfId="2140" xr:uid="{EA37FC57-E06C-49AC-9552-8089EF2A1E5B}"/>
    <cellStyle name="Currency 5 3" xfId="935" xr:uid="{64615AF9-3F66-4774-BD34-C9F7028CA86F}"/>
    <cellStyle name="Currency 5 3 2" xfId="8510" xr:uid="{623AA58C-DC92-4E1A-9770-24A4C17EF2A0}"/>
    <cellStyle name="Currency 5 3 2 2" xfId="14592" xr:uid="{F8A6E51B-D13B-4AB5-A852-5BCEF521E0C0}"/>
    <cellStyle name="Currency 5 3 3" xfId="14234" xr:uid="{63EC928D-BBD4-4F21-B128-E70D0F4C65FE}"/>
    <cellStyle name="Currency 5 3 4" xfId="2296" xr:uid="{5A91C8EE-2A12-46DE-993E-771134E26BCF}"/>
    <cellStyle name="Currency 5 4" xfId="2571" xr:uid="{C36414FF-BB59-4BB8-95B2-D77B6E01ABA1}"/>
    <cellStyle name="Currency 5 4 2" xfId="14358" xr:uid="{3D13B4F8-3904-4DD1-8D72-5C58D34E131B}"/>
    <cellStyle name="Currency 5 5" xfId="8329" xr:uid="{BEFA58FD-6522-4146-8415-9E90DCCABDA2}"/>
    <cellStyle name="Currency 5 5 2" xfId="14500" xr:uid="{E59DC821-DEF5-4893-9028-1C9714F749B2}"/>
    <cellStyle name="Currency 5 6" xfId="14142" xr:uid="{59148B6E-833B-46FB-BFF2-B2EC261DA507}"/>
    <cellStyle name="Currency 5 7" xfId="2095" xr:uid="{BB71D8BB-1887-44F3-B035-FFE8A04520F5}"/>
    <cellStyle name="Currency 50" xfId="534" xr:uid="{416BDC47-A29A-4B79-A1FD-EE743AEF9ADC}"/>
    <cellStyle name="Currency 50 2" xfId="1029" xr:uid="{404AE414-C0F8-4B0A-B2FF-C79750ECE38C}"/>
    <cellStyle name="Currency 50 2 2" xfId="3849" xr:uid="{656EF650-26B5-4F3C-96CF-4B49383CDA04}"/>
    <cellStyle name="Currency 50 2 2 2" xfId="15202" xr:uid="{D8B0E89A-4888-4BA6-B482-AD60EE13942E}"/>
    <cellStyle name="Currency 50 2 3" xfId="6820" xr:uid="{F5B49FD6-CF9D-41E1-8BB2-889711BB2636}"/>
    <cellStyle name="Currency 50 2 3 2" xfId="15597" xr:uid="{71CAE3FA-E145-4D18-88E2-28D2728EB62E}"/>
    <cellStyle name="Currency 50 2 4" xfId="14946" xr:uid="{72749EC9-6066-4394-9DF1-548C5597D9BB}"/>
    <cellStyle name="Currency 50 3" xfId="3369" xr:uid="{C52AF33C-636B-47C6-8F48-BB9B53B20632}"/>
    <cellStyle name="Currency 50 3 2" xfId="15078" xr:uid="{7A7E0BFF-15EB-4D7F-9204-91B24E223151}"/>
    <cellStyle name="Currency 50 4" xfId="4536" xr:uid="{906F9AEB-D217-4811-97C1-7C1295BB2D37}"/>
    <cellStyle name="Currency 50 4 2" xfId="15336" xr:uid="{89DB1C07-4A3F-45C1-BFAE-B0F08BBDD1E7}"/>
    <cellStyle name="Currency 50 5" xfId="5471" xr:uid="{FFF0BBF5-E6BB-407E-926D-4774827F6795}"/>
    <cellStyle name="Currency 50 5 2" xfId="15453" xr:uid="{76CDDB2B-34CA-4E78-8804-5BCF82985FC8}"/>
    <cellStyle name="Currency 50 6" xfId="14822" xr:uid="{4D646442-4366-4712-8713-9D9ED590F875}"/>
    <cellStyle name="Currency 51" xfId="536" xr:uid="{9111B065-0621-4214-9A81-70AF61AA3B8D}"/>
    <cellStyle name="Currency 51 2" xfId="1031" xr:uid="{940FB4C3-F728-4963-963D-2C0AE97F2281}"/>
    <cellStyle name="Currency 51 2 2" xfId="14443" xr:uid="{5C2CAEC5-4596-43DF-901F-E41C7E487694}"/>
    <cellStyle name="Currency 51 2 3" xfId="2716" xr:uid="{4FAC3F83-864F-491C-9B51-CA374B2DFA7B}"/>
    <cellStyle name="Currency 51 3" xfId="5502" xr:uid="{10248C91-C098-4D79-8BA4-8E639E0671BA}"/>
    <cellStyle name="Currency 51 3 2" xfId="15484" xr:uid="{F871A4F0-A38A-446C-A7DA-400B84C57577}"/>
    <cellStyle name="Currency 51 4" xfId="8677" xr:uid="{580B1366-AE94-45B0-8D37-D28E66C65279}"/>
    <cellStyle name="Currency 51 4 2" xfId="14677" xr:uid="{4CDBB510-3B2F-42AE-9ACE-038B7B6AFAE0}"/>
    <cellStyle name="Currency 51 5" xfId="14319" xr:uid="{646A7169-778B-4095-8C7A-AD1374674A27}"/>
    <cellStyle name="Currency 51 6" xfId="2463" xr:uid="{4916C91C-1EEA-4C71-895C-9923E4C72D6B}"/>
    <cellStyle name="Currency 52" xfId="538" xr:uid="{77FD0437-187A-498C-B99A-710BFE6FBE0B}"/>
    <cellStyle name="Currency 52 2" xfId="1033" xr:uid="{90ED428F-E6F1-4FD8-BA36-4CC6A408D260}"/>
    <cellStyle name="Currency 52 2 2" xfId="14447" xr:uid="{FDAA2483-BEEA-4AD8-A926-06E4C3F8B303}"/>
    <cellStyle name="Currency 52 2 3" xfId="2720" xr:uid="{7791F590-06D5-471B-B42E-4DEC5BA37825}"/>
    <cellStyle name="Currency 52 3" xfId="5506" xr:uid="{5EA16ED4-5E7A-423D-A619-2E172ED5574D}"/>
    <cellStyle name="Currency 52 3 2" xfId="15488" xr:uid="{234E0706-0485-41A4-A84D-7A1E42CB6C88}"/>
    <cellStyle name="Currency 52 4" xfId="8681" xr:uid="{7B6642A3-9BB6-4412-8AD9-ABEA18BB187A}"/>
    <cellStyle name="Currency 52 4 2" xfId="14681" xr:uid="{0AF06CBA-2024-478D-B382-4B82DB2A280D}"/>
    <cellStyle name="Currency 52 5" xfId="14323" xr:uid="{C4044D43-0FC2-49F1-98DE-FCCEFE6B95C2}"/>
    <cellStyle name="Currency 52 6" xfId="2467" xr:uid="{556242FA-ACDB-41A7-BD58-4890C39CA0FE}"/>
    <cellStyle name="Currency 53" xfId="540" xr:uid="{54ED8F5E-4F6F-4D15-8C74-652840ADB799}"/>
    <cellStyle name="Currency 53 2" xfId="1035" xr:uid="{EA066838-5988-4B4C-88A0-E5B5392B1144}"/>
    <cellStyle name="Currency 53 2 2" xfId="14448" xr:uid="{00E0FC80-9255-418A-A4F0-BC9A774B17B2}"/>
    <cellStyle name="Currency 53 2 3" xfId="2721" xr:uid="{38141F03-2010-4992-A091-0EEDB458D974}"/>
    <cellStyle name="Currency 53 3" xfId="5507" xr:uid="{D7AF4AB9-C6CF-4218-A1D4-58BFB3D2D6F9}"/>
    <cellStyle name="Currency 53 3 2" xfId="15489" xr:uid="{592FDCCC-A820-4DCE-95E1-6D7AC9F154EA}"/>
    <cellStyle name="Currency 53 4" xfId="8682" xr:uid="{C519094B-2B4B-4F32-8B87-4345AB785873}"/>
    <cellStyle name="Currency 53 4 2" xfId="14682" xr:uid="{34BC1171-6A0E-470C-8633-188944FC4963}"/>
    <cellStyle name="Currency 53 5" xfId="14324" xr:uid="{58D6B72B-5A22-440B-8BC7-ED317779B9D9}"/>
    <cellStyle name="Currency 53 6" xfId="2468" xr:uid="{0B707C06-BAFF-438A-8CC6-5BB1830D8C3C}"/>
    <cellStyle name="Currency 54" xfId="542" xr:uid="{0B9197F9-1128-4D5E-81EF-2CD6100D0301}"/>
    <cellStyle name="Currency 54 2" xfId="1037" xr:uid="{5A97E3DF-ABFF-417E-B8A5-79EAA54C21B6}"/>
    <cellStyle name="Currency 54 2 2" xfId="14450" xr:uid="{7BF5D493-8FD8-4EE7-993E-1988E308632E}"/>
    <cellStyle name="Currency 54 2 3" xfId="2723" xr:uid="{075FF6C5-E4CE-4D0E-9346-125BD507C5EF}"/>
    <cellStyle name="Currency 54 3" xfId="5510" xr:uid="{F8F0F1AB-A142-428D-81E0-5FD925E6BD48}"/>
    <cellStyle name="Currency 54 3 2" xfId="15492" xr:uid="{6393BAD3-30E4-4E6D-BC78-9FE6563A8CA7}"/>
    <cellStyle name="Currency 54 4" xfId="8684" xr:uid="{F01E04F4-C569-48C8-8F9C-F734F8B86CB1}"/>
    <cellStyle name="Currency 54 4 2" xfId="14684" xr:uid="{B35F68CB-4868-44D1-9006-6DCC886D28A6}"/>
    <cellStyle name="Currency 54 5" xfId="14326" xr:uid="{0828BDFF-F822-444E-B4A7-CBBDD8F64142}"/>
    <cellStyle name="Currency 54 6" xfId="2470" xr:uid="{896716E8-E764-40E1-AEDB-F196F6B48D2A}"/>
    <cellStyle name="Currency 55" xfId="544" xr:uid="{CC46437B-F8F3-477E-B2CB-C1DE19759DBF}"/>
    <cellStyle name="Currency 55 2" xfId="1039" xr:uid="{A6D14EE8-BDDE-45CA-B48B-3DD68B2579C3}"/>
    <cellStyle name="Currency 55 2 2" xfId="14452" xr:uid="{99459064-373A-4218-AF8B-92FA109B2F90}"/>
    <cellStyle name="Currency 55 2 3" xfId="2725" xr:uid="{66062420-1B9D-48F2-BEF5-AF78FFC86BB4}"/>
    <cellStyle name="Currency 55 3" xfId="5514" xr:uid="{53B904AB-BB0C-49D6-BE20-36BAA37BEE2E}"/>
    <cellStyle name="Currency 55 3 2" xfId="15496" xr:uid="{6828073F-F15A-4054-BB01-CFC511978507}"/>
    <cellStyle name="Currency 55 4" xfId="8686" xr:uid="{D17D7BDC-6982-4CA0-B931-D1C20CAAA87C}"/>
    <cellStyle name="Currency 55 4 2" xfId="14686" xr:uid="{227C75C3-1983-48B1-BD9F-404251847B7D}"/>
    <cellStyle name="Currency 55 5" xfId="14328" xr:uid="{30902FB0-E45E-4BBF-AD56-3984DE2B377C}"/>
    <cellStyle name="Currency 55 6" xfId="2472" xr:uid="{FEBB57EE-170E-4FB9-884A-97F91DEC72E9}"/>
    <cellStyle name="Currency 56" xfId="546" xr:uid="{57D63887-DD44-49BD-BB9D-06619C5B4760}"/>
    <cellStyle name="Currency 56 2" xfId="1041" xr:uid="{C60533D2-FED7-4FC9-A885-5E7D60DC5EA0}"/>
    <cellStyle name="Currency 56 2 2" xfId="14454" xr:uid="{B7D9492B-F278-4502-AFBF-75757BE2381D}"/>
    <cellStyle name="Currency 56 2 3" xfId="2727" xr:uid="{7B706F8F-8609-4A53-AF32-EA781F39DF4C}"/>
    <cellStyle name="Currency 56 3" xfId="5515" xr:uid="{2C8323DA-CFFD-4FF4-964D-43F58E06A20B}"/>
    <cellStyle name="Currency 56 3 2" xfId="15497" xr:uid="{0F93E70C-DDA2-4C86-9B53-2857CC4D49B1}"/>
    <cellStyle name="Currency 56 4" xfId="8688" xr:uid="{3D09199F-A5CC-4F5E-BEE3-AF2EF2169DF2}"/>
    <cellStyle name="Currency 56 4 2" xfId="14688" xr:uid="{1B2C8FC0-37D9-4CC1-9763-905C611C20CB}"/>
    <cellStyle name="Currency 56 5" xfId="14330" xr:uid="{F27FE1F6-7954-4C8C-9BF2-7E929B1D1315}"/>
    <cellStyle name="Currency 56 6" xfId="2474" xr:uid="{3E5C3D43-C7BC-4C6B-957F-0BA2FAA1CE47}"/>
    <cellStyle name="Currency 57" xfId="548" xr:uid="{965F0888-A762-4E3F-8EC6-639CEA1A5D39}"/>
    <cellStyle name="Currency 57 2" xfId="1043" xr:uid="{32CE33FA-5DEB-466E-B163-A86A88020B0A}"/>
    <cellStyle name="Currency 57 2 2" xfId="14456" xr:uid="{CCA18837-AD3A-4CC1-8856-D94909C3FF42}"/>
    <cellStyle name="Currency 57 2 3" xfId="2729" xr:uid="{47329103-C12E-46FC-8836-302AF0D0256F}"/>
    <cellStyle name="Currency 57 3" xfId="5517" xr:uid="{808BCD72-1BC0-4992-B10F-21542ABAD925}"/>
    <cellStyle name="Currency 57 3 2" xfId="15499" xr:uid="{402E8067-C041-43E9-A33E-B1D76135B53C}"/>
    <cellStyle name="Currency 57 4" xfId="8690" xr:uid="{5AC152BE-4CDC-4275-87CF-E8FAF5448CFC}"/>
    <cellStyle name="Currency 57 4 2" xfId="14690" xr:uid="{F0D5C875-2EEB-4470-A8C3-465CDEB8C217}"/>
    <cellStyle name="Currency 57 5" xfId="14332" xr:uid="{BC64F782-72C4-49B0-BC2C-5A3FACEF87D2}"/>
    <cellStyle name="Currency 57 6" xfId="2476" xr:uid="{6EC3B431-3C34-432F-8FB5-B76B0437CAFB}"/>
    <cellStyle name="Currency 58" xfId="550" xr:uid="{FB9C677B-97EF-44E8-9137-6CE75251E4F4}"/>
    <cellStyle name="Currency 58 2" xfId="1045" xr:uid="{D561C085-55B7-4C9B-802C-6331DBCF5370}"/>
    <cellStyle name="Currency 58 2 2" xfId="14458" xr:uid="{BF5AF156-4335-4D95-972F-E4EF03DD5580}"/>
    <cellStyle name="Currency 58 2 3" xfId="2731" xr:uid="{9412BD16-5C07-44F1-AA6C-CC6F18277566}"/>
    <cellStyle name="Currency 58 3" xfId="5519" xr:uid="{72EF11BD-D931-4481-AC5C-BA8D33AB0CEB}"/>
    <cellStyle name="Currency 58 3 2" xfId="15501" xr:uid="{37CEE25F-9632-48D6-918A-107261CF0338}"/>
    <cellStyle name="Currency 58 4" xfId="8692" xr:uid="{6768A121-82A5-4BB8-B60B-EBEDFE53DC22}"/>
    <cellStyle name="Currency 58 4 2" xfId="14692" xr:uid="{BEFEDF73-45D5-4CD0-BA85-98AAD06030AA}"/>
    <cellStyle name="Currency 58 5" xfId="14334" xr:uid="{7B18750A-0982-4D9A-866F-306A4BC58CDC}"/>
    <cellStyle name="Currency 58 6" xfId="2478" xr:uid="{6B8ECAFB-B200-422B-8204-EEEFB1AD282B}"/>
    <cellStyle name="Currency 59" xfId="552" xr:uid="{FB4FF120-B08E-484C-9E63-0CD4222DF3B1}"/>
    <cellStyle name="Currency 59 2" xfId="1047" xr:uid="{40E4F522-13D3-4C29-B6F4-658522F59D73}"/>
    <cellStyle name="Currency 59 2 2" xfId="14460" xr:uid="{0C31DE93-E915-4707-B8FE-885F3E50B2BC}"/>
    <cellStyle name="Currency 59 2 3" xfId="2733" xr:uid="{554DDDF7-5D7C-4F42-BC14-54ABD4A53658}"/>
    <cellStyle name="Currency 59 3" xfId="5521" xr:uid="{D556CB18-407F-4E01-94B7-39D840F7B6AB}"/>
    <cellStyle name="Currency 59 3 2" xfId="15503" xr:uid="{BBD878A5-555E-4881-828E-C7417D318021}"/>
    <cellStyle name="Currency 59 4" xfId="8694" xr:uid="{3548988C-C2BA-480A-90BE-2C62BDA0928C}"/>
    <cellStyle name="Currency 59 4 2" xfId="14694" xr:uid="{C70B866E-F92E-41D7-8F75-AA01F85F3D57}"/>
    <cellStyle name="Currency 59 5" xfId="14336" xr:uid="{68108F23-5D95-4409-BA6C-D9876A721D5F}"/>
    <cellStyle name="Currency 59 6" xfId="2480" xr:uid="{B1EAC178-6758-4B68-ADE3-BA5B8BEF6829}"/>
    <cellStyle name="Currency 6" xfId="441" xr:uid="{F386D634-19E1-4BA4-A29C-7EE285064E90}"/>
    <cellStyle name="Currency 6 2" xfId="672" xr:uid="{2EC015C9-E5C2-41FA-A69B-1DCFC4B69B18}"/>
    <cellStyle name="Currency 6 2 2" xfId="1166" xr:uid="{E3D8E699-BE02-4B5F-9EE6-6BFD692BDB56}"/>
    <cellStyle name="Currency 6 2 2 2" xfId="8546" xr:uid="{2054F332-B44F-4E07-9F34-623CB2E03624}"/>
    <cellStyle name="Currency 6 2 2 2 2" xfId="14624" xr:uid="{37FD0DD1-1A3F-4BC4-94E1-548C926B5383}"/>
    <cellStyle name="Currency 6 2 2 3" xfId="14266" xr:uid="{46F03B74-C4D0-4658-ACBA-49A6129E355E}"/>
    <cellStyle name="Currency 6 2 2 4" xfId="2332" xr:uid="{DA66BDA9-BA63-4166-8E6A-C0E9BE3AA3C8}"/>
    <cellStyle name="Currency 6 2 3" xfId="2603" xr:uid="{C85DF97C-C5DB-4975-8AE6-A803FAC20BC7}"/>
    <cellStyle name="Currency 6 2 3 2" xfId="14390" xr:uid="{126B8868-CFAF-4563-848E-5E2BF2EEDED7}"/>
    <cellStyle name="Currency 6 2 4" xfId="8361" xr:uid="{BBBE9882-E2A0-4D95-A85D-10CC6FAB7DC4}"/>
    <cellStyle name="Currency 6 2 4 2" xfId="14532" xr:uid="{06744309-8A1D-4696-968C-AE208FC4CF59}"/>
    <cellStyle name="Currency 6 2 5" xfId="14174" xr:uid="{A1E30546-2215-442A-89A3-B12D8160CD3D}"/>
    <cellStyle name="Currency 6 2 6" xfId="2142" xr:uid="{6B11507F-F4DB-4C96-9750-F277469252C1}"/>
    <cellStyle name="Currency 6 3" xfId="937" xr:uid="{C683AB18-950B-4287-8AF4-C3D957C553F6}"/>
    <cellStyle name="Currency 6 3 2" xfId="8512" xr:uid="{B178E8C3-B440-4398-87D4-55DAFF857E99}"/>
    <cellStyle name="Currency 6 3 2 2" xfId="14594" xr:uid="{6448587C-F6E8-47A6-8E26-293E89B90B69}"/>
    <cellStyle name="Currency 6 3 3" xfId="14236" xr:uid="{6449696F-5C84-4A8B-830D-414BE424627B}"/>
    <cellStyle name="Currency 6 3 4" xfId="2298" xr:uid="{924E4619-046A-4148-B392-CEC2B058CB16}"/>
    <cellStyle name="Currency 6 4" xfId="2573" xr:uid="{8CF9006F-EB0D-4B41-A19C-87ABAAD0B509}"/>
    <cellStyle name="Currency 6 4 2" xfId="14360" xr:uid="{FF0AA38C-8FD2-41B6-9F79-5ABEF81662A6}"/>
    <cellStyle name="Currency 6 5" xfId="8331" xr:uid="{92847F3F-1355-4417-A201-E50D9E1939D2}"/>
    <cellStyle name="Currency 6 5 2" xfId="14502" xr:uid="{ED21C044-1F2E-4F8C-85A5-A963E5CA81F2}"/>
    <cellStyle name="Currency 6 6" xfId="14144" xr:uid="{E4FE3A6D-9698-42E8-B5EC-AEE49AC68A2C}"/>
    <cellStyle name="Currency 6 7" xfId="2097" xr:uid="{4AFDF82B-935C-45E6-B7BF-9F6C66313510}"/>
    <cellStyle name="Currency 60" xfId="554" xr:uid="{AB9FF78B-16B9-420C-B2C8-65560BF62248}"/>
    <cellStyle name="Currency 60 2" xfId="1049" xr:uid="{B0DA7E34-A06A-411D-9FD1-C6FD7B151E9F}"/>
    <cellStyle name="Currency 60 2 2" xfId="14462" xr:uid="{52A1FE2C-0A16-422A-8137-C447A6A73CC7}"/>
    <cellStyle name="Currency 60 2 3" xfId="2735" xr:uid="{25A21AE7-0A38-40D2-A45C-39774EB628CE}"/>
    <cellStyle name="Currency 60 3" xfId="8696" xr:uid="{6E2A6B7B-F8F5-4DD6-85AB-5E82086CF7E0}"/>
    <cellStyle name="Currency 60 3 2" xfId="14696" xr:uid="{4D0FBE85-AB43-425A-921F-065FB1C614C4}"/>
    <cellStyle name="Currency 60 4" xfId="14338" xr:uid="{B8029687-A432-470C-8279-1B7667D06ED2}"/>
    <cellStyle name="Currency 60 5" xfId="2482" xr:uid="{35B46BB5-D1DD-499F-B24A-A7EA756056CF}"/>
    <cellStyle name="Currency 61" xfId="556" xr:uid="{522D1D05-286A-4B0C-89E5-2D7916CE2849}"/>
    <cellStyle name="Currency 61 2" xfId="1051" xr:uid="{26531583-6020-4362-B1FD-72856D2D4D0C}"/>
    <cellStyle name="Currency 61 2 2" xfId="14464" xr:uid="{5B29CDE7-C1E0-4E1A-B95B-F36CF1882849}"/>
    <cellStyle name="Currency 61 2 3" xfId="2737" xr:uid="{88E2C23B-E9E9-4B6E-A3DC-70AFC2E15CCE}"/>
    <cellStyle name="Currency 61 3" xfId="8698" xr:uid="{49D11C16-CD90-4971-8EE2-13B301F3C7BB}"/>
    <cellStyle name="Currency 61 3 2" xfId="14698" xr:uid="{38A68C37-54D8-4566-B0A9-C7DD1282E674}"/>
    <cellStyle name="Currency 61 4" xfId="14340" xr:uid="{C230A332-F979-42E4-860F-FC3A095B8BEF}"/>
    <cellStyle name="Currency 61 5" xfId="2484" xr:uid="{06D025EB-8296-48CF-847F-7FD32922C351}"/>
    <cellStyle name="Currency 62" xfId="558" xr:uid="{792A9C9C-D572-4616-A563-9349A17C57AC}"/>
    <cellStyle name="Currency 62 2" xfId="1053" xr:uid="{B2046268-676A-4883-A5FF-0454A199EFEB}"/>
    <cellStyle name="Currency 62 2 2" xfId="14467" xr:uid="{1E0820DC-8A4E-4A9C-BCEA-E74FF60E7C99}"/>
    <cellStyle name="Currency 62 2 3" xfId="2740" xr:uid="{AA51E365-D792-4911-A0D1-C6DAF2D9161E}"/>
    <cellStyle name="Currency 62 3" xfId="8701" xr:uid="{1999F7F7-511D-42E5-8A21-FEF59A77506E}"/>
    <cellStyle name="Currency 62 3 2" xfId="14701" xr:uid="{D608FFB0-43D5-45E5-B84A-4EC488D650EE}"/>
    <cellStyle name="Currency 62 4" xfId="14343" xr:uid="{B9C3D147-B881-4547-961F-98C70AFD3D2B}"/>
    <cellStyle name="Currency 62 5" xfId="2487" xr:uid="{1788BCFD-730C-440C-BD3D-A136C83A46F4}"/>
    <cellStyle name="Currency 63" xfId="560" xr:uid="{5E5E34DB-677F-4D3D-8D2C-8B28105CD8F5}"/>
    <cellStyle name="Currency 63 2" xfId="1055" xr:uid="{9BB3DF58-7BCC-4543-9E5A-D57980061DEB}"/>
    <cellStyle name="Currency 63 2 2" xfId="14468" xr:uid="{6BE2C345-EA10-4592-AF51-F02F032C55FF}"/>
    <cellStyle name="Currency 63 2 3" xfId="2741" xr:uid="{339FB5BB-A93C-450D-879E-DA7AF4E4CB38}"/>
    <cellStyle name="Currency 63 3" xfId="8702" xr:uid="{722FB799-9793-46BB-BE60-D57FFDDA63EA}"/>
    <cellStyle name="Currency 63 3 2" xfId="14702" xr:uid="{5A8197BB-9518-415F-BD81-C56CE69506A7}"/>
    <cellStyle name="Currency 63 4" xfId="14344" xr:uid="{AE83A815-58D8-46E0-9E79-9CD80B4CA12D}"/>
    <cellStyle name="Currency 63 5" xfId="2488" xr:uid="{CC0F6698-41E5-4871-B6C5-E2557D612279}"/>
    <cellStyle name="Currency 64" xfId="562" xr:uid="{D6E02F64-6C7C-4504-9FC6-921E3F1077D1}"/>
    <cellStyle name="Currency 64 2" xfId="1057" xr:uid="{C562B7B4-E32B-4348-AD36-2526A810CFCE}"/>
    <cellStyle name="Currency 64 2 2" xfId="14470" xr:uid="{41484D8E-C9C2-4D07-8147-1C3122AF53C1}"/>
    <cellStyle name="Currency 64 2 3" xfId="2743" xr:uid="{CDD50F11-61A8-4EB3-9A2A-1293D2E9654F}"/>
    <cellStyle name="Currency 64 3" xfId="8704" xr:uid="{5F686E17-C419-4C99-AA40-AE29A714DD71}"/>
    <cellStyle name="Currency 64 3 2" xfId="14704" xr:uid="{EF93EB62-C581-4513-AA57-8DACF891497A}"/>
    <cellStyle name="Currency 64 4" xfId="14346" xr:uid="{044E56C7-BD74-48A7-A5FA-8105848F0CD9}"/>
    <cellStyle name="Currency 64 5" xfId="2490" xr:uid="{BA7D4958-C670-4813-A9A0-127A102C8827}"/>
    <cellStyle name="Currency 65" xfId="564" xr:uid="{784B86CF-4B5B-42DC-B54F-7C36154ED45C}"/>
    <cellStyle name="Currency 65 2" xfId="1059" xr:uid="{4C6FA165-181E-4EF6-82CA-F82AEE052877}"/>
    <cellStyle name="Currency 65 2 2" xfId="14472" xr:uid="{F09BB40F-BEF2-475E-A234-2E361B35242A}"/>
    <cellStyle name="Currency 65 2 3" xfId="2745" xr:uid="{59359856-3ADC-42C7-87E9-671C01A8D951}"/>
    <cellStyle name="Currency 65 3" xfId="8706" xr:uid="{352835D7-D02E-45D8-84CA-CCE1F04F1A0A}"/>
    <cellStyle name="Currency 65 3 2" xfId="14706" xr:uid="{E53A9D1F-A2AE-4B6C-B234-A247DF056690}"/>
    <cellStyle name="Currency 65 4" xfId="14348" xr:uid="{667963C5-723C-4D51-98B3-CDE6F2A330D6}"/>
    <cellStyle name="Currency 65 5" xfId="2492" xr:uid="{710BFD6D-E341-4D54-8032-EC7C21405838}"/>
    <cellStyle name="Currency 66" xfId="566" xr:uid="{52D58415-3329-48AB-94E5-646E8C8697B8}"/>
    <cellStyle name="Currency 66 2" xfId="1061" xr:uid="{5C664490-96A3-48E4-874A-3F86304F07C4}"/>
    <cellStyle name="Currency 66 2 2" xfId="4060" xr:uid="{CB669D69-680A-4B36-B759-66C98D430DA7}"/>
    <cellStyle name="Currency 66 2 2 2" xfId="15233" xr:uid="{597E9E41-C668-4C65-BC11-3D28C71A1C4C}"/>
    <cellStyle name="Currency 66 2 3" xfId="7031" xr:uid="{CF2C0570-ED5B-4174-B4E2-696B34A5FAF1}"/>
    <cellStyle name="Currency 66 2 3 2" xfId="15628" xr:uid="{8AEE1F31-6B72-4E20-850B-DE80BB348786}"/>
    <cellStyle name="Currency 66 2 4" xfId="14977" xr:uid="{9E7F9338-3F65-447A-8022-904C8ADB64DA}"/>
    <cellStyle name="Currency 66 3" xfId="3580" xr:uid="{83B51A28-0FCE-40F9-A0A0-E944748371ED}"/>
    <cellStyle name="Currency 66 3 2" xfId="15109" xr:uid="{FA0E4C50-C92E-473E-8876-A64B68F151D1}"/>
    <cellStyle name="Currency 66 4" xfId="4777" xr:uid="{027CAF39-801C-4BF3-A0DA-E0600F1DC8E2}"/>
    <cellStyle name="Currency 66 4 2" xfId="15368" xr:uid="{D00B3821-83E0-40BB-B4A0-D28153947A16}"/>
    <cellStyle name="Currency 66 5" xfId="5959" xr:uid="{1D346C35-70CD-438C-99E0-906D11A970CA}"/>
    <cellStyle name="Currency 66 5 2" xfId="15506" xr:uid="{1D5CFE2B-A5B7-4172-A8F9-7BF53C1A3B25}"/>
    <cellStyle name="Currency 66 6" xfId="14853" xr:uid="{08DE82CF-4D21-4FCC-A736-49F7154B5D9F}"/>
    <cellStyle name="Currency 67" xfId="568" xr:uid="{EB4C0D7F-46C1-4447-8BE3-6BEF413BB79C}"/>
    <cellStyle name="Currency 67 2" xfId="1063" xr:uid="{31070C02-13DC-433F-A176-E9469D08391B}"/>
    <cellStyle name="Currency 67 2 2" xfId="4064" xr:uid="{E5C900F1-1060-438B-83A3-84D656044CA1}"/>
    <cellStyle name="Currency 67 2 2 2" xfId="15237" xr:uid="{3F59E4AC-FC30-491D-9DAC-2856EC5D6615}"/>
    <cellStyle name="Currency 67 2 3" xfId="7035" xr:uid="{9639513D-7111-4928-B606-98269C9D8E1C}"/>
    <cellStyle name="Currency 67 2 3 2" xfId="15632" xr:uid="{32EEE4C1-13D3-4EC6-A1D8-E6C83F60D779}"/>
    <cellStyle name="Currency 67 2 4" xfId="14981" xr:uid="{2F900919-DB99-4860-8095-E86A1BB0C175}"/>
    <cellStyle name="Currency 67 3" xfId="3584" xr:uid="{B553C3B2-4B0B-4D47-8E87-BE148EA9A8C5}"/>
    <cellStyle name="Currency 67 3 2" xfId="15113" xr:uid="{575EF5DA-6DDF-487B-9FC2-B91EB063184B}"/>
    <cellStyle name="Currency 67 4" xfId="4781" xr:uid="{68682C73-6876-40BC-A949-763EB6201B75}"/>
    <cellStyle name="Currency 67 4 2" xfId="15372" xr:uid="{C1AABF28-C953-4309-BA31-AFAC9A035E8B}"/>
    <cellStyle name="Currency 67 5" xfId="5963" xr:uid="{109ED353-8041-461B-A0C9-A2C31A0A093B}"/>
    <cellStyle name="Currency 67 5 2" xfId="15508" xr:uid="{41EA3400-7AC9-4BFF-813E-66A727B8D87C}"/>
    <cellStyle name="Currency 67 6" xfId="14857" xr:uid="{36760D5B-E2FB-40A9-8825-67C855737A95}"/>
    <cellStyle name="Currency 68" xfId="570" xr:uid="{2F5F9E21-1BC3-4847-95D6-54BA3E291C11}"/>
    <cellStyle name="Currency 68 2" xfId="1065" xr:uid="{53C9A7DA-373A-4AC2-97FE-E2273A4259E4}"/>
    <cellStyle name="Currency 68 2 2" xfId="4065" xr:uid="{29412A1B-195D-45A8-9081-ECE075519F95}"/>
    <cellStyle name="Currency 68 2 2 2" xfId="15238" xr:uid="{D0846728-6259-4364-AEAD-F0047D1B80EA}"/>
    <cellStyle name="Currency 68 2 3" xfId="7036" xr:uid="{1AA52B89-121C-4A77-99DE-9410FCF93746}"/>
    <cellStyle name="Currency 68 2 3 2" xfId="15633" xr:uid="{32C38768-6520-4218-B48E-070604589840}"/>
    <cellStyle name="Currency 68 2 4" xfId="14982" xr:uid="{6C07C2B8-2A50-412A-A634-B548194FBC7E}"/>
    <cellStyle name="Currency 68 3" xfId="3585" xr:uid="{DE8C6682-F7E3-4C97-B560-FE9B51AA0987}"/>
    <cellStyle name="Currency 68 3 2" xfId="15114" xr:uid="{5895B8B2-C0B9-46B0-A57C-26F8E7868CBD}"/>
    <cellStyle name="Currency 68 4" xfId="4782" xr:uid="{1A5FC83F-CBBF-4258-96FD-AA8A17919CEE}"/>
    <cellStyle name="Currency 68 4 2" xfId="15373" xr:uid="{E31D6993-2548-4FCF-B0FD-465B919D5664}"/>
    <cellStyle name="Currency 68 5" xfId="5964" xr:uid="{2457250C-6734-4567-BB7E-73BB43C18456}"/>
    <cellStyle name="Currency 68 5 2" xfId="15509" xr:uid="{183A9805-C6ED-4BBB-AE0F-31BC8CCD5259}"/>
    <cellStyle name="Currency 68 6" xfId="14858" xr:uid="{0AEF0DF4-5699-4696-A638-172346D5F0E8}"/>
    <cellStyle name="Currency 69" xfId="572" xr:uid="{987FF7AF-2A67-4A74-81D1-B8530DC4573F}"/>
    <cellStyle name="Currency 69 2" xfId="1067" xr:uid="{15869C21-41B9-40A3-BAE4-1A24D3A0C376}"/>
    <cellStyle name="Currency 69 2 2" xfId="4067" xr:uid="{F76134D0-E923-496A-BC92-A295F0332E35}"/>
    <cellStyle name="Currency 69 2 2 2" xfId="15240" xr:uid="{8F5D7CE0-24F2-42ED-8ED8-ECC390099EE8}"/>
    <cellStyle name="Currency 69 2 3" xfId="7038" xr:uid="{D6C1EDD3-33FD-4056-9040-02E722D3C49E}"/>
    <cellStyle name="Currency 69 2 3 2" xfId="15635" xr:uid="{877D3C31-FE2C-4278-9EB8-94CFBA6020C5}"/>
    <cellStyle name="Currency 69 2 4" xfId="14984" xr:uid="{4254B7A9-7C97-40E3-8390-98EC4EA84838}"/>
    <cellStyle name="Currency 69 3" xfId="3587" xr:uid="{41EEB05B-F34A-47C8-A16D-754C4E6DBA36}"/>
    <cellStyle name="Currency 69 3 2" xfId="15116" xr:uid="{5560326A-7AEC-4703-A576-6DA92655C525}"/>
    <cellStyle name="Currency 69 4" xfId="4784" xr:uid="{F21996FA-8A89-4D94-807D-34C199573C50}"/>
    <cellStyle name="Currency 69 4 2" xfId="15375" xr:uid="{B024E85B-6734-4EEC-A22B-35ADC2187049}"/>
    <cellStyle name="Currency 69 5" xfId="5966" xr:uid="{32812D3C-A3DD-4A19-AF6E-4D41226FBB3E}"/>
    <cellStyle name="Currency 69 5 2" xfId="15511" xr:uid="{5F8BB1AC-C24F-45F1-AB4C-22B6236CE3CD}"/>
    <cellStyle name="Currency 69 6" xfId="14860" xr:uid="{BB3A8D0A-949F-4F48-AF97-8452AF6C5466}"/>
    <cellStyle name="Currency 7" xfId="443" xr:uid="{64458C71-029C-4D60-8C6C-14059D222859}"/>
    <cellStyle name="Currency 7 2" xfId="674" xr:uid="{C29D2094-9ECB-4E44-8AF1-BBC5B12A5C5E}"/>
    <cellStyle name="Currency 7 2 2" xfId="1168" xr:uid="{AFA3EAF3-57A3-46C0-9F9E-3D7C53C8C6FA}"/>
    <cellStyle name="Currency 7 2 2 2" xfId="8548" xr:uid="{0770CB62-AD2F-4AAC-B289-CC44DA997F4B}"/>
    <cellStyle name="Currency 7 2 2 2 2" xfId="14626" xr:uid="{00F46DB3-7F90-4D7C-BE6A-D3ACEA79876C}"/>
    <cellStyle name="Currency 7 2 2 3" xfId="14268" xr:uid="{3928F4B0-5D2C-4CCB-9B39-EA37FE166A3C}"/>
    <cellStyle name="Currency 7 2 2 4" xfId="2334" xr:uid="{91A52C71-7CB4-45C2-9F36-FDD6D595D0D3}"/>
    <cellStyle name="Currency 7 2 3" xfId="2605" xr:uid="{4CC65253-CD2E-4515-A521-30471878C0DB}"/>
    <cellStyle name="Currency 7 2 3 2" xfId="14392" xr:uid="{B9D3FAB9-E673-424B-9615-4E5CE878CB44}"/>
    <cellStyle name="Currency 7 2 4" xfId="8363" xr:uid="{06F55EEA-2ECF-4BA9-8D6C-A5B89401D690}"/>
    <cellStyle name="Currency 7 2 4 2" xfId="14534" xr:uid="{709B1CE2-84B1-4A69-98B5-C7EA51B40299}"/>
    <cellStyle name="Currency 7 2 5" xfId="14176" xr:uid="{646BE8C2-F413-444D-AD8D-FB37449C5E1D}"/>
    <cellStyle name="Currency 7 2 6" xfId="2144" xr:uid="{0CC91936-98DC-40A6-9BF9-8A46C917EEEB}"/>
    <cellStyle name="Currency 7 3" xfId="939" xr:uid="{D1ABF8CB-FB52-43D6-8F7B-A5F3C2A05BC9}"/>
    <cellStyle name="Currency 7 3 2" xfId="8514" xr:uid="{2C53F41E-1BE6-49A6-A925-46BCE014E09B}"/>
    <cellStyle name="Currency 7 3 2 2" xfId="14596" xr:uid="{DBDC7251-0A6A-440C-BB2C-9D68E1F9394C}"/>
    <cellStyle name="Currency 7 3 3" xfId="14238" xr:uid="{28F26BAE-75F8-4B3F-B197-EF102F5C2EDD}"/>
    <cellStyle name="Currency 7 3 4" xfId="2300" xr:uid="{866D1EFA-8EE3-453D-B580-CB624414E0BB}"/>
    <cellStyle name="Currency 7 4" xfId="2575" xr:uid="{8017B07D-7534-4BA1-BD8C-4DC6B1F382E4}"/>
    <cellStyle name="Currency 7 4 2" xfId="14362" xr:uid="{2A54B549-E04D-4DCA-8324-5B9EE707AC43}"/>
    <cellStyle name="Currency 7 5" xfId="8333" xr:uid="{EB3C410C-E949-4A67-9FB2-C087BB220B4F}"/>
    <cellStyle name="Currency 7 5 2" xfId="14504" xr:uid="{FE3EF256-BC5A-42C3-8305-9BB8D0B6C826}"/>
    <cellStyle name="Currency 7 6" xfId="14146" xr:uid="{0767F044-79ED-4D57-A3C2-DBF90E301310}"/>
    <cellStyle name="Currency 7 7" xfId="2099" xr:uid="{49B32287-1710-4823-B96C-91950D027427}"/>
    <cellStyle name="Currency 70" xfId="574" xr:uid="{87622D50-C129-4738-B445-7B936D033F70}"/>
    <cellStyle name="Currency 70 2" xfId="1069" xr:uid="{E7EA665B-B399-4B62-AB62-60492F186FA3}"/>
    <cellStyle name="Currency 70 2 2" xfId="4069" xr:uid="{D21F8D5D-278A-4FB0-B4B1-6124F9EFD2D4}"/>
    <cellStyle name="Currency 70 2 2 2" xfId="15242" xr:uid="{243B62E6-365B-4CFB-A58A-176C35CD5641}"/>
    <cellStyle name="Currency 70 2 3" xfId="7040" xr:uid="{1003157D-BF6E-4A7D-B12C-38BCEBF0A77E}"/>
    <cellStyle name="Currency 70 2 3 2" xfId="15637" xr:uid="{031CACFE-E754-4453-9AB2-9C386A129DF0}"/>
    <cellStyle name="Currency 70 2 4" xfId="14986" xr:uid="{37F5BA83-329A-446B-9A25-6B8DD2BDA6C6}"/>
    <cellStyle name="Currency 70 3" xfId="3589" xr:uid="{ACEEC7D3-E30E-4AFE-93D8-1CB574F370FD}"/>
    <cellStyle name="Currency 70 3 2" xfId="15118" xr:uid="{3B2DAEDD-9327-4672-A963-49DCF6204FAD}"/>
    <cellStyle name="Currency 70 4" xfId="4786" xr:uid="{E980B900-CE23-4F03-AF58-502039B1BE45}"/>
    <cellStyle name="Currency 70 4 2" xfId="15377" xr:uid="{87E31646-B5F8-4F55-A7B7-40F17402FDF3}"/>
    <cellStyle name="Currency 70 5" xfId="5968" xr:uid="{DD102CD2-9DE2-4654-B6EB-383D8D2296E7}"/>
    <cellStyle name="Currency 70 5 2" xfId="15513" xr:uid="{D12007DD-BB58-4756-80C7-4E3163748178}"/>
    <cellStyle name="Currency 70 6" xfId="14862" xr:uid="{D289CC70-10E7-439C-9676-DE865BB90C90}"/>
    <cellStyle name="Currency 71" xfId="576" xr:uid="{BCA1E5ED-4392-4CC8-8EBD-0F9FC0781776}"/>
    <cellStyle name="Currency 71 2" xfId="1071" xr:uid="{55560DCC-0525-4646-A7F7-07B107AC9591}"/>
    <cellStyle name="Currency 71 2 2" xfId="4071" xr:uid="{5703EB18-701D-4D97-9594-63ADA2AF289F}"/>
    <cellStyle name="Currency 71 2 2 2" xfId="15244" xr:uid="{6B0A3A27-5AFA-4766-9DBF-3D67DBA806C4}"/>
    <cellStyle name="Currency 71 2 3" xfId="7042" xr:uid="{27BD3BCA-49DF-4CD8-AC89-CD2614F4500C}"/>
    <cellStyle name="Currency 71 2 3 2" xfId="15639" xr:uid="{1DCA1082-E964-459C-B5A4-B6457215BFBC}"/>
    <cellStyle name="Currency 71 2 4" xfId="14988" xr:uid="{0FD01CE2-7F13-44D4-BF75-6FDE2A0FC5A0}"/>
    <cellStyle name="Currency 71 3" xfId="3591" xr:uid="{A09B4166-6A80-498B-8A96-892304F1A933}"/>
    <cellStyle name="Currency 71 3 2" xfId="15120" xr:uid="{002D1168-CEEA-4351-9E4E-5CAA6088EF83}"/>
    <cellStyle name="Currency 71 4" xfId="4788" xr:uid="{2B5BA3F8-E0E4-4B08-AFB5-E6FDCFDFC084}"/>
    <cellStyle name="Currency 71 4 2" xfId="15379" xr:uid="{7EEAFB17-5A77-4700-8228-368D7A160CCA}"/>
    <cellStyle name="Currency 71 5" xfId="5970" xr:uid="{F34C1B58-789F-4AA4-9376-F9C62924BA6D}"/>
    <cellStyle name="Currency 71 5 2" xfId="15515" xr:uid="{353CCBDF-62B0-4196-9085-D402B37C1C7C}"/>
    <cellStyle name="Currency 71 6" xfId="14864" xr:uid="{742EFF1A-096A-4205-9BB7-9F75E4460F8E}"/>
    <cellStyle name="Currency 72" xfId="578" xr:uid="{D5CC90F4-07BF-4591-9AF7-02BB552671D5}"/>
    <cellStyle name="Currency 72 2" xfId="1073" xr:uid="{38DE26E9-7645-4104-B774-06D2044C795B}"/>
    <cellStyle name="Currency 72 2 2" xfId="4073" xr:uid="{E4FBC96C-6B07-4F82-A578-2F9EEAE3C140}"/>
    <cellStyle name="Currency 72 2 2 2" xfId="15246" xr:uid="{343BE33A-FCC0-4194-8263-799A455EB508}"/>
    <cellStyle name="Currency 72 2 3" xfId="7044" xr:uid="{06840C59-AEF5-4C18-8C39-34D826C8CA25}"/>
    <cellStyle name="Currency 72 2 3 2" xfId="15641" xr:uid="{8A4B10C2-2F53-408E-BE41-2D223F4CC3CF}"/>
    <cellStyle name="Currency 72 2 4" xfId="14990" xr:uid="{A74CA194-3391-4662-A8BC-397195FC4FE7}"/>
    <cellStyle name="Currency 72 3" xfId="3593" xr:uid="{0CD4173B-A66D-4523-86E9-96C0FCE9222C}"/>
    <cellStyle name="Currency 72 3 2" xfId="15122" xr:uid="{67726335-DAF9-425E-972A-B551A8C2F277}"/>
    <cellStyle name="Currency 72 4" xfId="4790" xr:uid="{88EC1C3C-AC49-47A1-B503-D41748B77609}"/>
    <cellStyle name="Currency 72 4 2" xfId="15381" xr:uid="{C0524FD7-B948-4B59-97CA-375E8536162E}"/>
    <cellStyle name="Currency 72 5" xfId="5972" xr:uid="{34408C97-A9A2-4A0D-A4CF-C09E44231B78}"/>
    <cellStyle name="Currency 72 5 2" xfId="15517" xr:uid="{D5FC2AA5-D045-4CA1-8FA7-0B1DB3E542C5}"/>
    <cellStyle name="Currency 72 6" xfId="14866" xr:uid="{1183ACB1-1745-4972-8778-3C9D8904036C}"/>
    <cellStyle name="Currency 73" xfId="580" xr:uid="{81B149EF-0A49-4539-86D2-88364B367C3F}"/>
    <cellStyle name="Currency 73 2" xfId="1075" xr:uid="{BCCCAF57-94E0-4A47-80F7-DF8F5FDF03C2}"/>
    <cellStyle name="Currency 73 2 2" xfId="4075" xr:uid="{413D6A5E-62D9-49C7-B527-547DB68CB3B3}"/>
    <cellStyle name="Currency 73 2 2 2" xfId="15248" xr:uid="{F80B2263-ACC5-4787-B887-D065478B8DC9}"/>
    <cellStyle name="Currency 73 2 3" xfId="7046" xr:uid="{4533661B-A1D2-4B76-B203-A62980DF467B}"/>
    <cellStyle name="Currency 73 2 3 2" xfId="15643" xr:uid="{05A134CA-301A-4AD8-BF20-0EB89139FC3B}"/>
    <cellStyle name="Currency 73 2 4" xfId="14992" xr:uid="{AF63642E-02EF-4496-A985-5C4A602129EE}"/>
    <cellStyle name="Currency 73 3" xfId="3595" xr:uid="{3DB1EF73-2CA2-477D-AD0F-4AF80F158F71}"/>
    <cellStyle name="Currency 73 3 2" xfId="15124" xr:uid="{BC9C1B06-FCDC-446D-A83D-A0DC2825B56A}"/>
    <cellStyle name="Currency 73 4" xfId="4792" xr:uid="{C948FC21-B4F9-4EA1-AC77-D9E8670F66DE}"/>
    <cellStyle name="Currency 73 4 2" xfId="15383" xr:uid="{A9CDCF87-62BB-47E3-BAD7-2119E486D623}"/>
    <cellStyle name="Currency 73 5" xfId="5974" xr:uid="{13D08E27-797D-4CA5-83D4-9BE93E54F246}"/>
    <cellStyle name="Currency 73 5 2" xfId="15519" xr:uid="{23766F3F-B759-4FB2-B2F2-D77FD89EC7A3}"/>
    <cellStyle name="Currency 73 6" xfId="14868" xr:uid="{31948CF1-CBC1-4733-9FBA-677F49031506}"/>
    <cellStyle name="Currency 74" xfId="582" xr:uid="{305868C2-103E-4E99-875E-BDB3B85BF17A}"/>
    <cellStyle name="Currency 74 2" xfId="1077" xr:uid="{79CCD2A4-6842-4582-AF2D-A89B9A933BA4}"/>
    <cellStyle name="Currency 74 2 2" xfId="4198" xr:uid="{86A715CD-2249-418C-B36D-F9AC9AD58B18}"/>
    <cellStyle name="Currency 74 2 2 2" xfId="15251" xr:uid="{A8285E67-7EE6-4442-AB8C-88A21EAE576A}"/>
    <cellStyle name="Currency 74 2 3" xfId="7169" xr:uid="{6EBF0517-8DAC-49E4-92CC-47929971D468}"/>
    <cellStyle name="Currency 74 2 3 2" xfId="15646" xr:uid="{45CF52D5-9948-4278-BA0B-CDB0E90CE201}"/>
    <cellStyle name="Currency 74 2 4" xfId="14995" xr:uid="{978490B2-976F-4432-A418-4C104A1C6F6A}"/>
    <cellStyle name="Currency 74 3" xfId="3718" xr:uid="{C8BFB11E-1CD3-4951-A6D6-7655C06F91C9}"/>
    <cellStyle name="Currency 74 3 2" xfId="15127" xr:uid="{717D2FD0-106F-4C56-A326-8312F0E15A30}"/>
    <cellStyle name="Currency 74 4" xfId="6175" xr:uid="{585F0138-5564-48CB-B655-81DDA946AB92}"/>
    <cellStyle name="Currency 74 4 2" xfId="15522" xr:uid="{54CBD2ED-3E1C-47E8-B9CA-BC3E41A761BF}"/>
    <cellStyle name="Currency 74 5" xfId="14871" xr:uid="{03E44DFF-ABD2-495B-BC81-9A0AA282AC16}"/>
    <cellStyle name="Currency 75" xfId="584" xr:uid="{E71AF742-F88F-45EE-80EB-437678F15753}"/>
    <cellStyle name="Currency 75 2" xfId="1079" xr:uid="{EDBE7B8C-00E5-484F-A4B0-76A05F2C6676}"/>
    <cellStyle name="Currency 75 2 2" xfId="4202" xr:uid="{2AE2C6EE-2C1A-4334-8AD9-D78F22CA0BEF}"/>
    <cellStyle name="Currency 75 2 2 2" xfId="15255" xr:uid="{96C684A3-8959-45A8-9EA7-92C5B9231069}"/>
    <cellStyle name="Currency 75 2 3" xfId="7173" xr:uid="{D8A1E605-DA75-493B-A46F-EF6722787424}"/>
    <cellStyle name="Currency 75 2 3 2" xfId="15650" xr:uid="{F8DC0E61-0CA5-4099-8B1C-8D01E12C1913}"/>
    <cellStyle name="Currency 75 2 4" xfId="14999" xr:uid="{53952384-69A7-4CDB-BDC9-3B77AC97FB36}"/>
    <cellStyle name="Currency 75 3" xfId="3722" xr:uid="{0CA9219A-D670-426A-BD53-5EC872DA4481}"/>
    <cellStyle name="Currency 75 3 2" xfId="15131" xr:uid="{443E5B9C-0A77-4706-81EC-6AC9B63D64BA}"/>
    <cellStyle name="Currency 75 4" xfId="6179" xr:uid="{FC2C7239-C39C-4D36-BF8B-E97715641215}"/>
    <cellStyle name="Currency 75 4 2" xfId="15526" xr:uid="{C39B0880-8C49-47AF-A135-9A1847C295EF}"/>
    <cellStyle name="Currency 75 5" xfId="14875" xr:uid="{8D3982AF-F61C-40D6-A20F-E2DBD6EF4194}"/>
    <cellStyle name="Currency 76" xfId="586" xr:uid="{EB97265B-2620-4655-B31C-21DEFBB96A4E}"/>
    <cellStyle name="Currency 76 2" xfId="1081" xr:uid="{5154C0E6-EA9B-4A24-B11D-AB0EC5E8164C}"/>
    <cellStyle name="Currency 76 2 2" xfId="4203" xr:uid="{A8D08384-4CCE-47E4-AE42-0499C1B5C532}"/>
    <cellStyle name="Currency 76 2 2 2" xfId="15256" xr:uid="{F8AA5856-3AC3-497B-99E3-A0F539E52485}"/>
    <cellStyle name="Currency 76 2 3" xfId="7174" xr:uid="{44021B7F-4CA7-4769-9EF6-C420EA8189D6}"/>
    <cellStyle name="Currency 76 2 3 2" xfId="15651" xr:uid="{1A107E66-ABD6-4211-A9FE-BCEEB8DC8CA5}"/>
    <cellStyle name="Currency 76 2 4" xfId="15000" xr:uid="{684F4C74-2BAC-45CB-9A7F-D336D7C43D66}"/>
    <cellStyle name="Currency 76 3" xfId="3723" xr:uid="{C42DD4BF-8C80-4D34-82CF-BBDA281DB17C}"/>
    <cellStyle name="Currency 76 3 2" xfId="15132" xr:uid="{BFFF193A-8F4F-4AFB-BBD3-FB6634B0CFFE}"/>
    <cellStyle name="Currency 76 4" xfId="6180" xr:uid="{88343D90-3E9F-4122-8E39-CDC6C1B10ABE}"/>
    <cellStyle name="Currency 76 4 2" xfId="15527" xr:uid="{17C35B6E-0042-45E2-A4FB-D460F2F258F0}"/>
    <cellStyle name="Currency 76 5" xfId="14876" xr:uid="{E395CD89-0166-4DE7-974F-E36B45BCDC7E}"/>
    <cellStyle name="Currency 77" xfId="588" xr:uid="{A1DD492A-8A52-44A5-A031-431260E0B831}"/>
    <cellStyle name="Currency 77 2" xfId="1083" xr:uid="{904C4FC2-E816-4C7F-BC73-5B7D0556CDF3}"/>
    <cellStyle name="Currency 77 2 2" xfId="14475" xr:uid="{61F5A8F1-F509-485C-B26C-6ACF413519F0}"/>
    <cellStyle name="Currency 77 3" xfId="2808" xr:uid="{8E5FC9F2-D645-499A-A71E-D72698683707}"/>
    <cellStyle name="Currency 78" xfId="590" xr:uid="{EF9C0A2F-1AA5-4F66-AD2E-E47330B9DC7B}"/>
    <cellStyle name="Currency 78 2" xfId="1085" xr:uid="{CB308AB7-62B0-4DD8-BEBD-6A4C6FDF7AC6}"/>
    <cellStyle name="Currency 78 2 2" xfId="14479" xr:uid="{B90B64C4-CB6D-4468-8E2F-2EF544264B9B}"/>
    <cellStyle name="Currency 78 3" xfId="2812" xr:uid="{A93D2847-53DF-4FFF-B4A6-6A66B88FF7AF}"/>
    <cellStyle name="Currency 79" xfId="592" xr:uid="{359D0C71-D940-48A9-926D-DBAB237CD3FF}"/>
    <cellStyle name="Currency 79 2" xfId="1087" xr:uid="{2803E289-C42A-4784-884B-167CD9069122}"/>
    <cellStyle name="Currency 79 2 2" xfId="14480" xr:uid="{77B26C77-58E1-4329-AAB6-EACF4954A3A9}"/>
    <cellStyle name="Currency 79 3" xfId="2813" xr:uid="{2D0C5673-27E8-4BE0-831B-CD63E25BBA14}"/>
    <cellStyle name="Currency 8" xfId="445" xr:uid="{A7C6A3F1-5615-45FB-8B23-6C91D75F356C}"/>
    <cellStyle name="Currency 8 2" xfId="676" xr:uid="{E1DC43A9-1AB6-4C82-BA2C-F58A0AF96B2A}"/>
    <cellStyle name="Currency 8 2 2" xfId="1170" xr:uid="{CF049D70-1288-4804-BC50-D5E2C96ACA87}"/>
    <cellStyle name="Currency 8 2 2 2" xfId="8550" xr:uid="{3F73445D-B24F-4F73-9F2B-271FB23E2CF5}"/>
    <cellStyle name="Currency 8 2 2 2 2" xfId="14628" xr:uid="{C6CA3CE6-0658-4756-8EC1-6CFF7066A904}"/>
    <cellStyle name="Currency 8 2 2 3" xfId="14270" xr:uid="{680E8BEF-DB06-4FFE-B06F-47F36A0A9118}"/>
    <cellStyle name="Currency 8 2 2 4" xfId="2336" xr:uid="{880A5FDF-2239-4AC1-821D-B3D4BAE83A44}"/>
    <cellStyle name="Currency 8 2 3" xfId="2607" xr:uid="{89AB83D6-956F-4DFD-8F06-88D01F62278C}"/>
    <cellStyle name="Currency 8 2 3 2" xfId="14394" xr:uid="{54E20D42-CB7E-42E7-84FC-54E1ECECFD03}"/>
    <cellStyle name="Currency 8 2 4" xfId="8365" xr:uid="{1B3C9F32-21C4-41C1-865E-09125B14F633}"/>
    <cellStyle name="Currency 8 2 4 2" xfId="14536" xr:uid="{D4EEE8A1-5D10-4E20-B783-6A77FCE4D23B}"/>
    <cellStyle name="Currency 8 2 5" xfId="14178" xr:uid="{9A4C4830-AE6E-478C-B883-9A60A1EAC56B}"/>
    <cellStyle name="Currency 8 2 6" xfId="2146" xr:uid="{8EC440D4-6EEA-4AA4-891C-C96B62E4645B}"/>
    <cellStyle name="Currency 8 3" xfId="941" xr:uid="{01D77F97-9A6B-4307-B62F-097153923D6C}"/>
    <cellStyle name="Currency 8 3 2" xfId="8516" xr:uid="{D0F0E530-A113-4405-8E25-FB99820D9F53}"/>
    <cellStyle name="Currency 8 3 2 2" xfId="14598" xr:uid="{67BB4B7B-141A-4833-AAA2-84E69BE71D7E}"/>
    <cellStyle name="Currency 8 3 3" xfId="14240" xr:uid="{13E34975-732D-48F1-8471-814C9FBC85DB}"/>
    <cellStyle name="Currency 8 3 4" xfId="2302" xr:uid="{3E3A3EFF-D343-4751-8BCA-41E5A73BABAF}"/>
    <cellStyle name="Currency 8 4" xfId="2577" xr:uid="{D7683071-BC52-4E58-BFB4-15992FB2E053}"/>
    <cellStyle name="Currency 8 4 2" xfId="14364" xr:uid="{3B0C3CC8-1559-40CC-B4F0-9DA56370874C}"/>
    <cellStyle name="Currency 8 5" xfId="8335" xr:uid="{F04E6596-6284-4732-833B-9C951C649580}"/>
    <cellStyle name="Currency 8 5 2" xfId="14506" xr:uid="{57D4CFF9-7C24-4CE7-B002-473AF47F5182}"/>
    <cellStyle name="Currency 8 6" xfId="14148" xr:uid="{EC9CDC93-ABEB-43B8-A1D0-321AF6B571A0}"/>
    <cellStyle name="Currency 8 7" xfId="2101" xr:uid="{5087FE2C-F908-4450-A4DD-9416E9E5AAEF}"/>
    <cellStyle name="Currency 80" xfId="594" xr:uid="{CB2303DD-5D79-4692-9152-B36E45959039}"/>
    <cellStyle name="Currency 80 2" xfId="1089" xr:uid="{B47DAD06-E345-4A40-ACD4-0B7EDDCC6646}"/>
    <cellStyle name="Currency 80 2 2" xfId="15135" xr:uid="{3F1CE836-E8B5-418C-AABA-A3E5B6BB8298}"/>
    <cellStyle name="Currency 80 3" xfId="6693" xr:uid="{A97E73BC-8575-445A-BACA-4C72776C33BD}"/>
    <cellStyle name="Currency 80 3 2" xfId="15530" xr:uid="{1A92799B-A0E9-40FF-A7D5-A2DF0EAD611B}"/>
    <cellStyle name="Currency 80 4" xfId="14879" xr:uid="{8CA4373F-21F6-4796-8997-1AA5F2A2E63A}"/>
    <cellStyle name="Currency 81" xfId="596" xr:uid="{88B5C46C-0A08-48E6-BA7D-CA601E1B5DE5}"/>
    <cellStyle name="Currency 81 2" xfId="1091" xr:uid="{6E8D645E-AEB3-4E67-A1D9-1240238E9FBF}"/>
    <cellStyle name="Currency 81 2 2" xfId="15259" xr:uid="{22397420-8910-48E9-B33C-7329CDB99982}"/>
    <cellStyle name="Currency 81 3" xfId="7177" xr:uid="{E67C713F-D0DA-4E79-813F-99CC3BD284F4}"/>
    <cellStyle name="Currency 81 3 2" xfId="15654" xr:uid="{77C1EB0F-75D0-4D36-A279-A8349157782C}"/>
    <cellStyle name="Currency 81 4" xfId="15003" xr:uid="{7235E8C1-083F-4197-9D43-E7A77B3D9DF5}"/>
    <cellStyle name="Currency 82" xfId="598" xr:uid="{70EA3C4C-E3D9-49CD-9E8C-87EDD299BB69}"/>
    <cellStyle name="Currency 82 2" xfId="1093" xr:uid="{712665E9-F297-4160-9C47-86CC4A609F64}"/>
    <cellStyle name="Currency 82 2 2" xfId="15263" xr:uid="{FDE4B4C4-D39F-4E26-BCBB-6BB196423857}"/>
    <cellStyle name="Currency 82 3" xfId="7181" xr:uid="{F880558E-F661-48D8-8DA7-BFD416672E17}"/>
    <cellStyle name="Currency 82 3 2" xfId="15658" xr:uid="{D25D6EA6-8E87-4572-9E59-1856D1A69A9A}"/>
    <cellStyle name="Currency 82 4" xfId="15007" xr:uid="{213E8F93-7543-4D12-93A3-41360AC78D37}"/>
    <cellStyle name="Currency 83" xfId="601" xr:uid="{67957DCF-C73D-44A5-8FF7-C0B5727024E9}"/>
    <cellStyle name="Currency 83 2" xfId="1096" xr:uid="{07A1DAFD-A27E-41A9-8558-56DC924EF73C}"/>
    <cellStyle name="Currency 83 2 2" xfId="15264" xr:uid="{74EB3825-C18A-4C82-9FC2-2FA626183080}"/>
    <cellStyle name="Currency 83 3" xfId="7182" xr:uid="{752BA5CA-DDC0-4BF3-A139-63E5802134D2}"/>
    <cellStyle name="Currency 83 3 2" xfId="15659" xr:uid="{156A1C21-024D-42E1-8F4B-304B92A1C69A}"/>
    <cellStyle name="Currency 83 4" xfId="15008" xr:uid="{C85E3B4F-450F-4F7D-9875-7A3EDC16EB0F}"/>
    <cellStyle name="Currency 84" xfId="605" xr:uid="{97B351A8-12B3-4603-8C39-14A3107BB0FC}"/>
    <cellStyle name="Currency 84 2" xfId="1100" xr:uid="{63730D4F-8FC1-4331-BE87-36CF2178EAA0}"/>
    <cellStyle name="Currency 84 2 2" xfId="15662" xr:uid="{5AF286FD-F448-4B02-B298-ED62799AEA88}"/>
    <cellStyle name="Currency 84 3" xfId="14483" xr:uid="{9FCF70A5-4F3D-431E-B42C-378CD5812924}"/>
    <cellStyle name="Currency 84 4" xfId="3240" xr:uid="{ABC5239A-75C7-497D-B5FD-A492748C6B8F}"/>
    <cellStyle name="Currency 85" xfId="606" xr:uid="{0D9ED3BE-469A-4ED0-A039-AA1928C12C67}"/>
    <cellStyle name="Currency 85 2" xfId="1101" xr:uid="{3B64819C-35C5-4E82-A71C-19363E3E3D78}"/>
    <cellStyle name="Currency 85 2 2" xfId="15663" xr:uid="{55791BD9-EDE7-490F-8C46-A73EA6724271}"/>
    <cellStyle name="Currency 85 3" xfId="14487" xr:uid="{03E7996B-49AC-4FEB-85A5-396F96D53EB8}"/>
    <cellStyle name="Currency 85 4" xfId="3244" xr:uid="{F7D0D8E3-64B9-4274-9663-790C3181399D}"/>
    <cellStyle name="Currency 86" xfId="608" xr:uid="{5A61716E-8D99-448C-B39A-0745622A3F99}"/>
    <cellStyle name="Currency 86 2" xfId="1103" xr:uid="{48226BB6-E08E-425D-AB38-BDADD5D72D18}"/>
    <cellStyle name="Currency 86 2 2" xfId="15665" xr:uid="{96B2AC9E-EEF2-4EE7-93E0-F279B4590BDA}"/>
    <cellStyle name="Currency 86 3" xfId="15011" xr:uid="{8A3B848E-BB68-4C39-8234-EB61F8779E51}"/>
    <cellStyle name="Currency 87" xfId="610" xr:uid="{AFD3CE73-1E56-41C2-8A77-B566CAF16136}"/>
    <cellStyle name="Currency 87 2" xfId="1105" xr:uid="{36921A0C-4DAD-47BA-AA28-43EAC984843F}"/>
    <cellStyle name="Currency 87 2 2" xfId="15667" xr:uid="{42105AAE-D38A-4315-B1BC-56B5021D3482}"/>
    <cellStyle name="Currency 87 3" xfId="14489" xr:uid="{18099732-C701-42AB-9883-6672F4CB31BC}"/>
    <cellStyle name="Currency 87 4" xfId="4323" xr:uid="{21A9542A-AFD2-4760-9BCC-364AA557CB5D}"/>
    <cellStyle name="Currency 88" xfId="612" xr:uid="{CC5577D0-24BC-4825-A0F2-0FEB939C9F50}"/>
    <cellStyle name="Currency 88 2" xfId="1107" xr:uid="{09F77881-EB87-4AC3-8C40-B40CCCDCA25F}"/>
    <cellStyle name="Currency 88 2 2" xfId="15669" xr:uid="{0A11402A-28B0-4413-AFD2-148CC546CF29}"/>
    <cellStyle name="Currency 88 3" xfId="15268" xr:uid="{9CABFD06-84D9-4F10-A7A7-EFDF7BD47493}"/>
    <cellStyle name="Currency 89" xfId="614" xr:uid="{963DF411-E6AD-4F82-A93F-3E3F543047C7}"/>
    <cellStyle name="Currency 89 2" xfId="1109" xr:uid="{6CBFC8FC-0157-4BF8-8030-1B8B2D312E5A}"/>
    <cellStyle name="Currency 89 2 2" xfId="15671" xr:uid="{ADCD36B1-94C0-4613-B1DC-C51ABAE528A9}"/>
    <cellStyle name="Currency 89 3" xfId="15367" xr:uid="{C2EC6287-7451-4B87-99D1-56AEC0D0A36A}"/>
    <cellStyle name="Currency 9" xfId="447" xr:uid="{725925BC-DDFF-49FB-B2BD-6C95668A6B3C}"/>
    <cellStyle name="Currency 9 2" xfId="678" xr:uid="{C8857481-65AA-46A2-8862-9C85E3B315CC}"/>
    <cellStyle name="Currency 9 2 2" xfId="1172" xr:uid="{D8468A82-3A9E-43AD-BF4A-B58CEBFF192B}"/>
    <cellStyle name="Currency 9 2 2 2" xfId="8552" xr:uid="{109E65DB-C537-4B98-B42E-17F25ADD3A5D}"/>
    <cellStyle name="Currency 9 2 2 2 2" xfId="14630" xr:uid="{8639753D-6DD5-4D15-8190-E3C5F80601A5}"/>
    <cellStyle name="Currency 9 2 2 3" xfId="14272" xr:uid="{13CEE136-3E15-457D-B14A-0C2938ECCAD9}"/>
    <cellStyle name="Currency 9 2 2 4" xfId="2338" xr:uid="{E1203E3D-5ADE-4964-9E53-23A851F5F90E}"/>
    <cellStyle name="Currency 9 2 3" xfId="2609" xr:uid="{86FE8E3E-A1E8-494F-9B20-F4AD6FAF3D8B}"/>
    <cellStyle name="Currency 9 2 3 2" xfId="14396" xr:uid="{E6F6AD9D-A2AC-4223-A588-D80B16B29CB8}"/>
    <cellStyle name="Currency 9 2 4" xfId="8367" xr:uid="{5F331D9E-9241-430B-9AFD-6BB495EC2333}"/>
    <cellStyle name="Currency 9 2 4 2" xfId="14538" xr:uid="{7FD0F181-F365-4990-8527-0DCBB955F8EF}"/>
    <cellStyle name="Currency 9 2 5" xfId="14180" xr:uid="{E6C4EB8B-C39A-4E9B-A0C4-7B1538EC9ADE}"/>
    <cellStyle name="Currency 9 2 6" xfId="2148" xr:uid="{3863AA00-C9C7-4DE0-AC2B-87F80BD14A39}"/>
    <cellStyle name="Currency 9 3" xfId="943" xr:uid="{FF633FBF-9F9E-4088-9D48-9BA359D42229}"/>
    <cellStyle name="Currency 9 3 2" xfId="8518" xr:uid="{29D70F67-500F-49C7-81AA-D504D35EFE53}"/>
    <cellStyle name="Currency 9 3 2 2" xfId="14600" xr:uid="{0E73C209-2B10-41A1-840B-7DDB0BE89F35}"/>
    <cellStyle name="Currency 9 3 3" xfId="14242" xr:uid="{7A6F3ABF-DDB7-4571-8007-A04D99811FA2}"/>
    <cellStyle name="Currency 9 3 4" xfId="2304" xr:uid="{6FBEEB81-FFBC-4695-99A0-91544A4A650D}"/>
    <cellStyle name="Currency 9 4" xfId="2579" xr:uid="{62B3BE03-353F-4287-A9F3-73E5D45DCFB6}"/>
    <cellStyle name="Currency 9 4 2" xfId="14366" xr:uid="{CEB79548-B6AE-4C57-B0EB-53230036EF1E}"/>
    <cellStyle name="Currency 9 5" xfId="8337" xr:uid="{CF828173-808F-4A6E-B5C3-C150BFE00819}"/>
    <cellStyle name="Currency 9 5 2" xfId="14508" xr:uid="{9130095A-A0DE-4C95-87F8-0C3166C88A14}"/>
    <cellStyle name="Currency 9 6" xfId="14150" xr:uid="{B16B38C0-9044-4BBB-ADAD-778934CEC3A2}"/>
    <cellStyle name="Currency 9 7" xfId="2103" xr:uid="{EB573680-FF37-4C50-96F0-48B7C5BA141D}"/>
    <cellStyle name="Currency 90" xfId="616" xr:uid="{52BCC5EA-1348-40B1-B6AE-1CD18102963A}"/>
    <cellStyle name="Currency 90 2" xfId="1111" xr:uid="{4426C7D0-4786-4059-9063-2597EDC8ED32}"/>
    <cellStyle name="Currency 90 2 2" xfId="15673" xr:uid="{219D0E37-7BA0-4C8E-8B4E-C710D3DD2224}"/>
    <cellStyle name="Currency 90 3" xfId="15387" xr:uid="{68155D98-E896-4AF1-A22F-101D2D4D6CA4}"/>
    <cellStyle name="Currency 91" xfId="618" xr:uid="{1C80D5C4-A6D7-40EC-99D8-1274E25E5C7E}"/>
    <cellStyle name="Currency 91 2" xfId="1113" xr:uid="{5E8551B2-4C1F-4EAF-B647-70387527BDFA}"/>
    <cellStyle name="Currency 92" xfId="620" xr:uid="{0C7D1406-0AF6-4A80-A682-461A420CEAB4}"/>
    <cellStyle name="Currency 92 2" xfId="1115" xr:uid="{7A904048-81DA-408C-A134-3485F2B68F21}"/>
    <cellStyle name="Currency 93" xfId="622" xr:uid="{EF387CED-C080-4E49-BD59-7D62BBAC19C1}"/>
    <cellStyle name="Currency 93 2" xfId="1117" xr:uid="{1E0420B3-031E-49FF-9400-DAECA90618E6}"/>
    <cellStyle name="Currency 94" xfId="624" xr:uid="{436651E0-5FCD-42FC-9D23-F7D0B8690BD4}"/>
    <cellStyle name="Currency 94 2" xfId="1119" xr:uid="{06C90998-D1C4-4B70-987B-2AA5A06FAD5A}"/>
    <cellStyle name="Currency 95" xfId="626" xr:uid="{3999C0F9-0D48-481E-BB4A-1EAF9D42ED03}"/>
    <cellStyle name="Currency 95 2" xfId="1121" xr:uid="{12B9F650-4E95-443C-9897-A529C3C6E495}"/>
    <cellStyle name="Currency 96" xfId="628" xr:uid="{D6EA2BF4-E473-4B00-9F04-7819E979B783}"/>
    <cellStyle name="Currency 96 2" xfId="1123" xr:uid="{37E91552-4A0A-4167-8C78-C9732E63CCF9}"/>
    <cellStyle name="Currency 97" xfId="630" xr:uid="{2FE90363-24AD-45C4-83C4-103D4D590954}"/>
    <cellStyle name="Currency 97 2" xfId="1125" xr:uid="{CCAED155-E0BA-49DE-9367-6F9E866CBE83}"/>
    <cellStyle name="Currency 98" xfId="632" xr:uid="{32A99DE4-F94C-417F-B78C-6A8C125589A6}"/>
    <cellStyle name="Currency 98 2" xfId="1127" xr:uid="{F07723F9-76E2-40AF-ACA6-C0188531EB4E}"/>
    <cellStyle name="Currency 99" xfId="634" xr:uid="{91128FF2-4299-4039-9589-AE78E7DDB474}"/>
    <cellStyle name="Currency 99 2" xfId="1129" xr:uid="{BE48B12B-8475-4700-82B4-2C7844B32BAC}"/>
    <cellStyle name="Currency0" xfId="1729" xr:uid="{3C9D8A9C-076D-45F2-9D50-D2C406419E3B}"/>
    <cellStyle name="Currency0 2" xfId="15679" xr:uid="{410DC79C-AED4-4924-9EC6-963420B6F8AC}"/>
    <cellStyle name="Date" xfId="1730" xr:uid="{BBA13C37-6D2A-4E55-A788-363D306C4C82}"/>
    <cellStyle name="Date 2" xfId="15680" xr:uid="{F2F62BFE-FD9C-413B-80B4-A49A3A64351D}"/>
    <cellStyle name="ENCABE" xfId="1731" xr:uid="{932D680C-E762-486C-A52E-73EC983E54C0}"/>
    <cellStyle name="Encabezado 1" xfId="7" builtinId="16" customBuiltin="1"/>
    <cellStyle name="Encabezado 1 2" xfId="2034" xr:uid="{CEA69B30-43ED-43B9-97E4-E7CD172C445F}"/>
    <cellStyle name="Encabezado 1 3" xfId="1632" xr:uid="{8B881278-53F9-42EF-9576-DD044E42B872}"/>
    <cellStyle name="Encabezado 2" xfId="1732" xr:uid="{33D17E96-5534-4D07-9E58-3724BD2612F1}"/>
    <cellStyle name="Encabezado 4" xfId="10" builtinId="19" customBuiltin="1"/>
    <cellStyle name="Encabezado 4 2" xfId="260" xr:uid="{1A5AED8E-CA1B-4312-BF2D-7FAA8E9C92AF}"/>
    <cellStyle name="Encabezado 4 2 2" xfId="4235" xr:uid="{BDB8C229-EA81-4EB9-B851-969D98C9FD7F}"/>
    <cellStyle name="Encabezado 4 3" xfId="4272" xr:uid="{47A9D1FB-203B-4A19-8D5E-8DABAF209BAB}"/>
    <cellStyle name="Encabezado 4 4" xfId="4293" xr:uid="{1C32463F-13EC-43F4-90F1-4FA3B11FF7FB}"/>
    <cellStyle name="Énfasis1" xfId="23" builtinId="29" customBuiltin="1"/>
    <cellStyle name="Énfasis1 2" xfId="261" xr:uid="{3208BF44-AE81-4115-BE54-BA7372352879}"/>
    <cellStyle name="Énfasis1 2 2" xfId="361" xr:uid="{25BCD2D9-5904-444F-A1D2-D419155AD796}"/>
    <cellStyle name="Énfasis1 2 2 2" xfId="4236" xr:uid="{2E780190-4348-4183-B2C2-49CD45E9F8BF}"/>
    <cellStyle name="Énfasis1 2 3" xfId="326" xr:uid="{2B821096-BB43-4F22-A714-16D0480C165D}"/>
    <cellStyle name="Énfasis1 3" xfId="1733" xr:uid="{9DDEE3EE-01A7-4993-9024-30762A636405}"/>
    <cellStyle name="Énfasis1 3 2" xfId="4294" xr:uid="{019F2330-B11A-45F1-9B5A-2333FBC5B09C}"/>
    <cellStyle name="Énfasis2" xfId="27" builtinId="33" customBuiltin="1"/>
    <cellStyle name="Énfasis2 2" xfId="262" xr:uid="{8BC43FB5-CF43-400B-A4FC-A489FDA9E011}"/>
    <cellStyle name="Énfasis2 2 2" xfId="362" xr:uid="{814396F8-A254-4943-A7E6-B1B97D546108}"/>
    <cellStyle name="Énfasis2 2 2 2" xfId="4237" xr:uid="{15E9F41B-C076-49BA-90E4-9FD0A35EF2E8}"/>
    <cellStyle name="Énfasis2 2 3" xfId="327" xr:uid="{C91BDC95-676A-4C22-9427-26EC3E9E0D28}"/>
    <cellStyle name="Énfasis2 3" xfId="1734" xr:uid="{CA5351C6-B7F4-46F2-BED8-2A86709516A9}"/>
    <cellStyle name="Énfasis2 3 2" xfId="4295" xr:uid="{A76B25AF-437C-4FC2-8853-E5D0A6AF319C}"/>
    <cellStyle name="Énfasis3" xfId="31" builtinId="37" customBuiltin="1"/>
    <cellStyle name="Énfasis3 2" xfId="263" xr:uid="{801D1F9B-CEE2-4BF9-94B1-D5BE60009496}"/>
    <cellStyle name="Énfasis3 2 2" xfId="363" xr:uid="{A3809524-482B-4DD9-BAA3-C9EE6B745DD0}"/>
    <cellStyle name="Énfasis3 2 2 2" xfId="4238" xr:uid="{5EC2A29E-0ED3-4B32-AEBF-30F54A03452C}"/>
    <cellStyle name="Énfasis3 2 3" xfId="328" xr:uid="{287DE510-238F-438E-BA61-C25FD245CDC0}"/>
    <cellStyle name="Énfasis3 3" xfId="1735" xr:uid="{588540FA-ED6C-49AC-9BFA-F734AF48F2AD}"/>
    <cellStyle name="Énfasis3 3 2" xfId="4296" xr:uid="{970E6E22-EF31-4A35-8226-00FDAE361244}"/>
    <cellStyle name="Énfasis4" xfId="35" builtinId="41" customBuiltin="1"/>
    <cellStyle name="Énfasis4 2" xfId="264" xr:uid="{E7CB3790-DF53-4F09-8688-0D5E869E5D7F}"/>
    <cellStyle name="Énfasis4 2 2" xfId="364" xr:uid="{12A0480D-22EF-4DBD-A237-BF8D70633250}"/>
    <cellStyle name="Énfasis4 2 2 2" xfId="4239" xr:uid="{2E732B91-9739-484C-A170-BF7E0B9D3CB5}"/>
    <cellStyle name="Énfasis4 2 3" xfId="329" xr:uid="{D7F889F7-528E-486B-A540-725D4F76FE9C}"/>
    <cellStyle name="Énfasis4 3" xfId="1736" xr:uid="{15E0F219-2E93-4083-8BF8-7B8B54B33268}"/>
    <cellStyle name="Énfasis4 3 2" xfId="4297" xr:uid="{9459A75C-87A4-46EE-9E4F-D90F60129FE1}"/>
    <cellStyle name="Énfasis5" xfId="39" builtinId="45" customBuiltin="1"/>
    <cellStyle name="Énfasis5 2" xfId="265" xr:uid="{C9CB3761-AE2F-4CBB-B352-06811E9C909C}"/>
    <cellStyle name="Énfasis5 2 2" xfId="365" xr:uid="{D642760A-3736-4231-818A-AA9A3E68FF63}"/>
    <cellStyle name="Énfasis5 2 2 2" xfId="4240" xr:uid="{D847D315-0E42-4802-9E38-604362397283}"/>
    <cellStyle name="Énfasis5 2 3" xfId="330" xr:uid="{65E10BA0-ACAD-4B81-BF45-E4E2BEA23754}"/>
    <cellStyle name="Énfasis5 3" xfId="1737" xr:uid="{2BDEFE25-9013-4FA5-BB6F-7E10622BAD82}"/>
    <cellStyle name="Énfasis5 3 2" xfId="4298" xr:uid="{4C00A59C-DB8F-4259-A3DB-CEDE1EF38381}"/>
    <cellStyle name="Énfasis6" xfId="43" builtinId="49" customBuiltin="1"/>
    <cellStyle name="Énfasis6 2" xfId="266" xr:uid="{8832C085-C4C2-456E-9FAF-69056B700832}"/>
    <cellStyle name="Énfasis6 2 2" xfId="366" xr:uid="{2616B942-B2AF-4D79-85F1-CE9488FC7E78}"/>
    <cellStyle name="Énfasis6 2 2 2" xfId="4241" xr:uid="{5FFBD607-A233-417C-AE89-F762B731C1B0}"/>
    <cellStyle name="Énfasis6 2 3" xfId="331" xr:uid="{490250DB-DCF1-4B49-B94F-73D14552417C}"/>
    <cellStyle name="Énfasis6 3" xfId="1738" xr:uid="{E022F257-20B5-4B1E-A34B-CFE8C64405CB}"/>
    <cellStyle name="Énfasis6 3 2" xfId="4299" xr:uid="{5351C9C1-12EF-438C-AE43-D607694639C2}"/>
    <cellStyle name="Entrada" xfId="14" builtinId="20" customBuiltin="1"/>
    <cellStyle name="Entrada 2" xfId="267" xr:uid="{EF2842FE-BA27-4DCD-9A93-596826C2973C}"/>
    <cellStyle name="Entrada 2 10" xfId="15689" xr:uid="{95857F00-8FEB-43E4-BB0D-01731C9C6BE2}"/>
    <cellStyle name="Entrada 2 2" xfId="367" xr:uid="{04CC610E-1EEB-4589-895A-56A90C7483CA}"/>
    <cellStyle name="Entrada 2 2 2" xfId="1448" xr:uid="{0C53BE4F-BE68-4EBC-9FB6-673EFD4A36A7}"/>
    <cellStyle name="Entrada 2 2 2 2" xfId="1561" xr:uid="{78544C64-5477-4214-9170-5AED0C1235AC}"/>
    <cellStyle name="Entrada 2 2 2 2 10" xfId="4347" xr:uid="{03F8F03E-E30C-41C8-8598-4B124DB1E050}"/>
    <cellStyle name="Entrada 2 2 2 2 10 2" xfId="10307" xr:uid="{2C4D5A4A-2586-474C-A792-F7D63EBEF061}"/>
    <cellStyle name="Entrada 2 2 2 2 11" xfId="4863" xr:uid="{B753A618-EC81-4C71-A9CC-C7052B576A59}"/>
    <cellStyle name="Entrada 2 2 2 2 11 2" xfId="10709" xr:uid="{F7A128A4-C1C6-405F-9928-5C9D8A1043C3}"/>
    <cellStyle name="Entrada 2 2 2 2 12" xfId="5445" xr:uid="{C932BEB3-92AD-441F-8BD4-59766834C7CD}"/>
    <cellStyle name="Entrada 2 2 2 2 12 2" xfId="11239" xr:uid="{45C2E30E-6D88-457E-9821-3EE63BB2A807}"/>
    <cellStyle name="Entrada 2 2 2 2 13" xfId="5613" xr:uid="{9866E30F-22EB-4E1C-B181-31CADBEF4FAB}"/>
    <cellStyle name="Entrada 2 2 2 2 13 2" xfId="11341" xr:uid="{E40609B0-FC95-4059-ACE0-4D8CD28A76FD}"/>
    <cellStyle name="Entrada 2 2 2 2 14" xfId="5267" xr:uid="{18FED6B2-91E8-4846-A8F3-D9A6B48028A3}"/>
    <cellStyle name="Entrada 2 2 2 2 14 2" xfId="11113" xr:uid="{0DA950D7-93A3-4780-9493-DDFEE57FA6A9}"/>
    <cellStyle name="Entrada 2 2 2 2 15" xfId="5883" xr:uid="{73720568-3CA2-4C92-94F5-1757BC21DB18}"/>
    <cellStyle name="Entrada 2 2 2 2 15 2" xfId="11611" xr:uid="{DC58F1AA-6690-4C5F-A53F-296815D5DB30}"/>
    <cellStyle name="Entrada 2 2 2 2 16" xfId="5553" xr:uid="{1FB792AA-CFCE-44E1-8118-70D586B39E73}"/>
    <cellStyle name="Entrada 2 2 2 2 16 2" xfId="11281" xr:uid="{587B4FBA-C01F-47CD-A3F6-7B796445996C}"/>
    <cellStyle name="Entrada 2 2 2 2 17" xfId="6691" xr:uid="{CF74B33D-DB89-469B-833A-9D1F2F2F6E8B}"/>
    <cellStyle name="Entrada 2 2 2 2 17 2" xfId="12395" xr:uid="{9346021F-965E-486D-9896-D425446F825C}"/>
    <cellStyle name="Entrada 2 2 2 2 18" xfId="7265" xr:uid="{92C989C3-82E1-4333-AE98-FBE4E05B3A09}"/>
    <cellStyle name="Entrada 2 2 2 2 18 2" xfId="12837" xr:uid="{987805FF-2FE9-4691-926F-6ABA5E49501C}"/>
    <cellStyle name="Entrada 2 2 2 2 19" xfId="8461" xr:uid="{432F5475-90E0-4DB8-B94F-3C6DE416167D}"/>
    <cellStyle name="Entrada 2 2 2 2 19 2" xfId="13941" xr:uid="{67DE527F-A966-4900-A98A-A99C16FC9787}"/>
    <cellStyle name="Entrada 2 2 2 2 2" xfId="2441" xr:uid="{253B3042-24C1-45B7-AC64-3E26E3D22091}"/>
    <cellStyle name="Entrada 2 2 2 2 2 10" xfId="6216" xr:uid="{EBD9A250-0A58-4B3A-AEED-84539595B845}"/>
    <cellStyle name="Entrada 2 2 2 2 2 10 2" xfId="11920" xr:uid="{0B98457D-C306-477D-A6AF-05A8BE0CE501}"/>
    <cellStyle name="Entrada 2 2 2 2 2 11" xfId="7300" xr:uid="{F72BFC09-4577-4AA6-ACFA-22351981C5CB}"/>
    <cellStyle name="Entrada 2 2 2 2 2 11 2" xfId="12872" xr:uid="{9BA60C29-409F-4488-8CE9-7B8B6A057729}"/>
    <cellStyle name="Entrada 2 2 2 2 2 12" xfId="8655" xr:uid="{74F88E84-E11D-4C5C-99B4-6B8DE8639480}"/>
    <cellStyle name="Entrada 2 2 2 2 2 12 2" xfId="14043" xr:uid="{6234860B-FD0A-4166-8688-F83C1893FCC2}"/>
    <cellStyle name="Entrada 2 2 2 2 2 13" xfId="9003" xr:uid="{6B7B3E43-2C00-4189-ADFB-3DFD7D742CF5}"/>
    <cellStyle name="Entrada 2 2 2 2 2 2" xfId="3029" xr:uid="{99BE92F9-55F7-4B09-8A09-36E2E1928086}"/>
    <cellStyle name="Entrada 2 2 2 2 2 2 2" xfId="3969" xr:uid="{624B9D9C-025F-45F1-B359-695573453ECE}"/>
    <cellStyle name="Entrada 2 2 2 2 2 2 2 2" xfId="10083" xr:uid="{F5A130A8-A101-43B1-BD4F-696B8A3FD3B8}"/>
    <cellStyle name="Entrada 2 2 2 2 2 2 3" xfId="6940" xr:uid="{53A3740F-A4EB-40ED-8209-075AC6D5C8D0}"/>
    <cellStyle name="Entrada 2 2 2 2 2 2 3 2" xfId="12546" xr:uid="{829C5F19-7974-45A8-A7D1-544CDEA5EC6C}"/>
    <cellStyle name="Entrada 2 2 2 2 2 2 4" xfId="7618" xr:uid="{C5134E9A-0C05-4F59-A615-8E36E949C36F}"/>
    <cellStyle name="Entrada 2 2 2 2 2 2 4 2" xfId="13190" xr:uid="{71B309DA-F113-4BCD-9682-F539563C0600}"/>
    <cellStyle name="Entrada 2 2 2 2 2 2 5" xfId="8111" xr:uid="{2743A46A-8353-4331-BC5B-12AE72464EE3}"/>
    <cellStyle name="Entrada 2 2 2 2 2 2 5 2" xfId="13683" xr:uid="{3205E690-8B27-4450-BF31-5E4B91AC6D7E}"/>
    <cellStyle name="Entrada 2 2 2 2 2 2 6" xfId="9363" xr:uid="{E2BA0A73-1497-4A34-A094-D6C3F32BB785}"/>
    <cellStyle name="Entrada 2 2 2 2 2 3" xfId="3489" xr:uid="{627EF006-1DFF-4983-AE41-DDD37CDD323B}"/>
    <cellStyle name="Entrada 2 2 2 2 2 3 2" xfId="9723" xr:uid="{D1E1C944-DF7F-45E1-8408-BAC15C4F45B5}"/>
    <cellStyle name="Entrada 2 2 2 2 2 4" xfId="4682" xr:uid="{A7DB5AF2-FFC0-4F61-80FA-CE76BFB3CB11}"/>
    <cellStyle name="Entrada 2 2 2 2 2 4 2" xfId="10546" xr:uid="{F0D3F5EB-B173-4931-94A3-35AAA09DA355}"/>
    <cellStyle name="Entrada 2 2 2 2 2 5" xfId="4921" xr:uid="{5A4EC507-61C7-4619-A685-984CCFF707BD}"/>
    <cellStyle name="Entrada 2 2 2 2 2 5 2" xfId="10767" xr:uid="{20348819-BEB8-4FED-BCA3-8C5B34EBCAE7}"/>
    <cellStyle name="Entrada 2 2 2 2 2 6" xfId="5077" xr:uid="{85EE3542-B538-48F9-A5DE-D84008A3377A}"/>
    <cellStyle name="Entrada 2 2 2 2 2 6 2" xfId="10923" xr:uid="{7B34F9C7-6990-4E60-9C34-5259740DC4CC}"/>
    <cellStyle name="Entrada 2 2 2 2 2 7" xfId="5847" xr:uid="{4D41AD96-B975-439C-9EE5-EB9C8F955CF9}"/>
    <cellStyle name="Entrada 2 2 2 2 2 7 2" xfId="11575" xr:uid="{6992C429-67ED-41B6-8A4F-DFEC065FCCFD}"/>
    <cellStyle name="Entrada 2 2 2 2 2 8" xfId="5342" xr:uid="{E79E6782-1FC7-4887-AEB4-5BFC77E9408E}"/>
    <cellStyle name="Entrada 2 2 2 2 2 8 2" xfId="11174" xr:uid="{D4514B53-470E-4F05-86DB-11AD0122F5AB}"/>
    <cellStyle name="Entrada 2 2 2 2 2 9" xfId="6384" xr:uid="{01FA3FF8-3036-4B52-BD35-5541D492C3BC}"/>
    <cellStyle name="Entrada 2 2 2 2 2 9 2" xfId="12088" xr:uid="{4C0B194F-F692-426C-AD76-A284316F2F5C}"/>
    <cellStyle name="Entrada 2 2 2 2 20" xfId="8901" xr:uid="{FB1BDABF-7A27-48F0-93A0-1EE8FA118D0A}"/>
    <cellStyle name="Entrada 2 2 2 2 21" xfId="2247" xr:uid="{52A37061-3D9B-4A1F-83F9-440AAE4E9A65}"/>
    <cellStyle name="Entrada 2 2 2 2 3" xfId="2546" xr:uid="{3F6E7E79-1126-420D-9C01-A0E1E5C9B9EB}"/>
    <cellStyle name="Entrada 2 2 2 2 3 10" xfId="7238" xr:uid="{49D1E3AA-4C0A-4998-8AD3-552278B5A233}"/>
    <cellStyle name="Entrada 2 2 2 2 3 10 2" xfId="12810" xr:uid="{9E990B65-2383-4BEA-8D45-3CE214D9C512}"/>
    <cellStyle name="Entrada 2 2 2 2 3 11" xfId="6320" xr:uid="{E40E9DAC-79D9-4CD0-A16F-2A0398C4A1B0}"/>
    <cellStyle name="Entrada 2 2 2 2 3 11 2" xfId="12024" xr:uid="{21A55BD3-84EF-4AF0-8BFA-3C67FDD6ED0F}"/>
    <cellStyle name="Entrada 2 2 2 2 3 12" xfId="8760" xr:uid="{5349355E-8369-45EC-9B8B-9940F0C16D27}"/>
    <cellStyle name="Entrada 2 2 2 2 3 12 2" xfId="14116" xr:uid="{5DEFA632-E25F-47F7-9CD3-8D3413758D8E}"/>
    <cellStyle name="Entrada 2 2 2 2 3 13" xfId="9076" xr:uid="{4EA08A74-9A19-440A-BC7C-E22C4BA46223}"/>
    <cellStyle name="Entrada 2 2 2 2 3 2" xfId="3102" xr:uid="{9A6182A4-AF80-4DC7-83F3-9EBF51352577}"/>
    <cellStyle name="Entrada 2 2 2 2 3 2 2" xfId="4042" xr:uid="{353957B6-2307-47EA-8437-C1889EEFB0B9}"/>
    <cellStyle name="Entrada 2 2 2 2 3 2 2 2" xfId="10156" xr:uid="{F7D57119-146E-4EF2-85C0-BE53BC0D0570}"/>
    <cellStyle name="Entrada 2 2 2 2 3 2 3" xfId="7013" xr:uid="{5DB74D62-75D8-4046-884F-033E6AF98314}"/>
    <cellStyle name="Entrada 2 2 2 2 3 2 3 2" xfId="12619" xr:uid="{69A39D7E-5446-4618-AE27-091AB589A1CA}"/>
    <cellStyle name="Entrada 2 2 2 2 3 2 4" xfId="7691" xr:uid="{D86EB1FF-9BC9-41D8-89BF-5A34A7233035}"/>
    <cellStyle name="Entrada 2 2 2 2 3 2 4 2" xfId="13263" xr:uid="{8F00987E-179B-4BD0-8EA2-9FB29581656F}"/>
    <cellStyle name="Entrada 2 2 2 2 3 2 5" xfId="8184" xr:uid="{3B052FCB-79C8-4839-94B7-857AEA704ECF}"/>
    <cellStyle name="Entrada 2 2 2 2 3 2 5 2" xfId="13756" xr:uid="{D4C55102-CF39-42F4-BF20-460DA630D5AD}"/>
    <cellStyle name="Entrada 2 2 2 2 3 2 6" xfId="9436" xr:uid="{5D6B833C-790F-40FE-B511-097D74E62DC5}"/>
    <cellStyle name="Entrada 2 2 2 2 3 3" xfId="3562" xr:uid="{D2153EFB-50A2-4AED-8081-02F02E32F0AA}"/>
    <cellStyle name="Entrada 2 2 2 2 3 3 2" xfId="9796" xr:uid="{0F802876-2226-4904-AAD2-3B8483512829}"/>
    <cellStyle name="Entrada 2 2 2 2 3 4" xfId="4759" xr:uid="{9BE3BDA9-9F89-44E1-A8A4-D3FDF9C1F466}"/>
    <cellStyle name="Entrada 2 2 2 2 3 4 2" xfId="10623" xr:uid="{005FC953-54BA-4737-8DAF-B392BE4B486C}"/>
    <cellStyle name="Entrada 2 2 2 2 3 5" xfId="5002" xr:uid="{325F906C-DA47-4441-A8F4-8F5578F1E745}"/>
    <cellStyle name="Entrada 2 2 2 2 3 5 2" xfId="10848" xr:uid="{2BA31CFE-4CCB-490C-AC9E-26DD32D4E2EF}"/>
    <cellStyle name="Entrada 2 2 2 2 3 6" xfId="5150" xr:uid="{CD2C3A92-345C-47D2-AAF9-FF9647163047}"/>
    <cellStyle name="Entrada 2 2 2 2 3 6 2" xfId="10996" xr:uid="{15FD899B-7E96-4C3B-B8EF-61E544206322}"/>
    <cellStyle name="Entrada 2 2 2 2 3 7" xfId="5941" xr:uid="{1E4F286B-E073-4EB5-9D33-14F6DD33D7A9}"/>
    <cellStyle name="Entrada 2 2 2 2 3 7 2" xfId="11669" xr:uid="{E1D73FCC-558A-4259-B55F-5F6CFFE58488}"/>
    <cellStyle name="Entrada 2 2 2 2 3 8" xfId="6271" xr:uid="{31F691DE-FEF5-47C1-8EAD-CF7B99697421}"/>
    <cellStyle name="Entrada 2 2 2 2 3 8 2" xfId="11975" xr:uid="{2CEFFDB4-0D76-4D8B-826B-3822D2DC3B49}"/>
    <cellStyle name="Entrada 2 2 2 2 3 9" xfId="6473" xr:uid="{9AFC24D1-80A5-41F2-8D8F-CB717B0BF692}"/>
    <cellStyle name="Entrada 2 2 2 2 3 9 2" xfId="12177" xr:uid="{89C902DA-E6EF-4E39-B672-70B982215446}"/>
    <cellStyle name="Entrada 2 2 2 2 4" xfId="2273" xr:uid="{0C6DF9B2-9B07-4CF4-BB53-230A2D2708A6}"/>
    <cellStyle name="Entrada 2 2 2 2 4 10" xfId="6218" xr:uid="{A43F263C-4F6F-4E07-9DD4-86D7BA76B69C}"/>
    <cellStyle name="Entrada 2 2 2 2 4 10 2" xfId="11922" xr:uid="{4607F7C5-6724-45A4-9E49-0C02572A9CF2}"/>
    <cellStyle name="Entrada 2 2 2 2 4 11" xfId="7835" xr:uid="{64478FB5-A076-4811-B2FD-DD44EDDC1298}"/>
    <cellStyle name="Entrada 2 2 2 2 4 11 2" xfId="13407" xr:uid="{4777A76C-2504-485A-AEAB-493184EB07EB}"/>
    <cellStyle name="Entrada 2 2 2 2 4 12" xfId="8487" xr:uid="{CEEE6D67-76F0-47E6-A990-96C6BFF60D9E}"/>
    <cellStyle name="Entrada 2 2 2 2 4 12 2" xfId="13967" xr:uid="{EC06385B-E02F-45CE-A0C5-C5A965AF5707}"/>
    <cellStyle name="Entrada 2 2 2 2 4 13" xfId="8927" xr:uid="{6382EE01-B7B0-41BA-9962-045DC3673FB9}"/>
    <cellStyle name="Entrada 2 2 2 2 4 2" xfId="2953" xr:uid="{3FF44139-4E52-40CF-8429-BE7D093FE3BF}"/>
    <cellStyle name="Entrada 2 2 2 2 4 2 2" xfId="3893" xr:uid="{00B31310-6CE9-4F60-B4D9-906D7CD95C14}"/>
    <cellStyle name="Entrada 2 2 2 2 4 2 2 2" xfId="10007" xr:uid="{47DCFA12-D48A-40EC-ACE6-BA62A7C10DF4}"/>
    <cellStyle name="Entrada 2 2 2 2 4 2 3" xfId="6864" xr:uid="{2A200B7C-01EE-4BF0-81B6-2D3F7CBBD25B}"/>
    <cellStyle name="Entrada 2 2 2 2 4 2 3 2" xfId="12470" xr:uid="{09A7041A-EED3-487D-8C65-E2BB24077BA2}"/>
    <cellStyle name="Entrada 2 2 2 2 4 2 4" xfId="7542" xr:uid="{F47EA423-64BE-43FF-8471-AA416075AC9C}"/>
    <cellStyle name="Entrada 2 2 2 2 4 2 4 2" xfId="13114" xr:uid="{A7A6AD64-019F-4DE7-B519-8BC7A547178B}"/>
    <cellStyle name="Entrada 2 2 2 2 4 2 5" xfId="8035" xr:uid="{BFAC351B-640F-496F-AF81-E082E1C0F4AC}"/>
    <cellStyle name="Entrada 2 2 2 2 4 2 5 2" xfId="13607" xr:uid="{70538D6E-CA89-4394-A23D-F68A62E84454}"/>
    <cellStyle name="Entrada 2 2 2 2 4 2 6" xfId="9287" xr:uid="{BF1B5CA2-1946-4F5A-9A17-4AE697BAECED}"/>
    <cellStyle name="Entrada 2 2 2 2 4 3" xfId="3413" xr:uid="{3C4E3C46-1E9E-4A52-9D13-F72093C6A9B5}"/>
    <cellStyle name="Entrada 2 2 2 2 4 3 2" xfId="9647" xr:uid="{76F6C28D-3BBE-4161-A24B-C39EE40A3490}"/>
    <cellStyle name="Entrada 2 2 2 2 4 4" xfId="4580" xr:uid="{843067DB-B983-4BB8-BBF1-E3103F98938C}"/>
    <cellStyle name="Entrada 2 2 2 2 4 4 2" xfId="10444" xr:uid="{E8168F17-4CD0-43F6-8E0E-40ED89EB2B92}"/>
    <cellStyle name="Entrada 2 2 2 2 4 5" xfId="4825" xr:uid="{84E89BBE-AA36-46A2-B552-1ACF93B87A65}"/>
    <cellStyle name="Entrada 2 2 2 2 4 5 2" xfId="10671" xr:uid="{E4E1D0F4-9CF9-4F65-8E66-8C5DD5670774}"/>
    <cellStyle name="Entrada 2 2 2 2 4 6" xfId="4599" xr:uid="{79B57867-08E6-4D01-B192-5057D9576207}"/>
    <cellStyle name="Entrada 2 2 2 2 4 6 2" xfId="10463" xr:uid="{9D33C88B-DB87-4440-9687-5CE366AB9699}"/>
    <cellStyle name="Entrada 2 2 2 2 4 7" xfId="5711" xr:uid="{F47B94C3-6BB4-4A08-B8A6-BC72452CCF3F}"/>
    <cellStyle name="Entrada 2 2 2 2 4 7 2" xfId="11439" xr:uid="{E02A0D66-12D7-4485-B193-627D887854D2}"/>
    <cellStyle name="Entrada 2 2 2 2 4 8" xfId="5340" xr:uid="{4B28594A-E6FE-4DD8-AFD0-1C983B1F4ED1}"/>
    <cellStyle name="Entrada 2 2 2 2 4 8 2" xfId="11172" xr:uid="{B0AEB178-E934-4F03-AE97-6545F90961A8}"/>
    <cellStyle name="Entrada 2 2 2 2 4 9" xfId="6010" xr:uid="{5C67E4BD-A4C6-4EF3-B3F1-32A01BEC7AB4}"/>
    <cellStyle name="Entrada 2 2 2 2 4 9 2" xfId="11722" xr:uid="{654B1866-C9BB-48D4-B8C8-9CA2A7DF8CBF}"/>
    <cellStyle name="Entrada 2 2 2 2 5" xfId="2703" xr:uid="{13D128A1-F6F4-49CE-B191-EEA2FCFCCBFD}"/>
    <cellStyle name="Entrada 2 2 2 2 5 2" xfId="3167" xr:uid="{E6C2AD14-A0FA-4B19-9EC8-F164BA728B5F}"/>
    <cellStyle name="Entrada 2 2 2 2 5 2 2" xfId="4125" xr:uid="{203C9929-4ECE-4BD0-B085-B62957DD7D7A}"/>
    <cellStyle name="Entrada 2 2 2 2 5 2 2 2" xfId="10221" xr:uid="{F1B1F346-EA4B-46BF-A54B-5F360903B0DD}"/>
    <cellStyle name="Entrada 2 2 2 2 5 2 3" xfId="7096" xr:uid="{783DE4A9-34C6-4590-9242-5523E1B7362B}"/>
    <cellStyle name="Entrada 2 2 2 2 5 2 3 2" xfId="12684" xr:uid="{C9F829DD-4CD7-4C21-A9C9-795A4136E195}"/>
    <cellStyle name="Entrada 2 2 2 2 5 2 4" xfId="7757" xr:uid="{984F4FD1-66EC-407C-8F25-DB504C6BDD25}"/>
    <cellStyle name="Entrada 2 2 2 2 5 2 4 2" xfId="13329" xr:uid="{5B8F44F4-0A75-4D50-B411-CBDF070F38CF}"/>
    <cellStyle name="Entrada 2 2 2 2 5 2 5" xfId="8249" xr:uid="{E1C9ECD0-54ED-4DE8-B9B9-54CC65B0A9DA}"/>
    <cellStyle name="Entrada 2 2 2 2 5 2 5 2" xfId="13821" xr:uid="{0100BAEB-55D1-4C36-BF53-4605F12F645B}"/>
    <cellStyle name="Entrada 2 2 2 2 5 2 6" xfId="9501" xr:uid="{76E8DF8D-024E-4405-8160-3820CC44E02B}"/>
    <cellStyle name="Entrada 2 2 2 2 5 3" xfId="3645" xr:uid="{B384CC31-9603-4B29-A8B0-23634B348371}"/>
    <cellStyle name="Entrada 2 2 2 2 5 3 2" xfId="9861" xr:uid="{1039ADD2-102C-4810-B39E-4C26BE514EDB}"/>
    <cellStyle name="Entrada 2 2 2 2 5 4" xfId="6082" xr:uid="{91F33FAC-2D5B-4F01-B343-14D6E3F58F77}"/>
    <cellStyle name="Entrada 2 2 2 2 5 4 2" xfId="11794" xr:uid="{0B6D6461-9B82-4A21-8ED8-FF517542D2B4}"/>
    <cellStyle name="Entrada 2 2 2 2 5 5" xfId="6600" xr:uid="{081793AA-65B6-4DB4-84E3-D354D5039A8A}"/>
    <cellStyle name="Entrada 2 2 2 2 5 5 2" xfId="12304" xr:uid="{EECA5585-2B08-49ED-B5CB-CCDB52242A87}"/>
    <cellStyle name="Entrada 2 2 2 2 5 6" xfId="7354" xr:uid="{2C17CEF9-FBFA-4F29-A5D5-33ACE5119209}"/>
    <cellStyle name="Entrada 2 2 2 2 5 6 2" xfId="12926" xr:uid="{A18EAFBF-2C80-4048-B7FC-C7CF47ACE012}"/>
    <cellStyle name="Entrada 2 2 2 2 5 7" xfId="7889" xr:uid="{6A46E743-B553-46B3-AEF2-1B181A73467B}"/>
    <cellStyle name="Entrada 2 2 2 2 5 7 2" xfId="13461" xr:uid="{1F330F7D-F98E-4DE0-B628-DF2080D338D2}"/>
    <cellStyle name="Entrada 2 2 2 2 5 8" xfId="9141" xr:uid="{7D50B7D0-4F6E-413C-BA40-A02A3B84DE59}"/>
    <cellStyle name="Entrada 2 2 2 2 6" xfId="2795" xr:uid="{23D1C0A5-143D-4B13-99C3-678ECC57651C}"/>
    <cellStyle name="Entrada 2 2 2 2 6 2" xfId="3227" xr:uid="{6B2C0C91-064B-4AE2-B5A5-84DAC3D62608}"/>
    <cellStyle name="Entrada 2 2 2 2 6 2 2" xfId="4185" xr:uid="{D00AFEE4-A07B-45D5-858F-4CE868EB3329}"/>
    <cellStyle name="Entrada 2 2 2 2 6 2 2 2" xfId="10281" xr:uid="{B52871A2-9906-40BD-8F8E-027795359FCF}"/>
    <cellStyle name="Entrada 2 2 2 2 6 2 3" xfId="7156" xr:uid="{DDD3D387-5092-4243-BD61-6F76257547EE}"/>
    <cellStyle name="Entrada 2 2 2 2 6 2 3 2" xfId="12744" xr:uid="{98DEB1CE-527E-478D-B593-17974B016A70}"/>
    <cellStyle name="Entrada 2 2 2 2 6 2 4" xfId="7817" xr:uid="{02CB7931-8E38-4B3A-BD89-0F973F2E886E}"/>
    <cellStyle name="Entrada 2 2 2 2 6 2 4 2" xfId="13389" xr:uid="{A95A8154-3BC8-4B9B-BDE9-F1B3AE2A48CC}"/>
    <cellStyle name="Entrada 2 2 2 2 6 2 5" xfId="8309" xr:uid="{2DBD6023-85EB-4FAA-BC4D-54485EC329FC}"/>
    <cellStyle name="Entrada 2 2 2 2 6 2 5 2" xfId="13881" xr:uid="{2E75C597-708D-4B9C-92FC-8879B7C23007}"/>
    <cellStyle name="Entrada 2 2 2 2 6 2 6" xfId="9561" xr:uid="{2A51854B-563E-4978-B6A4-6C131B2DB373}"/>
    <cellStyle name="Entrada 2 2 2 2 6 3" xfId="3705" xr:uid="{C9DC5161-33FC-4038-99D3-37801183E122}"/>
    <cellStyle name="Entrada 2 2 2 2 6 3 2" xfId="9921" xr:uid="{DEA11B57-6017-4D60-BD33-F8B3E6137AD9}"/>
    <cellStyle name="Entrada 2 2 2 2 6 4" xfId="6162" xr:uid="{1C5D342C-F86B-4C08-A669-CC1ACE5CF881}"/>
    <cellStyle name="Entrada 2 2 2 2 6 4 2" xfId="11874" xr:uid="{BD07F5CF-5426-414A-B33B-E710BB75B08B}"/>
    <cellStyle name="Entrada 2 2 2 2 6 5" xfId="6672" xr:uid="{8507E00B-BE2B-4F90-A4AD-5632E14D5924}"/>
    <cellStyle name="Entrada 2 2 2 2 6 5 2" xfId="12376" xr:uid="{5B71BC44-ED7E-4D26-9B62-2AFABDE5B1DF}"/>
    <cellStyle name="Entrada 2 2 2 2 6 6" xfId="7416" xr:uid="{C98C3E88-A35C-4D3B-A1C6-0096E98A287C}"/>
    <cellStyle name="Entrada 2 2 2 2 6 6 2" xfId="12988" xr:uid="{1ECEE7FA-BE6A-4FA6-85B1-C2DA93941EBC}"/>
    <cellStyle name="Entrada 2 2 2 2 6 7" xfId="7949" xr:uid="{CA300BDD-2335-4E05-8CDB-3140709DA87F}"/>
    <cellStyle name="Entrada 2 2 2 2 6 7 2" xfId="13521" xr:uid="{B16F65E1-4B74-44D6-ADC4-A86FC2958EB7}"/>
    <cellStyle name="Entrada 2 2 2 2 6 8" xfId="9201" xr:uid="{91D2C36B-0FA7-4140-873C-5E84B391A715}"/>
    <cellStyle name="Entrada 2 2 2 2 7" xfId="2895" xr:uid="{A0355DF7-3081-4514-A262-5D6DC640AD47}"/>
    <cellStyle name="Entrada 2 2 2 2 7 2" xfId="3823" xr:uid="{1D57DF7E-3267-434C-B1CC-C7507245A8FC}"/>
    <cellStyle name="Entrada 2 2 2 2 7 2 2" xfId="9981" xr:uid="{DF1D6F10-F513-4AF7-AEB0-D346DD290D93}"/>
    <cellStyle name="Entrada 2 2 2 2 7 3" xfId="6794" xr:uid="{A166A793-7FBF-4958-86C1-72C4A3FEA916}"/>
    <cellStyle name="Entrada 2 2 2 2 7 3 2" xfId="12444" xr:uid="{D304232B-8D80-4BE6-BC46-AE1B85B4182F}"/>
    <cellStyle name="Entrada 2 2 2 2 7 4" xfId="7501" xr:uid="{89A0C22E-CB2F-4BDE-8A79-140113929B09}"/>
    <cellStyle name="Entrada 2 2 2 2 7 4 2" xfId="13073" xr:uid="{086D13BD-7E77-46B8-820E-2ED4A0C891CC}"/>
    <cellStyle name="Entrada 2 2 2 2 7 5" xfId="8009" xr:uid="{84F3580C-E9D5-4692-9EB0-0E891969B942}"/>
    <cellStyle name="Entrada 2 2 2 2 7 5 2" xfId="13581" xr:uid="{AFDCA0F6-084D-4097-887A-D9520A68BFB9}"/>
    <cellStyle name="Entrada 2 2 2 2 7 6" xfId="9261" xr:uid="{17C9C5EE-F449-40BA-8A8F-69F1A06E394A}"/>
    <cellStyle name="Entrada 2 2 2 2 8" xfId="3343" xr:uid="{BB30C2B1-0ABD-456D-A27A-E48D133E0DBA}"/>
    <cellStyle name="Entrada 2 2 2 2 8 2" xfId="9621" xr:uid="{B7E9D5B0-EEEB-444B-A249-BCE8C7E973F3}"/>
    <cellStyle name="Entrada 2 2 2 2 9" xfId="4510" xr:uid="{E20A42E0-E82E-43BB-BF92-8A23F9195DBE}"/>
    <cellStyle name="Entrada 2 2 2 2 9 2" xfId="10418" xr:uid="{A52B76A3-A57D-4BE9-A44F-87D6CC6C8C76}"/>
    <cellStyle name="Entrada 2 2 2 3" xfId="1614" xr:uid="{4BC62074-F3C3-4474-B1A2-22843650BDCF}"/>
    <cellStyle name="Entrada 2 2 2 3 10" xfId="4360" xr:uid="{3544E678-E29D-4E4F-87E9-FA725746B319}"/>
    <cellStyle name="Entrada 2 2 2 3 10 2" xfId="10320" xr:uid="{471ECC13-BEB2-48D6-AB22-FA6A7930F652}"/>
    <cellStyle name="Entrada 2 2 2 3 11" xfId="4808" xr:uid="{6A4FCD16-14C9-4C20-A11E-D5F73D157862}"/>
    <cellStyle name="Entrada 2 2 2 3 11 2" xfId="10654" xr:uid="{47C7DB36-3677-4C25-BCC4-F5E1EBC30BCC}"/>
    <cellStyle name="Entrada 2 2 2 3 12" xfId="5413" xr:uid="{3E4814AB-CA0B-4BE9-AADC-DD085EE1E34B}"/>
    <cellStyle name="Entrada 2 2 2 3 12 2" xfId="11211" xr:uid="{78E18C93-4579-45DF-A4C7-046B79D0DFB6}"/>
    <cellStyle name="Entrada 2 2 2 3 13" xfId="5581" xr:uid="{6BD788F3-D1E3-4ABC-B264-8F2A2381F61E}"/>
    <cellStyle name="Entrada 2 2 2 3 13 2" xfId="11309" xr:uid="{6592D42C-FADB-4DBF-909E-C701FF820817}"/>
    <cellStyle name="Entrada 2 2 2 3 14" xfId="5317" xr:uid="{E3989913-2364-466E-8B10-4C8B9E53AAFE}"/>
    <cellStyle name="Entrada 2 2 2 3 14 2" xfId="11161" xr:uid="{259BC836-525C-4763-9071-FB322057C4EE}"/>
    <cellStyle name="Entrada 2 2 2 3 15" xfId="6095" xr:uid="{57B75CE3-2CF4-4CA5-842D-0628E31752A3}"/>
    <cellStyle name="Entrada 2 2 2 3 15 2" xfId="11807" xr:uid="{4D13D63B-8599-4058-B525-5E0E2E115E3A}"/>
    <cellStyle name="Entrada 2 2 2 3 16" xfId="5732" xr:uid="{25292CF8-2A1E-4397-958C-F5B47219D662}"/>
    <cellStyle name="Entrada 2 2 2 3 16 2" xfId="11460" xr:uid="{BEB668C9-8530-4A5A-8930-FA308BF87B16}"/>
    <cellStyle name="Entrada 2 2 2 3 17" xfId="6316" xr:uid="{CA64D34C-E2D8-4309-9D34-048EC0C3B1D1}"/>
    <cellStyle name="Entrada 2 2 2 3 17 2" xfId="12020" xr:uid="{CBC4A593-9BA3-4604-B433-F925E7E7B240}"/>
    <cellStyle name="Entrada 2 2 2 3 18" xfId="6492" xr:uid="{86230FC4-B1D3-4716-A3FE-575F73D96818}"/>
    <cellStyle name="Entrada 2 2 2 3 18 2" xfId="12196" xr:uid="{D98DA84D-4DF7-403F-9C57-C0907EB15C9F}"/>
    <cellStyle name="Entrada 2 2 2 3 19" xfId="8433" xr:uid="{B3247F42-F0B7-4EFF-A8DA-3CA7E848F45E}"/>
    <cellStyle name="Entrada 2 2 2 3 19 2" xfId="13913" xr:uid="{F79B9448-4295-4A22-BE68-7989FD1EF557}"/>
    <cellStyle name="Entrada 2 2 2 3 2" xfId="2411" xr:uid="{39F19B66-9813-4FC6-A862-4EDB88531476}"/>
    <cellStyle name="Entrada 2 2 2 3 2 10" xfId="5696" xr:uid="{0696B740-24FF-494E-AE45-AB0FF57E9FC3}"/>
    <cellStyle name="Entrada 2 2 2 3 2 10 2" xfId="11424" xr:uid="{35801C02-0E12-4894-9C63-C61723C10FE2}"/>
    <cellStyle name="Entrada 2 2 2 3 2 11" xfId="6526" xr:uid="{BC30E034-8FD8-492E-AD44-EB058EE27155}"/>
    <cellStyle name="Entrada 2 2 2 3 2 11 2" xfId="12230" xr:uid="{3205CC60-A143-4EF1-8AA7-68898730E31F}"/>
    <cellStyle name="Entrada 2 2 2 3 2 12" xfId="8625" xr:uid="{106E3793-E443-41C1-93E8-4943D78EC187}"/>
    <cellStyle name="Entrada 2 2 2 3 2 12 2" xfId="14013" xr:uid="{FCE17751-7853-4668-B14E-5A37AC8C70F3}"/>
    <cellStyle name="Entrada 2 2 2 3 2 13" xfId="8973" xr:uid="{9107ECA0-DF54-4FE8-AEE2-03564D24A5FA}"/>
    <cellStyle name="Entrada 2 2 2 3 2 2" xfId="2999" xr:uid="{F600DD2B-AC93-4408-8902-FD88B11126FA}"/>
    <cellStyle name="Entrada 2 2 2 3 2 2 2" xfId="3939" xr:uid="{FD614E16-6908-44CF-A648-3A8BF6B5EF8C}"/>
    <cellStyle name="Entrada 2 2 2 3 2 2 2 2" xfId="10053" xr:uid="{B0B85AB6-3917-48CF-82E7-C2784AE4BDFE}"/>
    <cellStyle name="Entrada 2 2 2 3 2 2 3" xfId="6910" xr:uid="{28E17C43-99A6-4884-B184-0D1C627F32C2}"/>
    <cellStyle name="Entrada 2 2 2 3 2 2 3 2" xfId="12516" xr:uid="{37977146-06C6-42B5-ACA8-18CAB2E1A656}"/>
    <cellStyle name="Entrada 2 2 2 3 2 2 4" xfId="7588" xr:uid="{7A0AC3F1-7D08-4628-BE9E-07CF013E09E6}"/>
    <cellStyle name="Entrada 2 2 2 3 2 2 4 2" xfId="13160" xr:uid="{A86A84AB-E1E2-4DE5-BC9F-E93FE99CAA02}"/>
    <cellStyle name="Entrada 2 2 2 3 2 2 5" xfId="8081" xr:uid="{9AEF7FD4-3635-4309-AD15-97E970CB3089}"/>
    <cellStyle name="Entrada 2 2 2 3 2 2 5 2" xfId="13653" xr:uid="{83823E17-12CB-4011-A8C0-BD426C3B38D6}"/>
    <cellStyle name="Entrada 2 2 2 3 2 2 6" xfId="9333" xr:uid="{9173EAF6-3A28-4EC8-8CDD-5818E11B297C}"/>
    <cellStyle name="Entrada 2 2 2 3 2 3" xfId="3459" xr:uid="{8C6FFE83-1A23-4D98-BC3A-360CBD406681}"/>
    <cellStyle name="Entrada 2 2 2 3 2 3 2" xfId="9693" xr:uid="{C4D7E906-96A8-4FB5-902B-C060DE0C275F}"/>
    <cellStyle name="Entrada 2 2 2 3 2 4" xfId="4652" xr:uid="{820503F9-FB67-4FC7-AA1A-2F6C6BC7EB28}"/>
    <cellStyle name="Entrada 2 2 2 3 2 4 2" xfId="10516" xr:uid="{3A60B44A-7CAB-4BDF-813E-9A586734CC74}"/>
    <cellStyle name="Entrada 2 2 2 3 2 5" xfId="4891" xr:uid="{E033C81C-D040-46DE-99A7-70DCB0E8C384}"/>
    <cellStyle name="Entrada 2 2 2 3 2 5 2" xfId="10737" xr:uid="{A305ECFF-E8E6-478A-8DFA-95BAB07CEE9F}"/>
    <cellStyle name="Entrada 2 2 2 3 2 6" xfId="5047" xr:uid="{6CAD8E6C-B3FA-4D0B-AF7A-BE94AC5A7A88}"/>
    <cellStyle name="Entrada 2 2 2 3 2 6 2" xfId="10893" xr:uid="{066DBA50-3686-43FC-9320-C79F6FAA9059}"/>
    <cellStyle name="Entrada 2 2 2 3 2 7" xfId="5817" xr:uid="{80E51BCC-93BB-48EA-B338-901C6174CC95}"/>
    <cellStyle name="Entrada 2 2 2 3 2 7 2" xfId="11545" xr:uid="{70F660A2-E57D-46FD-B694-D0C2FD7CED01}"/>
    <cellStyle name="Entrada 2 2 2 3 2 8" xfId="5261" xr:uid="{3290C939-ED46-46CE-91BC-F6C93B3CA398}"/>
    <cellStyle name="Entrada 2 2 2 3 2 8 2" xfId="11107" xr:uid="{021A710F-0AEE-41F8-B4CE-6EB3C81813F1}"/>
    <cellStyle name="Entrada 2 2 2 3 2 9" xfId="6354" xr:uid="{27DC2E6F-1A11-4DCB-9CBA-392A2E6000E1}"/>
    <cellStyle name="Entrada 2 2 2 3 2 9 2" xfId="12058" xr:uid="{06B7A81D-D200-41BE-A6B2-22AE39B5A928}"/>
    <cellStyle name="Entrada 2 2 2 3 20" xfId="8873" xr:uid="{BE18AA50-3381-405E-BC45-957527C65329}"/>
    <cellStyle name="Entrada 2 2 2 3 21" xfId="2219" xr:uid="{2CFECFE8-E7B7-4C67-A94C-23B20395AA4C}"/>
    <cellStyle name="Entrada 2 2 2 3 3" xfId="2517" xr:uid="{34D2A8CB-0004-4C8C-BAC4-3E52BACE69B5}"/>
    <cellStyle name="Entrada 2 2 2 3 3 10" xfId="7209" xr:uid="{2CA86C8B-05E9-4A12-83A4-A6629ECBF86C}"/>
    <cellStyle name="Entrada 2 2 2 3 3 10 2" xfId="12781" xr:uid="{8D4033FF-5C3B-49BE-9341-6BD307A01757}"/>
    <cellStyle name="Entrada 2 2 2 3 3 11" xfId="7282" xr:uid="{E3F92ABA-1F18-4CC7-A161-2F7F49316707}"/>
    <cellStyle name="Entrada 2 2 2 3 3 11 2" xfId="12854" xr:uid="{865AB035-2096-40FF-8633-B211DAD79EE4}"/>
    <cellStyle name="Entrada 2 2 2 3 3 12" xfId="8731" xr:uid="{284A5CAB-2909-4C8A-B754-74F99B06287C}"/>
    <cellStyle name="Entrada 2 2 2 3 3 12 2" xfId="14087" xr:uid="{C7B7B915-A1FC-4815-8170-C5A22AAC1B22}"/>
    <cellStyle name="Entrada 2 2 2 3 3 13" xfId="9047" xr:uid="{A5DB7F65-2B4D-48D5-8FE7-F347F20D962D}"/>
    <cellStyle name="Entrada 2 2 2 3 3 2" xfId="3073" xr:uid="{93ECE26C-7FCA-410A-8A00-C84A17A843B6}"/>
    <cellStyle name="Entrada 2 2 2 3 3 2 2" xfId="4013" xr:uid="{8EA226D9-C946-48CE-A806-E25A9D0EC824}"/>
    <cellStyle name="Entrada 2 2 2 3 3 2 2 2" xfId="10127" xr:uid="{C52E1823-2F0F-4DA2-8EAC-A22BD15501A2}"/>
    <cellStyle name="Entrada 2 2 2 3 3 2 3" xfId="6984" xr:uid="{F14CCED1-0A2A-490B-B743-98B056B85B94}"/>
    <cellStyle name="Entrada 2 2 2 3 3 2 3 2" xfId="12590" xr:uid="{D1D44F3F-01B4-41BE-AC23-179298431B03}"/>
    <cellStyle name="Entrada 2 2 2 3 3 2 4" xfId="7662" xr:uid="{3E3CFF9D-ECE2-4C20-8C7C-BC26B15EC386}"/>
    <cellStyle name="Entrada 2 2 2 3 3 2 4 2" xfId="13234" xr:uid="{4CB63562-A883-456E-BD47-3D1F511BA7FB}"/>
    <cellStyle name="Entrada 2 2 2 3 3 2 5" xfId="8155" xr:uid="{77928AFF-0888-47B1-802F-D95551896028}"/>
    <cellStyle name="Entrada 2 2 2 3 3 2 5 2" xfId="13727" xr:uid="{F0A1DFD1-DE56-40C5-A3DE-BAE5DF9B94AD}"/>
    <cellStyle name="Entrada 2 2 2 3 3 2 6" xfId="9407" xr:uid="{D87DBE57-C1B1-4DC6-96CC-3AC843209E6A}"/>
    <cellStyle name="Entrada 2 2 2 3 3 3" xfId="3533" xr:uid="{A66F434B-D8D0-42EF-AD0D-139646D1D9BB}"/>
    <cellStyle name="Entrada 2 2 2 3 3 3 2" xfId="9767" xr:uid="{1CBD9D08-8D3E-4E52-A535-EBDA88E6DFF0}"/>
    <cellStyle name="Entrada 2 2 2 3 3 4" xfId="4730" xr:uid="{C78547D9-BE36-4E15-9EDF-7F87ADE6349C}"/>
    <cellStyle name="Entrada 2 2 2 3 3 4 2" xfId="10594" xr:uid="{7ACD4532-F001-4F49-83A2-0EE6359470E7}"/>
    <cellStyle name="Entrada 2 2 2 3 3 5" xfId="4973" xr:uid="{0A8A1315-51C9-4FC3-A05B-CED3F310E620}"/>
    <cellStyle name="Entrada 2 2 2 3 3 5 2" xfId="10819" xr:uid="{96A05D46-0031-4D79-8DCD-E15E6F8862E2}"/>
    <cellStyle name="Entrada 2 2 2 3 3 6" xfId="5121" xr:uid="{16252120-F701-47BF-BDEF-E09A66F54DA6}"/>
    <cellStyle name="Entrada 2 2 2 3 3 6 2" xfId="10967" xr:uid="{758E62C6-E180-49D6-B58A-05A70D031BCA}"/>
    <cellStyle name="Entrada 2 2 2 3 3 7" xfId="5912" xr:uid="{6F96085B-A30D-4590-98FA-2A49ACAE2AAA}"/>
    <cellStyle name="Entrada 2 2 2 3 3 7 2" xfId="11640" xr:uid="{C2A8BD01-148C-47C2-97D3-74832A75E94F}"/>
    <cellStyle name="Entrada 2 2 2 3 3 8" xfId="6242" xr:uid="{113146B3-B253-4E69-BAF7-F4F54CB81900}"/>
    <cellStyle name="Entrada 2 2 2 3 3 8 2" xfId="11946" xr:uid="{FB06693D-EC57-4C6A-AA25-115D70E40886}"/>
    <cellStyle name="Entrada 2 2 2 3 3 9" xfId="6444" xr:uid="{0B70A233-9B8F-4466-863A-F5808E9E2567}"/>
    <cellStyle name="Entrada 2 2 2 3 3 9 2" xfId="12148" xr:uid="{BC375141-EF10-4A3B-9A58-74B0B1DB74C4}"/>
    <cellStyle name="Entrada 2 2 2 3 4" xfId="2272" xr:uid="{0F6A23A6-0DB9-409D-911E-057191A2B827}"/>
    <cellStyle name="Entrada 2 2 2 3 4 10" xfId="6012" xr:uid="{D7DA8E95-2AB8-48E5-A840-596C60E7307E}"/>
    <cellStyle name="Entrada 2 2 2 3 4 10 2" xfId="11724" xr:uid="{5815EF0B-311A-4DE6-AECE-4E2D7019C203}"/>
    <cellStyle name="Entrada 2 2 2 3 4 11" xfId="7836" xr:uid="{A17C4349-D54E-46E4-98AE-F7FEC83DC605}"/>
    <cellStyle name="Entrada 2 2 2 3 4 11 2" xfId="13408" xr:uid="{D0462B06-AD03-4CC7-A550-06C13F030C98}"/>
    <cellStyle name="Entrada 2 2 2 3 4 12" xfId="8486" xr:uid="{1293FCBF-7417-4F1D-BAB5-C6AC88C57ED3}"/>
    <cellStyle name="Entrada 2 2 2 3 4 12 2" xfId="13966" xr:uid="{B72E723B-EB3D-4877-B9E3-38BC60E1D8B2}"/>
    <cellStyle name="Entrada 2 2 2 3 4 13" xfId="8926" xr:uid="{AF3097C9-BC72-4A25-AB15-60A8C8506E2A}"/>
    <cellStyle name="Entrada 2 2 2 3 4 2" xfId="2952" xr:uid="{DCBB0BAD-1843-49FA-9B35-6B244445107C}"/>
    <cellStyle name="Entrada 2 2 2 3 4 2 2" xfId="3892" xr:uid="{0F04D1EB-C617-430D-BF04-48A66EE40751}"/>
    <cellStyle name="Entrada 2 2 2 3 4 2 2 2" xfId="10006" xr:uid="{6C63A5C2-FD17-4EBB-A2A7-4DF95EF070D4}"/>
    <cellStyle name="Entrada 2 2 2 3 4 2 3" xfId="6863" xr:uid="{F6EDD135-B3DE-4D99-8BD0-0A804AB32541}"/>
    <cellStyle name="Entrada 2 2 2 3 4 2 3 2" xfId="12469" xr:uid="{7F608EDE-E407-4F62-A366-403BBF54E594}"/>
    <cellStyle name="Entrada 2 2 2 3 4 2 4" xfId="7541" xr:uid="{DBB38818-D747-46E1-B11C-0CA0C5604430}"/>
    <cellStyle name="Entrada 2 2 2 3 4 2 4 2" xfId="13113" xr:uid="{EA3EF178-E9E2-4052-80C7-0089FBCB320F}"/>
    <cellStyle name="Entrada 2 2 2 3 4 2 5" xfId="8034" xr:uid="{7340D6A1-D0D4-4525-832B-99965E895487}"/>
    <cellStyle name="Entrada 2 2 2 3 4 2 5 2" xfId="13606" xr:uid="{A7DE7A50-0364-4C4E-82DC-875B350D173A}"/>
    <cellStyle name="Entrada 2 2 2 3 4 2 6" xfId="9286" xr:uid="{4A91FF4C-E7E2-4F88-B6FF-3EA4C0E7B2A4}"/>
    <cellStyle name="Entrada 2 2 2 3 4 3" xfId="3412" xr:uid="{6C32C02F-866F-479C-8BC0-808D045E8DE1}"/>
    <cellStyle name="Entrada 2 2 2 3 4 3 2" xfId="9646" xr:uid="{03A00B34-F6DC-452D-A1E4-42D83961BF5F}"/>
    <cellStyle name="Entrada 2 2 2 3 4 4" xfId="4579" xr:uid="{5B74FF6F-D410-4F3F-90AE-9CFC7A081057}"/>
    <cellStyle name="Entrada 2 2 2 3 4 4 2" xfId="10443" xr:uid="{8CDD7036-C2AE-40B7-BD41-91B4755E7517}"/>
    <cellStyle name="Entrada 2 2 2 3 4 5" xfId="4824" xr:uid="{60FD6626-699F-48B7-813E-103305D62B41}"/>
    <cellStyle name="Entrada 2 2 2 3 4 5 2" xfId="10670" xr:uid="{9274FF2F-D297-4F30-ABEC-6EAA01915FBD}"/>
    <cellStyle name="Entrada 2 2 2 3 4 6" xfId="4859" xr:uid="{C950D62C-D238-4998-B5BB-2CD50DF74898}"/>
    <cellStyle name="Entrada 2 2 2 3 4 6 2" xfId="10705" xr:uid="{D00DD597-489A-4489-96AE-793AB6FE0A14}"/>
    <cellStyle name="Entrada 2 2 2 3 4 7" xfId="5710" xr:uid="{47B92401-1ACF-49F3-9E4C-6AA133D55550}"/>
    <cellStyle name="Entrada 2 2 2 3 4 7 2" xfId="11438" xr:uid="{BCDEDAE1-7C99-42FD-BB6C-BA19A80662A8}"/>
    <cellStyle name="Entrada 2 2 2 3 4 8" xfId="5792" xr:uid="{82DC7819-DCEC-430A-AABE-7E64E77F2C30}"/>
    <cellStyle name="Entrada 2 2 2 3 4 8 2" xfId="11520" xr:uid="{22496458-A843-4422-BDF3-FA3757A52D4B}"/>
    <cellStyle name="Entrada 2 2 2 3 4 9" xfId="5764" xr:uid="{3DE6E62E-1490-4367-B189-5CDC9938BEC5}"/>
    <cellStyle name="Entrada 2 2 2 3 4 9 2" xfId="11492" xr:uid="{B1D7DAC4-D21B-4086-B108-0DD68EEB7F3F}"/>
    <cellStyle name="Entrada 2 2 2 3 5" xfId="2675" xr:uid="{F5633D96-D758-4616-AE95-BED65E304C2B}"/>
    <cellStyle name="Entrada 2 2 2 3 5 2" xfId="3139" xr:uid="{C4E57882-F280-4819-B824-76CD85FE18D9}"/>
    <cellStyle name="Entrada 2 2 2 3 5 2 2" xfId="4097" xr:uid="{0832D31C-CD14-4148-BDC9-774854DAD244}"/>
    <cellStyle name="Entrada 2 2 2 3 5 2 2 2" xfId="10193" xr:uid="{A802CA33-3A7E-4299-9369-7CC1232683F3}"/>
    <cellStyle name="Entrada 2 2 2 3 5 2 3" xfId="7068" xr:uid="{342D14A2-4FC5-4D72-B683-6EE146678046}"/>
    <cellStyle name="Entrada 2 2 2 3 5 2 3 2" xfId="12656" xr:uid="{D350093B-FCE6-4DDA-84BD-75FE09EBBF17}"/>
    <cellStyle name="Entrada 2 2 2 3 5 2 4" xfId="7729" xr:uid="{2CAD7FEC-E3EB-4972-AFBC-5431D5C8A2BD}"/>
    <cellStyle name="Entrada 2 2 2 3 5 2 4 2" xfId="13301" xr:uid="{005C3EE3-7520-4972-852B-98C2EBE7CF1F}"/>
    <cellStyle name="Entrada 2 2 2 3 5 2 5" xfId="8221" xr:uid="{1ACAE03E-37A0-4A71-8C99-47E56AB4BE7F}"/>
    <cellStyle name="Entrada 2 2 2 3 5 2 5 2" xfId="13793" xr:uid="{EE38AA50-D0A3-4D35-9F6F-FBE8E202825C}"/>
    <cellStyle name="Entrada 2 2 2 3 5 2 6" xfId="9473" xr:uid="{71CE1F07-1060-4D10-A14B-E9273BDDED29}"/>
    <cellStyle name="Entrada 2 2 2 3 5 3" xfId="3617" xr:uid="{DE6C66FE-F41B-4B79-A43A-6A2B4EA9BBD5}"/>
    <cellStyle name="Entrada 2 2 2 3 5 3 2" xfId="9833" xr:uid="{A64D9422-DDB8-45B8-A1C2-CEBE8F63B060}"/>
    <cellStyle name="Entrada 2 2 2 3 5 4" xfId="6054" xr:uid="{9CB8DD3D-B713-48ED-9F6A-49C8E51DE938}"/>
    <cellStyle name="Entrada 2 2 2 3 5 4 2" xfId="11766" xr:uid="{C415C6E4-EB6C-4B6D-9302-4F9046145832}"/>
    <cellStyle name="Entrada 2 2 2 3 5 5" xfId="6572" xr:uid="{E8AE2A5B-F623-4D57-810A-5626AED217A2}"/>
    <cellStyle name="Entrada 2 2 2 3 5 5 2" xfId="12276" xr:uid="{A598A75C-C707-47CB-8390-2739D1250616}"/>
    <cellStyle name="Entrada 2 2 2 3 5 6" xfId="7326" xr:uid="{706FD770-08C7-43AA-BF48-08BDBB40DE80}"/>
    <cellStyle name="Entrada 2 2 2 3 5 6 2" xfId="12898" xr:uid="{0CAC36CA-65C1-4E8A-8713-877FE24D73F7}"/>
    <cellStyle name="Entrada 2 2 2 3 5 7" xfId="7861" xr:uid="{0F51831E-DCDD-49B8-B833-44A5E66E06E4}"/>
    <cellStyle name="Entrada 2 2 2 3 5 7 2" xfId="13433" xr:uid="{8F0473F6-870C-4174-A566-037C08D14EE0}"/>
    <cellStyle name="Entrada 2 2 2 3 5 8" xfId="9113" xr:uid="{49CA4F72-E38E-4130-A532-F725F5E5618B}"/>
    <cellStyle name="Entrada 2 2 2 3 6" xfId="2767" xr:uid="{8F28D6D6-5186-4E1D-BD17-A34BE026BD6E}"/>
    <cellStyle name="Entrada 2 2 2 3 6 2" xfId="3199" xr:uid="{98456EF2-4485-472A-B8B1-AF98C7B11A44}"/>
    <cellStyle name="Entrada 2 2 2 3 6 2 2" xfId="4157" xr:uid="{11DC0D34-740A-4F17-9C91-062EB976E094}"/>
    <cellStyle name="Entrada 2 2 2 3 6 2 2 2" xfId="10253" xr:uid="{2A8D697F-A9EE-45DB-856F-6D9F6B5323CE}"/>
    <cellStyle name="Entrada 2 2 2 3 6 2 3" xfId="7128" xr:uid="{AA4CC47F-3CDA-481A-ADBA-8D9F2E81BD6B}"/>
    <cellStyle name="Entrada 2 2 2 3 6 2 3 2" xfId="12716" xr:uid="{03CF7F67-4878-46CD-B941-4ACD2115D0A0}"/>
    <cellStyle name="Entrada 2 2 2 3 6 2 4" xfId="7789" xr:uid="{FDAB502A-4FFB-4D26-B425-0B0B6C0C164B}"/>
    <cellStyle name="Entrada 2 2 2 3 6 2 4 2" xfId="13361" xr:uid="{7AA1FFB0-83D6-4396-B97B-B5DE94B14B9A}"/>
    <cellStyle name="Entrada 2 2 2 3 6 2 5" xfId="8281" xr:uid="{3E2DBC0C-5445-4AD0-B538-DF856B615C35}"/>
    <cellStyle name="Entrada 2 2 2 3 6 2 5 2" xfId="13853" xr:uid="{E7A5C3C4-EC9B-4678-9B63-9F92C738A8DF}"/>
    <cellStyle name="Entrada 2 2 2 3 6 2 6" xfId="9533" xr:uid="{93197F24-E08A-4E72-B93F-B639A6E8B4B1}"/>
    <cellStyle name="Entrada 2 2 2 3 6 3" xfId="3677" xr:uid="{E89CFE15-A154-42BB-AB2C-F333B4D71CD0}"/>
    <cellStyle name="Entrada 2 2 2 3 6 3 2" xfId="9893" xr:uid="{8C5EEE0C-A02E-4A1F-9C3C-C5DF44A917DE}"/>
    <cellStyle name="Entrada 2 2 2 3 6 4" xfId="6134" xr:uid="{04AE2F00-7A29-470B-8E4E-5CF726518A9B}"/>
    <cellStyle name="Entrada 2 2 2 3 6 4 2" xfId="11846" xr:uid="{010DAE6E-8480-44BB-BEDE-3CD15168BB35}"/>
    <cellStyle name="Entrada 2 2 2 3 6 5" xfId="6644" xr:uid="{F4010332-DEAD-4246-9AA8-0ECFE9611A56}"/>
    <cellStyle name="Entrada 2 2 2 3 6 5 2" xfId="12348" xr:uid="{1DC26240-7255-4392-98F5-83AB23AB1B09}"/>
    <cellStyle name="Entrada 2 2 2 3 6 6" xfId="7388" xr:uid="{3384E1D0-6AC2-44BA-9E86-115D04DCD9C0}"/>
    <cellStyle name="Entrada 2 2 2 3 6 6 2" xfId="12960" xr:uid="{B8DF4432-C6B6-4841-982B-54143363793C}"/>
    <cellStyle name="Entrada 2 2 2 3 6 7" xfId="7921" xr:uid="{F8ECE759-64D0-40D0-81F7-0DFBB8A94411}"/>
    <cellStyle name="Entrada 2 2 2 3 6 7 2" xfId="13493" xr:uid="{F6351ACA-3F8F-4483-B69C-1113E02EFE7B}"/>
    <cellStyle name="Entrada 2 2 2 3 6 8" xfId="9173" xr:uid="{EEC51B1E-B6A3-44F1-A65A-2EDB370BB55B}"/>
    <cellStyle name="Entrada 2 2 2 3 7" xfId="2867" xr:uid="{51E4853F-0E13-4493-8B75-2551E1DDDE74}"/>
    <cellStyle name="Entrada 2 2 2 3 7 2" xfId="3791" xr:uid="{4BF56815-DDE4-488E-86C3-EE18EAF1242E}"/>
    <cellStyle name="Entrada 2 2 2 3 7 2 2" xfId="9953" xr:uid="{D67A36A1-92AD-4D58-9C28-09ECCBBD69C5}"/>
    <cellStyle name="Entrada 2 2 2 3 7 3" xfId="6762" xr:uid="{726DFB69-9CC0-477F-B8CF-41AB76FC59DD}"/>
    <cellStyle name="Entrada 2 2 2 3 7 3 2" xfId="12416" xr:uid="{F7F554BD-F2C4-4576-AE10-6D698E08DBD8}"/>
    <cellStyle name="Entrada 2 2 2 3 7 4" xfId="7472" xr:uid="{ED0CCB7F-B41A-43D9-AB4E-7DDDFCF7BF1E}"/>
    <cellStyle name="Entrada 2 2 2 3 7 4 2" xfId="13044" xr:uid="{936709D0-F1DC-4646-8CC6-18572AE0DD54}"/>
    <cellStyle name="Entrada 2 2 2 3 7 5" xfId="7981" xr:uid="{01DE4F89-DB4F-4CF4-BF2D-7DFD40F235FD}"/>
    <cellStyle name="Entrada 2 2 2 3 7 5 2" xfId="13553" xr:uid="{65EA38C5-A88F-422E-A2FB-02B727A3916D}"/>
    <cellStyle name="Entrada 2 2 2 3 7 6" xfId="9233" xr:uid="{AD5BFBDD-0793-45E2-8104-356A20D14876}"/>
    <cellStyle name="Entrada 2 2 2 3 8" xfId="3311" xr:uid="{5C2F91E7-6B22-4E50-810B-50CD293C934D}"/>
    <cellStyle name="Entrada 2 2 2 3 8 2" xfId="9593" xr:uid="{1F501191-4FA0-400B-B3C1-17BB66C3BB61}"/>
    <cellStyle name="Entrada 2 2 2 3 9" xfId="4478" xr:uid="{52C6AA7D-353C-4C85-A6B6-D0D661D646D0}"/>
    <cellStyle name="Entrada 2 2 2 3 9 2" xfId="10390" xr:uid="{75E10322-E955-4A23-A11E-32C24D732275}"/>
    <cellStyle name="Entrada 2 2 2 4" xfId="8848" xr:uid="{BE8CDFA7-D6A0-497D-BC91-A296C6DAD785}"/>
    <cellStyle name="Entrada 2 2 2 5" xfId="2127" xr:uid="{A710A3EB-94A0-4DE8-841E-D36F26E53078}"/>
    <cellStyle name="Entrada 2 2 3" xfId="1525" xr:uid="{0D76812F-1298-4513-ADF1-45027E2E6BE1}"/>
    <cellStyle name="Entrada 2 2 3 10" xfId="4380" xr:uid="{F1B1B8EB-2BA1-4195-9F7A-A38007644A73}"/>
    <cellStyle name="Entrada 2 2 3 10 2" xfId="10340" xr:uid="{C7F69D6F-DB12-4C25-8326-2EC87712D5DD}"/>
    <cellStyle name="Entrada 2 2 3 11" xfId="4804" xr:uid="{9047C958-7792-4678-A556-19ACB165258B}"/>
    <cellStyle name="Entrada 2 2 3 11 2" xfId="10650" xr:uid="{7D3353E7-1B70-4EDC-BC9A-8BEED55DC3BC}"/>
    <cellStyle name="Entrada 2 2 3 12" xfId="5419" xr:uid="{A9325FB6-EBEA-446C-A259-839843E99400}"/>
    <cellStyle name="Entrada 2 2 3 12 2" xfId="11217" xr:uid="{BFAB4969-7661-4A4F-9098-26EE445B069C}"/>
    <cellStyle name="Entrada 2 2 3 13" xfId="5587" xr:uid="{2E83724A-E7B5-48FC-A9F8-74781E51493B}"/>
    <cellStyle name="Entrada 2 2 3 13 2" xfId="11315" xr:uid="{EFFEEAF3-9055-42A4-B5CD-262C43FE7C3D}"/>
    <cellStyle name="Entrada 2 2 3 14" xfId="5194" xr:uid="{83E3CF3B-2DF0-4FA6-8B65-BC2653DB9113}"/>
    <cellStyle name="Entrada 2 2 3 14 2" xfId="11040" xr:uid="{46290BA3-1788-4276-87C5-78077AEC66E1}"/>
    <cellStyle name="Entrada 2 2 3 15" xfId="5762" xr:uid="{27A059A6-1240-465A-A0B6-04052E9C22DF}"/>
    <cellStyle name="Entrada 2 2 3 15 2" xfId="11490" xr:uid="{1F261A64-1A8F-49B4-9C7F-759C30251C33}"/>
    <cellStyle name="Entrada 2 2 3 16" xfId="5690" xr:uid="{8683E6F2-0446-4FD2-B481-4D2EAA8C52EF}"/>
    <cellStyle name="Entrada 2 2 3 16 2" xfId="11418" xr:uid="{8DAC7C9A-B786-48EF-B67F-3D4AD2D5192A}"/>
    <cellStyle name="Entrada 2 2 3 17" xfId="6104" xr:uid="{D88D6F18-2C6C-4830-AA15-195377524A48}"/>
    <cellStyle name="Entrada 2 2 3 17 2" xfId="11816" xr:uid="{CA322A8F-76F0-420A-BA01-690610B2EB07}"/>
    <cellStyle name="Entrada 2 2 3 18" xfId="7440" xr:uid="{8CCE6070-5D5E-4498-AA27-D2C96F125FD4}"/>
    <cellStyle name="Entrada 2 2 3 18 2" xfId="13012" xr:uid="{14A80AD4-7A02-487B-B059-FB57CEAFA4D2}"/>
    <cellStyle name="Entrada 2 2 3 19" xfId="8439" xr:uid="{9DBB11BE-1AD2-47A2-BF4F-16F2336EC1CB}"/>
    <cellStyle name="Entrada 2 2 3 19 2" xfId="13919" xr:uid="{8509856D-E91D-4BF1-903E-76723070D11A}"/>
    <cellStyle name="Entrada 2 2 3 2" xfId="2417" xr:uid="{CE563660-2736-4BDC-B5F8-D4322C422741}"/>
    <cellStyle name="Entrada 2 2 3 2 10" xfId="5679" xr:uid="{E120A4EE-A699-426E-98A9-0206935D94C5}"/>
    <cellStyle name="Entrada 2 2 3 2 10 2" xfId="11407" xr:uid="{A767C80D-93D2-48D6-87DE-6F13819CF3F0}"/>
    <cellStyle name="Entrada 2 2 3 2 11" xfId="7306" xr:uid="{FC841E57-823C-4E45-8916-DAA388C8EC55}"/>
    <cellStyle name="Entrada 2 2 3 2 11 2" xfId="12878" xr:uid="{FF9B8E8E-FA3A-4A8A-9AEB-AB6ECA7E880A}"/>
    <cellStyle name="Entrada 2 2 3 2 12" xfId="8631" xr:uid="{E27B68D3-5FE8-4BC1-8ADE-A3229F853409}"/>
    <cellStyle name="Entrada 2 2 3 2 12 2" xfId="14019" xr:uid="{42839434-CC0C-4182-BA74-D03EEF92EA35}"/>
    <cellStyle name="Entrada 2 2 3 2 13" xfId="8979" xr:uid="{0773E22D-DEC3-4D9B-84EE-1145C8A53CC3}"/>
    <cellStyle name="Entrada 2 2 3 2 2" xfId="3005" xr:uid="{85964307-D42A-41C7-BC01-AED67DEAC5D6}"/>
    <cellStyle name="Entrada 2 2 3 2 2 2" xfId="3945" xr:uid="{E8A86DCE-457F-4A42-BB2E-3B2D3F47E14F}"/>
    <cellStyle name="Entrada 2 2 3 2 2 2 2" xfId="10059" xr:uid="{6097FE35-2A3B-4885-B8ED-2464DFE16681}"/>
    <cellStyle name="Entrada 2 2 3 2 2 3" xfId="6916" xr:uid="{897803EC-E3A9-43D5-B278-E440CA188033}"/>
    <cellStyle name="Entrada 2 2 3 2 2 3 2" xfId="12522" xr:uid="{921F5EAE-465E-4DB6-9BB5-0B26FEC67FDF}"/>
    <cellStyle name="Entrada 2 2 3 2 2 4" xfId="7594" xr:uid="{371F02A5-8CB7-4AC4-A44B-2BB7F5436C3C}"/>
    <cellStyle name="Entrada 2 2 3 2 2 4 2" xfId="13166" xr:uid="{B5FB134C-BAB3-47F7-B2D7-C31B548E0D47}"/>
    <cellStyle name="Entrada 2 2 3 2 2 5" xfId="8087" xr:uid="{79BBAE1F-DDFE-401C-8330-74DEDB52D6A0}"/>
    <cellStyle name="Entrada 2 2 3 2 2 5 2" xfId="13659" xr:uid="{16693A22-5D7A-4D2D-AE7E-9AAAC87925A3}"/>
    <cellStyle name="Entrada 2 2 3 2 2 6" xfId="9339" xr:uid="{AA6EA5EA-5EC9-4503-827F-CD3504343772}"/>
    <cellStyle name="Entrada 2 2 3 2 3" xfId="3465" xr:uid="{B18B176A-1920-48A8-9F1B-90966A48C255}"/>
    <cellStyle name="Entrada 2 2 3 2 3 2" xfId="9699" xr:uid="{3A0B3167-51ED-47F7-AD83-F5E58D3B7D13}"/>
    <cellStyle name="Entrada 2 2 3 2 4" xfId="4658" xr:uid="{72C99FDC-630B-460D-B63B-03C16F2E0394}"/>
    <cellStyle name="Entrada 2 2 3 2 4 2" xfId="10522" xr:uid="{60387FAF-0476-4858-8819-6356534622BA}"/>
    <cellStyle name="Entrada 2 2 3 2 5" xfId="4897" xr:uid="{6FAFF74C-CFF5-4DAC-A478-7C9F0D9CE0AC}"/>
    <cellStyle name="Entrada 2 2 3 2 5 2" xfId="10743" xr:uid="{ACED976F-4551-401F-9D4D-7509FFD92404}"/>
    <cellStyle name="Entrada 2 2 3 2 6" xfId="5053" xr:uid="{D49F9587-23BD-4080-8C86-7E04803D5CB0}"/>
    <cellStyle name="Entrada 2 2 3 2 6 2" xfId="10899" xr:uid="{1AF12A5D-921C-4F7F-950B-BB8DAB29C382}"/>
    <cellStyle name="Entrada 2 2 3 2 7" xfId="5823" xr:uid="{511D6A2F-3C04-4E70-982E-DE8CA2A9EB44}"/>
    <cellStyle name="Entrada 2 2 3 2 7 2" xfId="11551" xr:uid="{F00D3120-3C92-48AF-987A-77C54862C8BA}"/>
    <cellStyle name="Entrada 2 2 3 2 8" xfId="5196" xr:uid="{AE632B23-D171-4DC8-AD68-032FB6E25442}"/>
    <cellStyle name="Entrada 2 2 3 2 8 2" xfId="11042" xr:uid="{9149BFCC-8FBA-4055-B623-D4F3E7D623B5}"/>
    <cellStyle name="Entrada 2 2 3 2 9" xfId="6360" xr:uid="{4CD789C1-4D3D-4965-BEB5-948020949D3F}"/>
    <cellStyle name="Entrada 2 2 3 2 9 2" xfId="12064" xr:uid="{AF0B3B43-5F2F-4688-84EE-3ED2AAB2AA88}"/>
    <cellStyle name="Entrada 2 2 3 20" xfId="8879" xr:uid="{B24BF0B5-3BB1-4E96-A30F-DD9C6489B318}"/>
    <cellStyle name="Entrada 2 2 3 21" xfId="2225" xr:uid="{ECACA3D7-4592-4C42-B783-AB9BEDDA09C3}"/>
    <cellStyle name="Entrada 2 2 3 3" xfId="2523" xr:uid="{E44725C5-2F79-49A7-9B38-4B66148A4904}"/>
    <cellStyle name="Entrada 2 2 3 3 10" xfId="7215" xr:uid="{C892299A-11FD-48DA-A988-4EBC4C33D336}"/>
    <cellStyle name="Entrada 2 2 3 3 10 2" xfId="12787" xr:uid="{5EE22DC4-0F8D-4FD9-9389-07BB6AFD3646}"/>
    <cellStyle name="Entrada 2 2 3 3 11" xfId="7280" xr:uid="{4BDB9183-107C-430A-96B8-CF705DC406A1}"/>
    <cellStyle name="Entrada 2 2 3 3 11 2" xfId="12852" xr:uid="{F1D5023A-8327-40DF-A4B8-8E2342B8F405}"/>
    <cellStyle name="Entrada 2 2 3 3 12" xfId="8737" xr:uid="{D2D58920-402F-4AFA-98DE-1CC9B31B61D4}"/>
    <cellStyle name="Entrada 2 2 3 3 12 2" xfId="14093" xr:uid="{25678B7B-664D-4597-8AC6-74B6DC136BE4}"/>
    <cellStyle name="Entrada 2 2 3 3 13" xfId="9053" xr:uid="{5D1D7815-1B23-4D1C-B9BD-8EC0B68D3296}"/>
    <cellStyle name="Entrada 2 2 3 3 2" xfId="3079" xr:uid="{13CDD1BA-AC8C-4C15-8B98-47BA013070E0}"/>
    <cellStyle name="Entrada 2 2 3 3 2 2" xfId="4019" xr:uid="{6E6C3046-59E3-4913-9ECB-7602EAD3E540}"/>
    <cellStyle name="Entrada 2 2 3 3 2 2 2" xfId="10133" xr:uid="{5998CEEF-1D28-4DA2-A9FB-60FF3FC7007C}"/>
    <cellStyle name="Entrada 2 2 3 3 2 3" xfId="6990" xr:uid="{287DEE79-BBB1-4187-9F87-734CC471FDA1}"/>
    <cellStyle name="Entrada 2 2 3 3 2 3 2" xfId="12596" xr:uid="{7A799EE2-8767-4C06-9F17-7902CF812105}"/>
    <cellStyle name="Entrada 2 2 3 3 2 4" xfId="7668" xr:uid="{065223B6-551F-470C-AD44-632E24DC8A2C}"/>
    <cellStyle name="Entrada 2 2 3 3 2 4 2" xfId="13240" xr:uid="{A8E96F28-991A-4D0E-B802-5C7F33D208D4}"/>
    <cellStyle name="Entrada 2 2 3 3 2 5" xfId="8161" xr:uid="{C1CC9A0C-9121-4760-BEF1-A09EF79A43C1}"/>
    <cellStyle name="Entrada 2 2 3 3 2 5 2" xfId="13733" xr:uid="{DA4A4C65-56C9-4092-BD5F-D738A460D23A}"/>
    <cellStyle name="Entrada 2 2 3 3 2 6" xfId="9413" xr:uid="{60A64E82-D4DA-4C17-9D44-EF090FCAA69D}"/>
    <cellStyle name="Entrada 2 2 3 3 3" xfId="3539" xr:uid="{84939ABC-9A1F-467A-9A13-764C9988975F}"/>
    <cellStyle name="Entrada 2 2 3 3 3 2" xfId="9773" xr:uid="{0A976A76-8281-4A8B-9346-D9C7BDFF6094}"/>
    <cellStyle name="Entrada 2 2 3 3 4" xfId="4736" xr:uid="{1FC602FE-A6C4-4E48-AD46-2C78734EF97E}"/>
    <cellStyle name="Entrada 2 2 3 3 4 2" xfId="10600" xr:uid="{6979D336-3FDF-4302-BD97-8D464BBF2AEA}"/>
    <cellStyle name="Entrada 2 2 3 3 5" xfId="4979" xr:uid="{EE3AF582-762B-4847-B40F-EB53FFC451A2}"/>
    <cellStyle name="Entrada 2 2 3 3 5 2" xfId="10825" xr:uid="{29ED0362-44E5-41C7-A8DC-34067FFE9F67}"/>
    <cellStyle name="Entrada 2 2 3 3 6" xfId="5127" xr:uid="{7809F2BE-7986-4233-A26E-ED5A1C0567B0}"/>
    <cellStyle name="Entrada 2 2 3 3 6 2" xfId="10973" xr:uid="{BF4B7114-9FEE-460E-81B0-CA48BDBF0101}"/>
    <cellStyle name="Entrada 2 2 3 3 7" xfId="5918" xr:uid="{A91C2063-CD2A-49E2-9635-285560397400}"/>
    <cellStyle name="Entrada 2 2 3 3 7 2" xfId="11646" xr:uid="{7BB57F86-1E71-49A5-BCA9-09AE7A950036}"/>
    <cellStyle name="Entrada 2 2 3 3 8" xfId="6248" xr:uid="{DC893D1B-7726-4E01-84F3-A063E7ADC0FB}"/>
    <cellStyle name="Entrada 2 2 3 3 8 2" xfId="11952" xr:uid="{680C40CF-4A66-4D92-8FC0-D28838263D0E}"/>
    <cellStyle name="Entrada 2 2 3 3 9" xfId="6450" xr:uid="{DC6D08B0-5C60-4952-8AF8-20515695B9F9}"/>
    <cellStyle name="Entrada 2 2 3 3 9 2" xfId="12154" xr:uid="{FFC665B3-A945-42D7-AEC2-1D10DFBACD69}"/>
    <cellStyle name="Entrada 2 2 3 4" xfId="2262" xr:uid="{1E98E43C-4586-4EBE-84C2-78883F7CC6A5}"/>
    <cellStyle name="Entrada 2 2 3 4 10" xfId="5652" xr:uid="{B2155592-FF45-4496-BF65-9A2F2219207F}"/>
    <cellStyle name="Entrada 2 2 3 4 10 2" xfId="11380" xr:uid="{9E3255DE-4CC4-4AA6-A5A2-05F6F0DD0284}"/>
    <cellStyle name="Entrada 2 2 3 4 11" xfId="7840" xr:uid="{4EF23AB8-69BE-4189-A76C-CA48DF602FBD}"/>
    <cellStyle name="Entrada 2 2 3 4 11 2" xfId="13412" xr:uid="{C486026D-0434-4EFB-9E59-7BC1AA1C650B}"/>
    <cellStyle name="Entrada 2 2 3 4 12" xfId="8476" xr:uid="{2B082BF9-A2E8-403D-9140-DCCE56C5515C}"/>
    <cellStyle name="Entrada 2 2 3 4 12 2" xfId="13956" xr:uid="{EAC06C60-2A6F-4153-94ED-9548F1339898}"/>
    <cellStyle name="Entrada 2 2 3 4 13" xfId="8916" xr:uid="{B60761FB-2C0D-4FEF-A109-7B9D292CECFD}"/>
    <cellStyle name="Entrada 2 2 3 4 2" xfId="2942" xr:uid="{4247FB98-AB5D-432F-BE00-C27E553FEFCB}"/>
    <cellStyle name="Entrada 2 2 3 4 2 2" xfId="3882" xr:uid="{75227DDC-2ADD-40F0-A111-C7DBF309E48B}"/>
    <cellStyle name="Entrada 2 2 3 4 2 2 2" xfId="9996" xr:uid="{9FFE280F-7643-4822-96FA-91EFF05BA3D7}"/>
    <cellStyle name="Entrada 2 2 3 4 2 3" xfId="6853" xr:uid="{E1F98444-D3EB-4EB9-8C36-3E7D5F25AE3F}"/>
    <cellStyle name="Entrada 2 2 3 4 2 3 2" xfId="12459" xr:uid="{CB6C16ED-CA38-4C50-A1AD-C0061890DCB5}"/>
    <cellStyle name="Entrada 2 2 3 4 2 4" xfId="7531" xr:uid="{BA1FD02B-A3F0-4B30-BA90-13F093FEDBAB}"/>
    <cellStyle name="Entrada 2 2 3 4 2 4 2" xfId="13103" xr:uid="{914B8096-41F1-4872-B7DF-5AD23F33E88F}"/>
    <cellStyle name="Entrada 2 2 3 4 2 5" xfId="8024" xr:uid="{D1A4BA16-F396-487F-BFFB-47C0039BF809}"/>
    <cellStyle name="Entrada 2 2 3 4 2 5 2" xfId="13596" xr:uid="{D45FE044-4F5E-4615-A17D-2E8750B57EEF}"/>
    <cellStyle name="Entrada 2 2 3 4 2 6" xfId="9276" xr:uid="{56911552-9D96-413C-B198-54090CE88AB8}"/>
    <cellStyle name="Entrada 2 2 3 4 3" xfId="3402" xr:uid="{DA141057-92AD-4813-BDEE-258D67B90C22}"/>
    <cellStyle name="Entrada 2 2 3 4 3 2" xfId="9636" xr:uid="{877FF661-70EC-43FC-99A5-1067EB6F9E0D}"/>
    <cellStyle name="Entrada 2 2 3 4 4" xfId="4569" xr:uid="{4CCCABD7-DE22-4AA6-8B7F-CE0A343CAB7E}"/>
    <cellStyle name="Entrada 2 2 3 4 4 2" xfId="10433" xr:uid="{3FA19B44-0D5E-4A23-A558-0BFF54EDEBDB}"/>
    <cellStyle name="Entrada 2 2 3 4 5" xfId="4814" xr:uid="{CA876CDD-542D-4635-93FB-2A46EECB8A51}"/>
    <cellStyle name="Entrada 2 2 3 4 5 2" xfId="10660" xr:uid="{36935178-59D8-4AD0-B2E5-7487FA095267}"/>
    <cellStyle name="Entrada 2 2 3 4 6" xfId="4854" xr:uid="{F55FC354-0858-44C1-ADF3-61BCE199E3D9}"/>
    <cellStyle name="Entrada 2 2 3 4 6 2" xfId="10700" xr:uid="{0C38F042-F400-49EB-B219-0EA493E663BD}"/>
    <cellStyle name="Entrada 2 2 3 4 7" xfId="5700" xr:uid="{FED03293-020C-4D52-98FB-0D41B9C6E1F0}"/>
    <cellStyle name="Entrada 2 2 3 4 7 2" xfId="11428" xr:uid="{EB45FA49-EAEA-41EF-9CD8-68CF4A8548A7}"/>
    <cellStyle name="Entrada 2 2 3 4 8" xfId="5681" xr:uid="{BEC23B71-C604-41D8-B385-B39930C841CB}"/>
    <cellStyle name="Entrada 2 2 3 4 8 2" xfId="11409" xr:uid="{FCA2469F-D9B6-4620-BBAF-5228FA11461E}"/>
    <cellStyle name="Entrada 2 2 3 4 9" xfId="5314" xr:uid="{7288EAB4-F4CC-4F92-8C23-72F6F2F2B1C8}"/>
    <cellStyle name="Entrada 2 2 3 4 9 2" xfId="11158" xr:uid="{FA647E36-2A85-4328-AE18-E44EFEA4E44A}"/>
    <cellStyle name="Entrada 2 2 3 5" xfId="2681" xr:uid="{1804D755-AA8F-48BE-A485-C6F8379F0681}"/>
    <cellStyle name="Entrada 2 2 3 5 2" xfId="3145" xr:uid="{D66077FE-B049-4AD8-9663-1B0D9778C7C1}"/>
    <cellStyle name="Entrada 2 2 3 5 2 2" xfId="4103" xr:uid="{865F8EAC-8C02-4C53-9308-2F4ACD0A8F9D}"/>
    <cellStyle name="Entrada 2 2 3 5 2 2 2" xfId="10199" xr:uid="{5931564C-4AFF-4B91-9946-70084E63F5E3}"/>
    <cellStyle name="Entrada 2 2 3 5 2 3" xfId="7074" xr:uid="{D9456880-E779-469A-8210-553C183819B0}"/>
    <cellStyle name="Entrada 2 2 3 5 2 3 2" xfId="12662" xr:uid="{57C8A89A-019A-4302-B613-7B9F70E26150}"/>
    <cellStyle name="Entrada 2 2 3 5 2 4" xfId="7735" xr:uid="{71916CCB-3A1D-4360-A6EA-CC1352B57B51}"/>
    <cellStyle name="Entrada 2 2 3 5 2 4 2" xfId="13307" xr:uid="{794505DD-5583-46B1-8B88-DDBE9D03AB8E}"/>
    <cellStyle name="Entrada 2 2 3 5 2 5" xfId="8227" xr:uid="{C9BE0B93-BFA4-4971-BF66-C3F0201D0A16}"/>
    <cellStyle name="Entrada 2 2 3 5 2 5 2" xfId="13799" xr:uid="{A50528B8-4133-4981-A292-BC6DE968F021}"/>
    <cellStyle name="Entrada 2 2 3 5 2 6" xfId="9479" xr:uid="{7B571D89-2BDC-4DC6-AED0-35FC713DEC00}"/>
    <cellStyle name="Entrada 2 2 3 5 3" xfId="3623" xr:uid="{24F36414-C9D6-40DC-8075-1EA8A9B74D35}"/>
    <cellStyle name="Entrada 2 2 3 5 3 2" xfId="9839" xr:uid="{56074D70-AA2E-4A28-810D-486B60A50275}"/>
    <cellStyle name="Entrada 2 2 3 5 4" xfId="6060" xr:uid="{CECEBA83-7391-4C35-AB7B-7F21D95B6226}"/>
    <cellStyle name="Entrada 2 2 3 5 4 2" xfId="11772" xr:uid="{09F96ACD-FE5D-47AE-836F-6E9FBBBA4474}"/>
    <cellStyle name="Entrada 2 2 3 5 5" xfId="6578" xr:uid="{D04F64FD-2D4F-47CC-BC3B-BBC662BB137E}"/>
    <cellStyle name="Entrada 2 2 3 5 5 2" xfId="12282" xr:uid="{9D10EB00-D273-4F26-851C-CB90EFF86908}"/>
    <cellStyle name="Entrada 2 2 3 5 6" xfId="7332" xr:uid="{E1B934CA-29FC-4B3A-AC33-ED90CD182B57}"/>
    <cellStyle name="Entrada 2 2 3 5 6 2" xfId="12904" xr:uid="{93B660A1-42AC-49B0-AF06-4A60F45F346B}"/>
    <cellStyle name="Entrada 2 2 3 5 7" xfId="7867" xr:uid="{092C0550-3629-4B2B-B2FE-8C24F77CABA0}"/>
    <cellStyle name="Entrada 2 2 3 5 7 2" xfId="13439" xr:uid="{78EAD71D-DFCA-4772-875E-0BA1B05A29EA}"/>
    <cellStyle name="Entrada 2 2 3 5 8" xfId="9119" xr:uid="{47E2C02A-7304-4CE5-80BF-05B96A023B42}"/>
    <cellStyle name="Entrada 2 2 3 6" xfId="2773" xr:uid="{859BB108-9B0A-4198-9A27-E7E287EFF4FD}"/>
    <cellStyle name="Entrada 2 2 3 6 2" xfId="3205" xr:uid="{F5AE577A-2734-47C1-958D-85532E3D21FB}"/>
    <cellStyle name="Entrada 2 2 3 6 2 2" xfId="4163" xr:uid="{EAFB0635-DAC1-4B5E-BD18-57E2D88EEFEC}"/>
    <cellStyle name="Entrada 2 2 3 6 2 2 2" xfId="10259" xr:uid="{A26FE814-61A5-432B-837F-2E054546F657}"/>
    <cellStyle name="Entrada 2 2 3 6 2 3" xfId="7134" xr:uid="{D60C9788-657E-4543-A4A0-1B7FCCD74813}"/>
    <cellStyle name="Entrada 2 2 3 6 2 3 2" xfId="12722" xr:uid="{06DB2F0B-0D73-45D4-A091-9DAA5BD8DE02}"/>
    <cellStyle name="Entrada 2 2 3 6 2 4" xfId="7795" xr:uid="{8AEE57A3-BC5E-4A64-A2F2-33711246432C}"/>
    <cellStyle name="Entrada 2 2 3 6 2 4 2" xfId="13367" xr:uid="{33994861-566F-4934-BEEF-DFFA9CA9FB92}"/>
    <cellStyle name="Entrada 2 2 3 6 2 5" xfId="8287" xr:uid="{2DEC379D-DDAE-4671-B663-36DF3D5DE558}"/>
    <cellStyle name="Entrada 2 2 3 6 2 5 2" xfId="13859" xr:uid="{54DC777B-94E5-4B99-9550-6D40F7A57B52}"/>
    <cellStyle name="Entrada 2 2 3 6 2 6" xfId="9539" xr:uid="{F91EB9E0-1381-427D-867A-8BB8E29EA3F2}"/>
    <cellStyle name="Entrada 2 2 3 6 3" xfId="3683" xr:uid="{DC6757C4-B3AA-4A8B-A8E1-56DBEFCF4E7C}"/>
    <cellStyle name="Entrada 2 2 3 6 3 2" xfId="9899" xr:uid="{5A359ABD-3D8B-4189-8579-84FC77225DA8}"/>
    <cellStyle name="Entrada 2 2 3 6 4" xfId="6140" xr:uid="{1ABF17F1-E5D1-4168-8536-36CDEEEE89A5}"/>
    <cellStyle name="Entrada 2 2 3 6 4 2" xfId="11852" xr:uid="{0B5AFFD4-B370-44BC-B23F-AC82B258CF3C}"/>
    <cellStyle name="Entrada 2 2 3 6 5" xfId="6650" xr:uid="{AB6BDF78-6283-4FC5-9824-526CA9681FDF}"/>
    <cellStyle name="Entrada 2 2 3 6 5 2" xfId="12354" xr:uid="{55A3F93B-3474-43E6-B713-D4EE5310D8AB}"/>
    <cellStyle name="Entrada 2 2 3 6 6" xfId="7394" xr:uid="{21E0ABB7-E896-4441-AC2E-558AF5084B03}"/>
    <cellStyle name="Entrada 2 2 3 6 6 2" xfId="12966" xr:uid="{D5C1DC11-DBB9-465A-8B00-E45F5EDEAD8F}"/>
    <cellStyle name="Entrada 2 2 3 6 7" xfId="7927" xr:uid="{3161563E-6E8B-44FF-A430-CAE42F2DAF11}"/>
    <cellStyle name="Entrada 2 2 3 6 7 2" xfId="13499" xr:uid="{71070452-602E-4347-9580-70B2B3EECD53}"/>
    <cellStyle name="Entrada 2 2 3 6 8" xfId="9179" xr:uid="{A1CAAE3F-5245-4619-98B4-D070984F0112}"/>
    <cellStyle name="Entrada 2 2 3 7" xfId="2873" xr:uid="{7525DEAC-B7F1-4AA1-BF06-8D021B33DA5C}"/>
    <cellStyle name="Entrada 2 2 3 7 2" xfId="3797" xr:uid="{C990BD72-62E6-44F8-B056-A59479557DB8}"/>
    <cellStyle name="Entrada 2 2 3 7 2 2" xfId="9959" xr:uid="{2D9D0BFA-5FA1-4032-928E-5E85DB63E8C6}"/>
    <cellStyle name="Entrada 2 2 3 7 3" xfId="6768" xr:uid="{3E0F3DF9-080A-4C7F-AE6F-098E68A3C15D}"/>
    <cellStyle name="Entrada 2 2 3 7 3 2" xfId="12422" xr:uid="{86A4BC09-369E-4DCB-AEA3-39FB4AEFEE81}"/>
    <cellStyle name="Entrada 2 2 3 7 4" xfId="7478" xr:uid="{215D3F4C-C23B-482E-8A84-35BF4161F3B1}"/>
    <cellStyle name="Entrada 2 2 3 7 4 2" xfId="13050" xr:uid="{F513739A-1DCC-465E-AF57-DA3A3109F109}"/>
    <cellStyle name="Entrada 2 2 3 7 5" xfId="7987" xr:uid="{D4EDA4B8-C20A-49EB-B86E-A8182397EAFD}"/>
    <cellStyle name="Entrada 2 2 3 7 5 2" xfId="13559" xr:uid="{ED0D48A2-AE59-469E-8643-F471B12F9F02}"/>
    <cellStyle name="Entrada 2 2 3 7 6" xfId="9239" xr:uid="{EC96436D-7442-4D22-BB9C-0F9225ACEB57}"/>
    <cellStyle name="Entrada 2 2 3 8" xfId="3317" xr:uid="{19015F2B-7D93-4F16-8363-065A7F167B45}"/>
    <cellStyle name="Entrada 2 2 3 8 2" xfId="9599" xr:uid="{710EDEE2-F805-4C33-BC75-A104420BA4CE}"/>
    <cellStyle name="Entrada 2 2 3 9" xfId="4484" xr:uid="{14B2A119-B920-47C6-A09D-08F405A3E9F7}"/>
    <cellStyle name="Entrada 2 2 3 9 2" xfId="10396" xr:uid="{11C5D573-5BA1-4D71-BC8D-C7E053CA9CE3}"/>
    <cellStyle name="Entrada 2 2 4" xfId="1538" xr:uid="{4A0256C5-77E9-4E97-B2B9-ECD956537BDD}"/>
    <cellStyle name="Entrada 2 2 4 10" xfId="4341" xr:uid="{B337C635-078C-4BEE-84AA-70B136F30386}"/>
    <cellStyle name="Entrada 2 2 4 10 2" xfId="10301" xr:uid="{C4C5FB64-280A-49A4-96E0-248C13208125}"/>
    <cellStyle name="Entrada 2 2 4 11" xfId="4861" xr:uid="{F0CC62F5-2279-4253-B647-F9A97E6AF350}"/>
    <cellStyle name="Entrada 2 2 4 11 2" xfId="10707" xr:uid="{40FBD3EC-5E86-456D-8776-A7D46DEA4E1A}"/>
    <cellStyle name="Entrada 2 2 4 12" xfId="5453" xr:uid="{769E191E-3FFF-427E-9DB4-772C34D5E733}"/>
    <cellStyle name="Entrada 2 2 4 12 2" xfId="11247" xr:uid="{72E01450-76A8-4C49-A6DA-F98F7E19A7F4}"/>
    <cellStyle name="Entrada 2 2 4 13" xfId="5621" xr:uid="{C2A004BD-15A7-4487-8CC9-5AB62EEB4B4C}"/>
    <cellStyle name="Entrada 2 2 4 13 2" xfId="11349" xr:uid="{2F7222C4-6E8F-42ED-924F-24F349E73615}"/>
    <cellStyle name="Entrada 2 2 4 14" xfId="5169" xr:uid="{4BCEBBCD-2519-482E-AC54-101811F07EE1}"/>
    <cellStyle name="Entrada 2 2 4 14 2" xfId="11015" xr:uid="{F4DB86F4-8D36-4097-B89C-B40E16E31AFA}"/>
    <cellStyle name="Entrada 2 2 4 15" xfId="5882" xr:uid="{6C326881-D47D-4880-9A90-45C034AA8D08}"/>
    <cellStyle name="Entrada 2 2 4 15 2" xfId="11610" xr:uid="{EF5E2483-26F9-455D-8FB8-6C9EB83D344C}"/>
    <cellStyle name="Entrada 2 2 4 16" xfId="6018" xr:uid="{162E22FA-6148-442D-BA50-75E2BDCDEA10}"/>
    <cellStyle name="Entrada 2 2 4 16 2" xfId="11730" xr:uid="{697372F8-BE95-4A53-B55D-E615F5B6E64F}"/>
    <cellStyle name="Entrada 2 2 4 17" xfId="6496" xr:uid="{0FFEDF00-0C52-4897-9C8A-1A05F49D6D82}"/>
    <cellStyle name="Entrada 2 2 4 17 2" xfId="12200" xr:uid="{85B83E45-5F82-44A7-9B7B-C309B03DBA33}"/>
    <cellStyle name="Entrada 2 2 4 18" xfId="7279" xr:uid="{97B4A30D-1950-4920-9269-DB7670AA98BA}"/>
    <cellStyle name="Entrada 2 2 4 18 2" xfId="12851" xr:uid="{C7AB4A12-7C90-441A-A32C-CE35230FC881}"/>
    <cellStyle name="Entrada 2 2 4 19" xfId="8469" xr:uid="{C1393475-D399-4820-B3FE-E06293EDDD4E}"/>
    <cellStyle name="Entrada 2 2 4 19 2" xfId="13949" xr:uid="{1D17AAD8-A028-4563-AAFF-C218756CA2A9}"/>
    <cellStyle name="Entrada 2 2 4 2" xfId="2449" xr:uid="{7B0DE91B-2837-46C1-A4AD-17187ACCA3C0}"/>
    <cellStyle name="Entrada 2 2 4 2 10" xfId="5344" xr:uid="{BE03DCC6-06CB-4366-B34D-C7AE9C779564}"/>
    <cellStyle name="Entrada 2 2 4 2 10 2" xfId="11176" xr:uid="{DB224645-9377-44FC-88E3-F4426189510C}"/>
    <cellStyle name="Entrada 2 2 4 2 11" xfId="5756" xr:uid="{540FC222-2113-41FB-8A9F-0E00FA16C3B7}"/>
    <cellStyle name="Entrada 2 2 4 2 11 2" xfId="11484" xr:uid="{E4ED1112-01D4-4529-A7AA-B1C546F52BA0}"/>
    <cellStyle name="Entrada 2 2 4 2 12" xfId="8663" xr:uid="{7B9EF0D5-5233-4182-AFFF-E2F3BD2BCD39}"/>
    <cellStyle name="Entrada 2 2 4 2 12 2" xfId="14051" xr:uid="{B2DC9D66-05F2-4FEA-9265-2AA446A90649}"/>
    <cellStyle name="Entrada 2 2 4 2 13" xfId="9011" xr:uid="{12D16473-F7A3-4A3C-A067-2D0F96FAD9C1}"/>
    <cellStyle name="Entrada 2 2 4 2 2" xfId="3037" xr:uid="{B5BA0388-6CFE-4D94-ACC6-A88484524A2C}"/>
    <cellStyle name="Entrada 2 2 4 2 2 2" xfId="3977" xr:uid="{2DEFC698-B2B2-460A-B014-91438A32B7B9}"/>
    <cellStyle name="Entrada 2 2 4 2 2 2 2" xfId="10091" xr:uid="{E5EEAB65-D2DA-4965-A0EC-D25DE2F9DD13}"/>
    <cellStyle name="Entrada 2 2 4 2 2 3" xfId="6948" xr:uid="{DCED97C7-A447-49FF-A90D-5E439ED6344C}"/>
    <cellStyle name="Entrada 2 2 4 2 2 3 2" xfId="12554" xr:uid="{5846737F-065F-4E08-BB53-38B8D0BB9894}"/>
    <cellStyle name="Entrada 2 2 4 2 2 4" xfId="7626" xr:uid="{7D7CE949-5792-41E3-9B4E-8E92C49935A5}"/>
    <cellStyle name="Entrada 2 2 4 2 2 4 2" xfId="13198" xr:uid="{F563B849-C7CE-43D3-BCDF-4FE5F5EAF56C}"/>
    <cellStyle name="Entrada 2 2 4 2 2 5" xfId="8119" xr:uid="{7A905F21-495D-4AF8-9A2C-9E533FE33F9C}"/>
    <cellStyle name="Entrada 2 2 4 2 2 5 2" xfId="13691" xr:uid="{6F7DF087-7D16-4B2C-B5D7-8884D55C0562}"/>
    <cellStyle name="Entrada 2 2 4 2 2 6" xfId="9371" xr:uid="{FAD50A1C-9C7E-46A3-9A49-9DE78E0C56B0}"/>
    <cellStyle name="Entrada 2 2 4 2 3" xfId="3497" xr:uid="{0C461CAC-5068-48F1-9F66-E3D55E5F3B57}"/>
    <cellStyle name="Entrada 2 2 4 2 3 2" xfId="9731" xr:uid="{480303F7-CE5F-4CA4-AD6F-58CF0383B9FD}"/>
    <cellStyle name="Entrada 2 2 4 2 4" xfId="4690" xr:uid="{09714EF6-895B-4E7B-85DC-5D3C630D0C84}"/>
    <cellStyle name="Entrada 2 2 4 2 4 2" xfId="10554" xr:uid="{100E9F89-7EB0-4D90-B85D-73B5FAC98021}"/>
    <cellStyle name="Entrada 2 2 4 2 5" xfId="4929" xr:uid="{A63B23B3-F67A-4E2A-BD5A-E218B5A940A3}"/>
    <cellStyle name="Entrada 2 2 4 2 5 2" xfId="10775" xr:uid="{86871E4A-EFF1-45D3-8064-15B42A526126}"/>
    <cellStyle name="Entrada 2 2 4 2 6" xfId="5085" xr:uid="{5EF1D8AF-CED6-4422-980E-F707554D14FB}"/>
    <cellStyle name="Entrada 2 2 4 2 6 2" xfId="10931" xr:uid="{26BC3CEE-525F-40CF-B520-9ADBF1850071}"/>
    <cellStyle name="Entrada 2 2 4 2 7" xfId="5855" xr:uid="{FA541469-1021-4E59-AA30-347869256BCB}"/>
    <cellStyle name="Entrada 2 2 4 2 7 2" xfId="11583" xr:uid="{E0A5955B-BA97-443D-A7DF-0E6CBB1FCC59}"/>
    <cellStyle name="Entrada 2 2 4 2 8" xfId="6184" xr:uid="{A3788815-F954-49EF-AC55-D0F9CC85A4B6}"/>
    <cellStyle name="Entrada 2 2 4 2 8 2" xfId="11888" xr:uid="{217F29CD-ADC3-4720-BC4E-E4B029FB20A4}"/>
    <cellStyle name="Entrada 2 2 4 2 9" xfId="6392" xr:uid="{F30466DB-F4D1-472B-89CC-1F8B34E31861}"/>
    <cellStyle name="Entrada 2 2 4 2 9 2" xfId="12096" xr:uid="{7A00604E-7B4A-4ACD-9805-FED33CE6A0DD}"/>
    <cellStyle name="Entrada 2 2 4 20" xfId="8909" xr:uid="{F90290B5-B6FC-4DFF-BE01-C55958091066}"/>
    <cellStyle name="Entrada 2 2 4 21" xfId="2255" xr:uid="{98AA1270-23F6-4F34-92B9-90DD74EED5F3}"/>
    <cellStyle name="Entrada 2 2 4 3" xfId="2554" xr:uid="{B7407E28-01EE-4604-9BD1-959A9EDF04F1}"/>
    <cellStyle name="Entrada 2 2 4 3 10" xfId="7246" xr:uid="{25A14A7C-0EFF-4438-BC63-5E9C3017F29E}"/>
    <cellStyle name="Entrada 2 2 4 3 10 2" xfId="12818" xr:uid="{AAF4EEA2-EB80-41C0-9E7E-971B0F788090}"/>
    <cellStyle name="Entrada 2 2 4 3 11" xfId="6321" xr:uid="{A37BAF26-8F40-4723-85A7-35B6040FA892}"/>
    <cellStyle name="Entrada 2 2 4 3 11 2" xfId="12025" xr:uid="{B2C4B644-2473-439B-BC46-DD01AB3CC7E5}"/>
    <cellStyle name="Entrada 2 2 4 3 12" xfId="8768" xr:uid="{ADD784E1-C826-45AA-8695-284CE24E768E}"/>
    <cellStyle name="Entrada 2 2 4 3 12 2" xfId="14124" xr:uid="{5524ACE4-6192-470B-8C10-B492FAAB381C}"/>
    <cellStyle name="Entrada 2 2 4 3 13" xfId="9084" xr:uid="{CA66E85E-5AF6-4D0B-B9CF-42F30B090242}"/>
    <cellStyle name="Entrada 2 2 4 3 2" xfId="3110" xr:uid="{6E6FEEB5-3731-40BA-86A7-665795AC9194}"/>
    <cellStyle name="Entrada 2 2 4 3 2 2" xfId="4050" xr:uid="{5510C64F-EC69-41B9-8279-DD7F32022848}"/>
    <cellStyle name="Entrada 2 2 4 3 2 2 2" xfId="10164" xr:uid="{3F38962E-FA65-43FE-A8A7-C9487FC68120}"/>
    <cellStyle name="Entrada 2 2 4 3 2 3" xfId="7021" xr:uid="{E3261FCD-2417-443E-8B4F-A2D7324A0962}"/>
    <cellStyle name="Entrada 2 2 4 3 2 3 2" xfId="12627" xr:uid="{E49AFDD9-C8C4-4033-A4F4-60B994112B84}"/>
    <cellStyle name="Entrada 2 2 4 3 2 4" xfId="7699" xr:uid="{C6CB6416-709F-4D09-870E-37FB839692B4}"/>
    <cellStyle name="Entrada 2 2 4 3 2 4 2" xfId="13271" xr:uid="{19D2CE48-269B-47FF-9035-63BEC5308AAF}"/>
    <cellStyle name="Entrada 2 2 4 3 2 5" xfId="8192" xr:uid="{AD35BCEE-EC5E-4858-80FC-CE306AAC63B8}"/>
    <cellStyle name="Entrada 2 2 4 3 2 5 2" xfId="13764" xr:uid="{BE07F474-985C-460D-9B77-62270CC771DC}"/>
    <cellStyle name="Entrada 2 2 4 3 2 6" xfId="9444" xr:uid="{66C04444-054F-42CE-897A-BB9E8B780B52}"/>
    <cellStyle name="Entrada 2 2 4 3 3" xfId="3570" xr:uid="{A62B71D7-A239-4CF1-8A07-FC5A4DE842A6}"/>
    <cellStyle name="Entrada 2 2 4 3 3 2" xfId="9804" xr:uid="{81D1DD4A-5E47-4922-95CB-C726E8A62931}"/>
    <cellStyle name="Entrada 2 2 4 3 4" xfId="4767" xr:uid="{A95F7728-19B9-414F-A360-052A232A765E}"/>
    <cellStyle name="Entrada 2 2 4 3 4 2" xfId="10631" xr:uid="{91CC0573-8D8D-437B-B0C5-891847FBDDA4}"/>
    <cellStyle name="Entrada 2 2 4 3 5" xfId="5010" xr:uid="{1EC946A6-B9B2-4184-BA6F-EAE7B888F698}"/>
    <cellStyle name="Entrada 2 2 4 3 5 2" xfId="10856" xr:uid="{9F2BFCD7-E288-4C2C-994A-87D724D305A0}"/>
    <cellStyle name="Entrada 2 2 4 3 6" xfId="5158" xr:uid="{2301539C-D40F-40C3-B541-D805AFFB2C7E}"/>
    <cellStyle name="Entrada 2 2 4 3 6 2" xfId="11004" xr:uid="{7AC1DF2E-2B5B-4597-8C64-5ADBFDFD4F05}"/>
    <cellStyle name="Entrada 2 2 4 3 7" xfId="5949" xr:uid="{3A3452E8-7226-48C9-A001-73FC489B8021}"/>
    <cellStyle name="Entrada 2 2 4 3 7 2" xfId="11677" xr:uid="{CB99E34E-1568-44A6-8B8A-EEB3071D9449}"/>
    <cellStyle name="Entrada 2 2 4 3 8" xfId="6279" xr:uid="{8142583C-8D78-41BD-901F-C161294A252D}"/>
    <cellStyle name="Entrada 2 2 4 3 8 2" xfId="11983" xr:uid="{9CB8E96F-5EAB-4EAC-ABEA-F01240AE039C}"/>
    <cellStyle name="Entrada 2 2 4 3 9" xfId="6481" xr:uid="{471D0BCF-535A-4112-AE7C-EFF0EB2F66DA}"/>
    <cellStyle name="Entrada 2 2 4 3 9 2" xfId="12185" xr:uid="{CD85A046-F700-42AE-B895-FD4DA48C47DA}"/>
    <cellStyle name="Entrada 2 2 4 4" xfId="2282" xr:uid="{27187949-3F00-4117-8ED5-737A1ED24F41}"/>
    <cellStyle name="Entrada 2 2 4 4 10" xfId="6507" xr:uid="{CA3CEFBE-5B1A-4800-849B-2406985A5BE2}"/>
    <cellStyle name="Entrada 2 2 4 4 10 2" xfId="12211" xr:uid="{E3E6F492-80A0-4311-BC6B-F95B7A7FC818}"/>
    <cellStyle name="Entrada 2 2 4 4 11" xfId="7435" xr:uid="{C34A0D55-4B8E-4EEF-84C6-5CE38ACA1DD0}"/>
    <cellStyle name="Entrada 2 2 4 4 11 2" xfId="13007" xr:uid="{556581E4-D46F-4F99-9439-C7D5234ABFF0}"/>
    <cellStyle name="Entrada 2 2 4 4 12" xfId="8496" xr:uid="{360B7551-94E0-4528-A69F-8E9B600AEB47}"/>
    <cellStyle name="Entrada 2 2 4 4 12 2" xfId="13976" xr:uid="{B6BADB96-6EED-4602-AADD-868432E97C6A}"/>
    <cellStyle name="Entrada 2 2 4 4 13" xfId="8936" xr:uid="{4608D0F1-72A2-4603-8243-38173615F32C}"/>
    <cellStyle name="Entrada 2 2 4 4 2" xfId="2962" xr:uid="{5E7F101D-C02F-4EDC-AE97-AD0F25DEA31F}"/>
    <cellStyle name="Entrada 2 2 4 4 2 2" xfId="3902" xr:uid="{D43D4DCD-BFD1-4DFB-9877-C02A4FD87F24}"/>
    <cellStyle name="Entrada 2 2 4 4 2 2 2" xfId="10016" xr:uid="{631B52DA-687B-4555-B143-E3DFACB46880}"/>
    <cellStyle name="Entrada 2 2 4 4 2 3" xfId="6873" xr:uid="{1BCDE278-1350-4CA6-BC6F-43B41212765E}"/>
    <cellStyle name="Entrada 2 2 4 4 2 3 2" xfId="12479" xr:uid="{BE38353C-F2E0-40F0-BFFC-F82BAF1CA54F}"/>
    <cellStyle name="Entrada 2 2 4 4 2 4" xfId="7551" xr:uid="{47FAB115-A49A-472B-BE23-2AF8913CFB68}"/>
    <cellStyle name="Entrada 2 2 4 4 2 4 2" xfId="13123" xr:uid="{D73E53F5-9448-4F89-A5E8-69EAA13B6902}"/>
    <cellStyle name="Entrada 2 2 4 4 2 5" xfId="8044" xr:uid="{29EC5090-938E-4619-94B4-373491867DD3}"/>
    <cellStyle name="Entrada 2 2 4 4 2 5 2" xfId="13616" xr:uid="{B0577C24-C02F-4830-98C5-4F426AE7BD71}"/>
    <cellStyle name="Entrada 2 2 4 4 2 6" xfId="9296" xr:uid="{12A40D15-2F37-4CDB-ABDF-BA57311AE955}"/>
    <cellStyle name="Entrada 2 2 4 4 3" xfId="3422" xr:uid="{65B02297-8806-479F-8176-3F56B45F4A81}"/>
    <cellStyle name="Entrada 2 2 4 4 3 2" xfId="9656" xr:uid="{339EACF9-6297-4D43-AA60-E552D8CC9DC6}"/>
    <cellStyle name="Entrada 2 2 4 4 4" xfId="4589" xr:uid="{3CB3E413-EE6D-46B2-A183-C77B6B692EF1}"/>
    <cellStyle name="Entrada 2 2 4 4 4 2" xfId="10453" xr:uid="{1A1FD505-C097-455A-92A9-1A532146B1FE}"/>
    <cellStyle name="Entrada 2 2 4 4 5" xfId="4834" xr:uid="{3241BE52-EFA3-4C49-8FA4-A912E7D170F8}"/>
    <cellStyle name="Entrada 2 2 4 4 5 2" xfId="10680" xr:uid="{1E821FA8-F6BE-4E5B-AA9F-F772733F8654}"/>
    <cellStyle name="Entrada 2 2 4 4 6" xfId="5020" xr:uid="{85CD57AB-62FA-4ED6-B993-15F8619E8C37}"/>
    <cellStyle name="Entrada 2 2 4 4 6 2" xfId="10866" xr:uid="{619802E2-44F1-4572-A2CF-5427357A4DA1}"/>
    <cellStyle name="Entrada 2 2 4 4 7" xfId="5720" xr:uid="{1C2D4E41-8566-4D00-A925-81596CD1BA9A}"/>
    <cellStyle name="Entrada 2 2 4 4 7 2" xfId="11448" xr:uid="{3637405D-4AAF-495F-B2F5-3B9FCCFC2812}"/>
    <cellStyle name="Entrada 2 2 4 4 8" xfId="5534" xr:uid="{9FE56362-146F-4298-9CCB-DCCACAB909D4}"/>
    <cellStyle name="Entrada 2 2 4 4 8 2" xfId="11262" xr:uid="{957F2BEA-F2B7-468C-9CA2-F8F374C19AE6}"/>
    <cellStyle name="Entrada 2 2 4 4 9" xfId="6291" xr:uid="{64376933-7219-4942-90A8-4546548F885D}"/>
    <cellStyle name="Entrada 2 2 4 4 9 2" xfId="11995" xr:uid="{D495FC13-0B8C-4F4F-8271-6F27E4BAC75F}"/>
    <cellStyle name="Entrada 2 2 4 5" xfId="2711" xr:uid="{B675396F-F4FA-4B4D-8CAE-C32FC4B30969}"/>
    <cellStyle name="Entrada 2 2 4 5 2" xfId="3175" xr:uid="{DA67CF68-F295-4FB9-BE4D-8A9D909FA211}"/>
    <cellStyle name="Entrada 2 2 4 5 2 2" xfId="4133" xr:uid="{72C18935-E14E-4139-9FE4-8B156EFF0E5A}"/>
    <cellStyle name="Entrada 2 2 4 5 2 2 2" xfId="10229" xr:uid="{B26E1B26-371D-4652-8A39-00E6D750292D}"/>
    <cellStyle name="Entrada 2 2 4 5 2 3" xfId="7104" xr:uid="{4970F731-3876-4381-B387-E6704D2C6B90}"/>
    <cellStyle name="Entrada 2 2 4 5 2 3 2" xfId="12692" xr:uid="{42C4384A-A3C5-4D9F-B2E0-47D48291982D}"/>
    <cellStyle name="Entrada 2 2 4 5 2 4" xfId="7765" xr:uid="{8F7E8860-FA99-4A1E-8207-372DE6BE6DBD}"/>
    <cellStyle name="Entrada 2 2 4 5 2 4 2" xfId="13337" xr:uid="{C5D9ABB3-11DA-4881-B98E-D3969CA790CF}"/>
    <cellStyle name="Entrada 2 2 4 5 2 5" xfId="8257" xr:uid="{A7313950-F9AF-4143-BABE-5E77B46CB866}"/>
    <cellStyle name="Entrada 2 2 4 5 2 5 2" xfId="13829" xr:uid="{A9295071-588F-4719-BF8E-7622DF815AC2}"/>
    <cellStyle name="Entrada 2 2 4 5 2 6" xfId="9509" xr:uid="{04DA0992-46B7-4440-BCC6-5B7F5829AEDC}"/>
    <cellStyle name="Entrada 2 2 4 5 3" xfId="3653" xr:uid="{5F816DBD-468B-4237-8A67-8FCDC4988E7A}"/>
    <cellStyle name="Entrada 2 2 4 5 3 2" xfId="9869" xr:uid="{29B3B646-26B3-4ABD-BD5B-30541C209A1B}"/>
    <cellStyle name="Entrada 2 2 4 5 4" xfId="6090" xr:uid="{A59E8397-F502-4812-BF4F-440A2076D517}"/>
    <cellStyle name="Entrada 2 2 4 5 4 2" xfId="11802" xr:uid="{434BA495-9A35-4A34-81A4-2702FADF59CD}"/>
    <cellStyle name="Entrada 2 2 4 5 5" xfId="6608" xr:uid="{289026AE-1688-49F1-8211-EBA257FA228E}"/>
    <cellStyle name="Entrada 2 2 4 5 5 2" xfId="12312" xr:uid="{0A22489D-3EAB-44CD-A299-BD34B9BB9647}"/>
    <cellStyle name="Entrada 2 2 4 5 6" xfId="7362" xr:uid="{8031FC35-83F3-486C-98DE-8BBEA58DB653}"/>
    <cellStyle name="Entrada 2 2 4 5 6 2" xfId="12934" xr:uid="{881C1170-BC16-4854-B3F6-44EAD81738B6}"/>
    <cellStyle name="Entrada 2 2 4 5 7" xfId="7897" xr:uid="{4A150F5B-3F23-442E-A0E5-60C963B62044}"/>
    <cellStyle name="Entrada 2 2 4 5 7 2" xfId="13469" xr:uid="{37DD0F3E-E050-4334-AC09-5F3F3E2CB2E0}"/>
    <cellStyle name="Entrada 2 2 4 5 8" xfId="9149" xr:uid="{817B84FF-B3FF-4DB4-BD20-CC2EC36E744A}"/>
    <cellStyle name="Entrada 2 2 4 6" xfId="2803" xr:uid="{1EFDAFBE-660F-4141-ADD2-3516C659C15F}"/>
    <cellStyle name="Entrada 2 2 4 6 2" xfId="3235" xr:uid="{A75E5EAC-D954-4696-A90A-EF1B3AA740D7}"/>
    <cellStyle name="Entrada 2 2 4 6 2 2" xfId="4193" xr:uid="{752909C2-05CE-4411-8473-19B6A3361112}"/>
    <cellStyle name="Entrada 2 2 4 6 2 2 2" xfId="10289" xr:uid="{58C4F926-93BD-421D-A83C-BFD304CBDB2A}"/>
    <cellStyle name="Entrada 2 2 4 6 2 3" xfId="7164" xr:uid="{F61C6C1C-617F-4B74-BF0E-16E4B7187C96}"/>
    <cellStyle name="Entrada 2 2 4 6 2 3 2" xfId="12752" xr:uid="{A90418AA-4143-448D-8422-B667137C0549}"/>
    <cellStyle name="Entrada 2 2 4 6 2 4" xfId="7825" xr:uid="{FD9D770C-29A7-4ECB-9CFE-402EA49349D7}"/>
    <cellStyle name="Entrada 2 2 4 6 2 4 2" xfId="13397" xr:uid="{F9760FED-D0F7-436E-9083-894EA9E00808}"/>
    <cellStyle name="Entrada 2 2 4 6 2 5" xfId="8317" xr:uid="{0F6381BC-1AE4-45CA-B1F4-3B538FF577B1}"/>
    <cellStyle name="Entrada 2 2 4 6 2 5 2" xfId="13889" xr:uid="{82E4D7B7-8728-4BBE-9914-0DBC91C541FA}"/>
    <cellStyle name="Entrada 2 2 4 6 2 6" xfId="9569" xr:uid="{1C991256-D044-4D4E-B9F0-C60AB31367F8}"/>
    <cellStyle name="Entrada 2 2 4 6 3" xfId="3713" xr:uid="{8D0C0070-28A1-4186-8FD4-424E9E24602D}"/>
    <cellStyle name="Entrada 2 2 4 6 3 2" xfId="9929" xr:uid="{2C8317CF-78AF-4EC8-A30A-AC4CB1205A61}"/>
    <cellStyle name="Entrada 2 2 4 6 4" xfId="6170" xr:uid="{8D887CD0-902E-44CF-AD80-E4941F394927}"/>
    <cellStyle name="Entrada 2 2 4 6 4 2" xfId="11882" xr:uid="{7A4CAF04-6182-476D-82DE-58C5BDD99A01}"/>
    <cellStyle name="Entrada 2 2 4 6 5" xfId="6680" xr:uid="{37A80F65-94C8-4CCE-BDAC-8439354F7FC0}"/>
    <cellStyle name="Entrada 2 2 4 6 5 2" xfId="12384" xr:uid="{6F639DED-01B4-465A-A01B-127BD5A9C4F0}"/>
    <cellStyle name="Entrada 2 2 4 6 6" xfId="7424" xr:uid="{3AB7729B-7E5D-4A62-9B11-F119A01394E7}"/>
    <cellStyle name="Entrada 2 2 4 6 6 2" xfId="12996" xr:uid="{20356572-6C44-49F1-85F8-E0610BD757B4}"/>
    <cellStyle name="Entrada 2 2 4 6 7" xfId="7957" xr:uid="{033E9969-DA79-455E-97B5-CFC98CD02231}"/>
    <cellStyle name="Entrada 2 2 4 6 7 2" xfId="13529" xr:uid="{3775C416-B559-4B28-A260-B0C5302A6659}"/>
    <cellStyle name="Entrada 2 2 4 6 8" xfId="9209" xr:uid="{985712F8-0592-44E6-BF30-0640A6BAFA3B}"/>
    <cellStyle name="Entrada 2 2 4 7" xfId="2903" xr:uid="{571CF51A-AF1F-4429-8260-6C6EE9CDBDC2}"/>
    <cellStyle name="Entrada 2 2 4 7 2" xfId="3831" xr:uid="{0B26BC20-910B-4549-B187-E4F3BDAC6CDF}"/>
    <cellStyle name="Entrada 2 2 4 7 2 2" xfId="9989" xr:uid="{07B207BF-0D77-4461-98B3-4992BB591A6A}"/>
    <cellStyle name="Entrada 2 2 4 7 3" xfId="6802" xr:uid="{9104F8F7-C3C3-4A75-9BFC-81260A7F9FBF}"/>
    <cellStyle name="Entrada 2 2 4 7 3 2" xfId="12452" xr:uid="{42993671-2B5D-451C-AD8E-9BDF7ED0CADB}"/>
    <cellStyle name="Entrada 2 2 4 7 4" xfId="7509" xr:uid="{4D8C6EDE-487D-4D1B-A186-0F9DE807BE73}"/>
    <cellStyle name="Entrada 2 2 4 7 4 2" xfId="13081" xr:uid="{0F341155-CC48-4294-B6AB-00FC3979315A}"/>
    <cellStyle name="Entrada 2 2 4 7 5" xfId="8017" xr:uid="{2151A17F-72CE-4268-B7AF-F1604D1A14CC}"/>
    <cellStyle name="Entrada 2 2 4 7 5 2" xfId="13589" xr:uid="{6C9B32ED-7E1F-4760-B6A6-42198E508BEA}"/>
    <cellStyle name="Entrada 2 2 4 7 6" xfId="9269" xr:uid="{CF2E10BB-113D-4BB8-A9C2-D1844E2A2FFC}"/>
    <cellStyle name="Entrada 2 2 4 8" xfId="3351" xr:uid="{D92950E4-D99C-4D22-9E2B-3CD6E818201F}"/>
    <cellStyle name="Entrada 2 2 4 8 2" xfId="9629" xr:uid="{591891E8-1BD5-4E76-884F-5209FD3C8974}"/>
    <cellStyle name="Entrada 2 2 4 9" xfId="4518" xr:uid="{1EE75C8E-16D8-4B53-B632-A20CBE37ED89}"/>
    <cellStyle name="Entrada 2 2 4 9 2" xfId="10426" xr:uid="{5B1C8F53-170E-4A67-B720-21FA9BBFF3C3}"/>
    <cellStyle name="Entrada 2 2 5" xfId="8833" xr:uid="{B91208DB-A691-4C7F-B957-02B8100A39FA}"/>
    <cellStyle name="Entrada 2 2 6" xfId="1945" xr:uid="{BA3F863B-B2F4-4328-A2E1-CCEC0D3D8774}"/>
    <cellStyle name="Entrada 2 3" xfId="384" xr:uid="{7171B1F5-964A-4F3A-9881-171895EF8542}"/>
    <cellStyle name="Entrada 2 3 2" xfId="1452" xr:uid="{BD871B8B-689B-4BC6-8EB9-6DF2DAD26D34}"/>
    <cellStyle name="Entrada 2 3 2 2" xfId="1565" xr:uid="{8FE22EA3-0FBC-4F3A-9306-D2FDC34C959B}"/>
    <cellStyle name="Entrada 2 3 2 2 10" xfId="4359" xr:uid="{14C3C978-D851-40B1-9A63-9017B3ACA13E}"/>
    <cellStyle name="Entrada 2 3 2 2 10 2" xfId="10319" xr:uid="{88323976-1154-42D6-A8BD-08EC62716D0D}"/>
    <cellStyle name="Entrada 2 3 2 2 11" xfId="4423" xr:uid="{2F198F1B-AE0D-432F-B13F-2FC788930BB8}"/>
    <cellStyle name="Entrada 2 3 2 2 11 2" xfId="10369" xr:uid="{E869085B-7D99-4AB8-9F82-01BF2E269CCA}"/>
    <cellStyle name="Entrada 2 3 2 2 12" xfId="5446" xr:uid="{0AEE2544-1495-4CA6-B1E1-54DEF74BC631}"/>
    <cellStyle name="Entrada 2 3 2 2 12 2" xfId="11240" xr:uid="{2538843D-4989-4597-A33F-43E6E2ACFE0F}"/>
    <cellStyle name="Entrada 2 3 2 2 13" xfId="5614" xr:uid="{42DCEE0D-6AC3-46CF-A89E-25256ACA5EC7}"/>
    <cellStyle name="Entrada 2 3 2 2 13 2" xfId="11342" xr:uid="{94BDA575-7349-4237-983B-F8FA31606362}"/>
    <cellStyle name="Entrada 2 3 2 2 14" xfId="5322" xr:uid="{36BC10D1-8DC1-4278-A848-983793EB9BFA}"/>
    <cellStyle name="Entrada 2 3 2 2 14 2" xfId="11166" xr:uid="{34433740-708A-4BF7-8BDE-FDA3CBAAB037}"/>
    <cellStyle name="Entrada 2 3 2 2 15" xfId="5982" xr:uid="{75B63D8D-D743-4A89-9BF1-46C4FB8CC590}"/>
    <cellStyle name="Entrada 2 3 2 2 15 2" xfId="11694" xr:uid="{7F91DC11-5371-403C-802D-EE69233211E5}"/>
    <cellStyle name="Entrada 2 3 2 2 16" xfId="5324" xr:uid="{9C00E0B5-C535-4EC4-A2B4-72CEAF7102B6}"/>
    <cellStyle name="Entrada 2 3 2 2 16 2" xfId="11168" xr:uid="{4E3CBE11-66FD-43E5-9D81-FA072B06D4F3}"/>
    <cellStyle name="Entrada 2 3 2 2 17" xfId="6689" xr:uid="{68D400E9-83BC-4EA0-9CA5-0B659BD591C1}"/>
    <cellStyle name="Entrada 2 3 2 2 17 2" xfId="12393" xr:uid="{A91529A2-D8F1-48CB-A551-CE8051A53672}"/>
    <cellStyle name="Entrada 2 3 2 2 18" xfId="6549" xr:uid="{9B7BC064-B953-41F7-8A81-13B5DB82C8F1}"/>
    <cellStyle name="Entrada 2 3 2 2 18 2" xfId="12253" xr:uid="{8E204D16-BE1B-4DEB-8AE4-61DCCDADC511}"/>
    <cellStyle name="Entrada 2 3 2 2 19" xfId="8462" xr:uid="{0CDB05F3-0EF4-4443-8D29-A67FD0909D0A}"/>
    <cellStyle name="Entrada 2 3 2 2 19 2" xfId="13942" xr:uid="{AA406540-6D78-46BC-9D50-D95E062F5F7E}"/>
    <cellStyle name="Entrada 2 3 2 2 2" xfId="2442" xr:uid="{61509D82-ADEE-4FB4-9EBE-11E6BAF93A50}"/>
    <cellStyle name="Entrada 2 3 2 2 2 10" xfId="5628" xr:uid="{240D926E-4EFE-4141-AB57-F0E9C045C3EA}"/>
    <cellStyle name="Entrada 2 3 2 2 2 10 2" xfId="11356" xr:uid="{89314713-4BEB-4F94-AF52-C1864BBBF61F}"/>
    <cellStyle name="Entrada 2 3 2 2 2 11" xfId="5234" xr:uid="{113E48D3-C59F-4704-AA3F-55C00A0CFE96}"/>
    <cellStyle name="Entrada 2 3 2 2 2 11 2" xfId="11080" xr:uid="{6884B1DF-756B-45EC-9328-5CE72671471C}"/>
    <cellStyle name="Entrada 2 3 2 2 2 12" xfId="8656" xr:uid="{C0DDB5C5-4B47-4084-9F42-5B51FA1A8A7C}"/>
    <cellStyle name="Entrada 2 3 2 2 2 12 2" xfId="14044" xr:uid="{3E5E57A7-47EC-4BC3-BBAD-647AED00792F}"/>
    <cellStyle name="Entrada 2 3 2 2 2 13" xfId="9004" xr:uid="{E7FF6C38-9B40-4BA1-B11B-1591CC8764EA}"/>
    <cellStyle name="Entrada 2 3 2 2 2 2" xfId="3030" xr:uid="{0EF5D75F-6888-43E8-B549-D919762F971F}"/>
    <cellStyle name="Entrada 2 3 2 2 2 2 2" xfId="3970" xr:uid="{BCE2484A-AB42-498E-8972-F0318D76A53E}"/>
    <cellStyle name="Entrada 2 3 2 2 2 2 2 2" xfId="10084" xr:uid="{10C8F2D7-04C4-4738-AF6C-D90EFC535745}"/>
    <cellStyle name="Entrada 2 3 2 2 2 2 3" xfId="6941" xr:uid="{89410332-8392-403E-8FC7-8D4BB4009296}"/>
    <cellStyle name="Entrada 2 3 2 2 2 2 3 2" xfId="12547" xr:uid="{A01062AD-8BB4-41D4-8205-E1EC7C5954D5}"/>
    <cellStyle name="Entrada 2 3 2 2 2 2 4" xfId="7619" xr:uid="{95D4BE4C-1CD7-47FE-94CB-6F5E7A1DB40C}"/>
    <cellStyle name="Entrada 2 3 2 2 2 2 4 2" xfId="13191" xr:uid="{1CB88E59-CFA5-4164-8FDC-BAA0593AF6EE}"/>
    <cellStyle name="Entrada 2 3 2 2 2 2 5" xfId="8112" xr:uid="{C92D8B0D-9A19-4958-BC22-E886B5FA6A13}"/>
    <cellStyle name="Entrada 2 3 2 2 2 2 5 2" xfId="13684" xr:uid="{1A801E49-7CA1-4E7C-9893-287260EFABF4}"/>
    <cellStyle name="Entrada 2 3 2 2 2 2 6" xfId="9364" xr:uid="{3EC88320-A2C6-487C-B3DB-2188E1A504C0}"/>
    <cellStyle name="Entrada 2 3 2 2 2 3" xfId="3490" xr:uid="{6552A043-5B6E-4C45-A7E6-F5F901A9D1AF}"/>
    <cellStyle name="Entrada 2 3 2 2 2 3 2" xfId="9724" xr:uid="{37832E72-C48C-47A7-A95C-E13AC30B4498}"/>
    <cellStyle name="Entrada 2 3 2 2 2 4" xfId="4683" xr:uid="{09C1B366-2670-4831-B023-2FADBAA3E8D8}"/>
    <cellStyle name="Entrada 2 3 2 2 2 4 2" xfId="10547" xr:uid="{37BA703A-7DEF-41D6-990C-CE514813CA9C}"/>
    <cellStyle name="Entrada 2 3 2 2 2 5" xfId="4922" xr:uid="{5032290F-B7EF-4FB5-9699-8910762292B9}"/>
    <cellStyle name="Entrada 2 3 2 2 2 5 2" xfId="10768" xr:uid="{B6D0EF87-5334-4B91-874F-D992C94A060B}"/>
    <cellStyle name="Entrada 2 3 2 2 2 6" xfId="5078" xr:uid="{251697A7-B767-45E3-BDC9-0C9A48728AB3}"/>
    <cellStyle name="Entrada 2 3 2 2 2 6 2" xfId="10924" xr:uid="{39ADFF97-9DFB-4674-8528-EB5B1D332A78}"/>
    <cellStyle name="Entrada 2 3 2 2 2 7" xfId="5848" xr:uid="{84CAF44B-2A9D-4DAE-BA78-35F1CF77D656}"/>
    <cellStyle name="Entrada 2 3 2 2 2 7 2" xfId="11576" xr:uid="{55F736E3-7527-42AF-B111-7257445840B1}"/>
    <cellStyle name="Entrada 2 3 2 2 2 8" xfId="5230" xr:uid="{69BD3937-2EE3-472A-94CA-DB2805569D0A}"/>
    <cellStyle name="Entrada 2 3 2 2 2 8 2" xfId="11076" xr:uid="{FB8E6F73-4A8C-48B2-BCE1-E3073035F66D}"/>
    <cellStyle name="Entrada 2 3 2 2 2 9" xfId="6385" xr:uid="{B92CB757-12B1-456B-8A21-748E63D8DB7D}"/>
    <cellStyle name="Entrada 2 3 2 2 2 9 2" xfId="12089" xr:uid="{3A2CEEEA-D730-4222-B41D-C895C723CC17}"/>
    <cellStyle name="Entrada 2 3 2 2 20" xfId="8902" xr:uid="{4AF4B67E-E184-4F16-BC38-A5E915033299}"/>
    <cellStyle name="Entrada 2 3 2 2 21" xfId="2248" xr:uid="{A8AF8FD5-4F17-43EE-9809-8241AD2F8856}"/>
    <cellStyle name="Entrada 2 3 2 2 3" xfId="2547" xr:uid="{568D9236-49F0-43CB-A59F-C994CD99BB80}"/>
    <cellStyle name="Entrada 2 3 2 2 3 10" xfId="7239" xr:uid="{F50742FA-3D49-4B98-A7BF-4A651C07AF6E}"/>
    <cellStyle name="Entrada 2 3 2 2 3 10 2" xfId="12811" xr:uid="{B83A4B29-C210-4E86-AD56-7969D13BBACA}"/>
    <cellStyle name="Entrada 2 3 2 2 3 11" xfId="7439" xr:uid="{8B29665A-B735-4E92-A28F-ABA0ED4FD0C1}"/>
    <cellStyle name="Entrada 2 3 2 2 3 11 2" xfId="13011" xr:uid="{2FFBE7CC-D1CB-42B1-A67E-D2229602B3E3}"/>
    <cellStyle name="Entrada 2 3 2 2 3 12" xfId="8761" xr:uid="{227A54A4-9A4C-46C0-8643-8A0F1B5DDF24}"/>
    <cellStyle name="Entrada 2 3 2 2 3 12 2" xfId="14117" xr:uid="{6FE1B342-1C7D-4259-BF46-57291085879D}"/>
    <cellStyle name="Entrada 2 3 2 2 3 13" xfId="9077" xr:uid="{8AF5B847-8DBD-45E5-92CE-12B719905A12}"/>
    <cellStyle name="Entrada 2 3 2 2 3 2" xfId="3103" xr:uid="{B4E58DC5-9EB0-4F16-9F03-A1008B5FE2C5}"/>
    <cellStyle name="Entrada 2 3 2 2 3 2 2" xfId="4043" xr:uid="{4EE1FD6E-47A4-46AB-8B72-3EC754BA2E46}"/>
    <cellStyle name="Entrada 2 3 2 2 3 2 2 2" xfId="10157" xr:uid="{6CCA905F-729F-43CC-8E06-8CE7B5BC6B9E}"/>
    <cellStyle name="Entrada 2 3 2 2 3 2 3" xfId="7014" xr:uid="{02A3CA9A-3235-4B60-9679-1B7646AF22F7}"/>
    <cellStyle name="Entrada 2 3 2 2 3 2 3 2" xfId="12620" xr:uid="{73A2AB43-3BD9-4948-A0AC-9E5804A53A86}"/>
    <cellStyle name="Entrada 2 3 2 2 3 2 4" xfId="7692" xr:uid="{8F7B224E-C7CF-454E-9FA3-74193CDDF0D5}"/>
    <cellStyle name="Entrada 2 3 2 2 3 2 4 2" xfId="13264" xr:uid="{C393D0FD-FE2C-4F82-B2F7-2369A56EBE62}"/>
    <cellStyle name="Entrada 2 3 2 2 3 2 5" xfId="8185" xr:uid="{A812FB07-BBF9-40E3-822C-5FF1E2048090}"/>
    <cellStyle name="Entrada 2 3 2 2 3 2 5 2" xfId="13757" xr:uid="{6E97F9BA-D37F-4DA9-8477-C5E161618228}"/>
    <cellStyle name="Entrada 2 3 2 2 3 2 6" xfId="9437" xr:uid="{C42869CF-DE29-4BE1-BD79-A1CC5E79323D}"/>
    <cellStyle name="Entrada 2 3 2 2 3 3" xfId="3563" xr:uid="{80E53260-D4BC-4AA4-B945-7B328424D777}"/>
    <cellStyle name="Entrada 2 3 2 2 3 3 2" xfId="9797" xr:uid="{34624FBD-6095-499C-9B76-A844B9A50EBB}"/>
    <cellStyle name="Entrada 2 3 2 2 3 4" xfId="4760" xr:uid="{3D361C93-146C-4B28-9C9E-4230C1BC029F}"/>
    <cellStyle name="Entrada 2 3 2 2 3 4 2" xfId="10624" xr:uid="{18ED3662-9C87-4E4E-9DBC-25C6E3E8BDE9}"/>
    <cellStyle name="Entrada 2 3 2 2 3 5" xfId="5003" xr:uid="{B0242B19-2426-4745-A945-846E3031DFE4}"/>
    <cellStyle name="Entrada 2 3 2 2 3 5 2" xfId="10849" xr:uid="{B77B75AE-3C9F-4416-8F74-7CDB526F906C}"/>
    <cellStyle name="Entrada 2 3 2 2 3 6" xfId="5151" xr:uid="{CA3D8F90-853E-4BD0-A334-D5B278D45A81}"/>
    <cellStyle name="Entrada 2 3 2 2 3 6 2" xfId="10997" xr:uid="{DC0C7CBA-F53B-4D23-9738-EB82862EC637}"/>
    <cellStyle name="Entrada 2 3 2 2 3 7" xfId="5942" xr:uid="{D37A7B6E-9E8C-4BAA-885A-1097042669B7}"/>
    <cellStyle name="Entrada 2 3 2 2 3 7 2" xfId="11670" xr:uid="{23FD1673-A63B-4B57-9990-651EEA0CA6BD}"/>
    <cellStyle name="Entrada 2 3 2 2 3 8" xfId="6272" xr:uid="{F8F86620-48CE-4DFE-91D2-C0F079227CC6}"/>
    <cellStyle name="Entrada 2 3 2 2 3 8 2" xfId="11976" xr:uid="{A52E9E8B-E084-4345-A7C3-F4D404DA44EC}"/>
    <cellStyle name="Entrada 2 3 2 2 3 9" xfId="6474" xr:uid="{03513E3C-F315-4898-B15D-767C6C1C5100}"/>
    <cellStyle name="Entrada 2 3 2 2 3 9 2" xfId="12178" xr:uid="{289A45E9-84B4-4A31-AE4D-629DA6DEDF7A}"/>
    <cellStyle name="Entrada 2 3 2 2 4" xfId="2277" xr:uid="{21889664-DF45-4DA6-B7DA-49C016444D93}"/>
    <cellStyle name="Entrada 2 3 2 2 4 10" xfId="6294" xr:uid="{DC389962-9BB6-4E73-8919-5ED0B5FB1908}"/>
    <cellStyle name="Entrada 2 3 2 2 4 10 2" xfId="11998" xr:uid="{B5EE19CF-A390-421F-B000-BD676A4B6243}"/>
    <cellStyle name="Entrada 2 3 2 2 4 11" xfId="6329" xr:uid="{0FBA9C71-579C-494D-845B-E5FB0F8A4E43}"/>
    <cellStyle name="Entrada 2 3 2 2 4 11 2" xfId="12033" xr:uid="{2059659A-8D35-4E95-8743-3ECB393B1594}"/>
    <cellStyle name="Entrada 2 3 2 2 4 12" xfId="8491" xr:uid="{4C062932-12B3-49BF-BB22-6412E3530980}"/>
    <cellStyle name="Entrada 2 3 2 2 4 12 2" xfId="13971" xr:uid="{70297B80-8333-4504-ADD1-FC0C292453B1}"/>
    <cellStyle name="Entrada 2 3 2 2 4 13" xfId="8931" xr:uid="{2CBE6B2C-C5AA-43E3-BCC0-BC2AA1A2712A}"/>
    <cellStyle name="Entrada 2 3 2 2 4 2" xfId="2957" xr:uid="{8861EA39-8C23-437A-84D6-7A54968F3505}"/>
    <cellStyle name="Entrada 2 3 2 2 4 2 2" xfId="3897" xr:uid="{19328A88-2112-4447-82FA-7331E5796731}"/>
    <cellStyle name="Entrada 2 3 2 2 4 2 2 2" xfId="10011" xr:uid="{F3A9206B-9925-4761-97FD-7FCCAAE3E357}"/>
    <cellStyle name="Entrada 2 3 2 2 4 2 3" xfId="6868" xr:uid="{304D1CE5-00DF-41F2-914A-F777E9695F33}"/>
    <cellStyle name="Entrada 2 3 2 2 4 2 3 2" xfId="12474" xr:uid="{808BF77E-B647-445E-9855-CA9EFACD25EB}"/>
    <cellStyle name="Entrada 2 3 2 2 4 2 4" xfId="7546" xr:uid="{81FB652E-BDDC-4F10-BFEF-2CF2F66C16E6}"/>
    <cellStyle name="Entrada 2 3 2 2 4 2 4 2" xfId="13118" xr:uid="{9998D8F3-963C-43B1-8F0A-1959B4E92309}"/>
    <cellStyle name="Entrada 2 3 2 2 4 2 5" xfId="8039" xr:uid="{5E375270-0345-46D1-A5ED-1BF9DBC94722}"/>
    <cellStyle name="Entrada 2 3 2 2 4 2 5 2" xfId="13611" xr:uid="{3BE11B21-86C2-475C-8C1F-A2A06D519601}"/>
    <cellStyle name="Entrada 2 3 2 2 4 2 6" xfId="9291" xr:uid="{C4256403-366A-454F-9683-9BF1BFF7254A}"/>
    <cellStyle name="Entrada 2 3 2 2 4 3" xfId="3417" xr:uid="{3FD8DEEF-D8E6-490E-ADD3-988C4E0E22A8}"/>
    <cellStyle name="Entrada 2 3 2 2 4 3 2" xfId="9651" xr:uid="{08DEF636-1266-4D71-8E8E-C1213E301BAA}"/>
    <cellStyle name="Entrada 2 3 2 2 4 4" xfId="4584" xr:uid="{E5DDBD1C-2B15-4888-9476-9B6E869A8327}"/>
    <cellStyle name="Entrada 2 3 2 2 4 4 2" xfId="10448" xr:uid="{8BFD18B4-3933-405A-8EBD-D7EC2AA73056}"/>
    <cellStyle name="Entrada 2 3 2 2 4 5" xfId="4829" xr:uid="{B8A8B081-2239-4DF5-A1CB-A2B615142687}"/>
    <cellStyle name="Entrada 2 3 2 2 4 5 2" xfId="10675" xr:uid="{7AA338C7-6CD5-4028-8BE9-A4BD91115DF0}"/>
    <cellStyle name="Entrada 2 3 2 2 4 6" xfId="4707" xr:uid="{27297303-9170-4369-80C6-9852D112E0C7}"/>
    <cellStyle name="Entrada 2 3 2 2 4 6 2" xfId="10571" xr:uid="{72746B8A-FBE2-4154-8AF1-C9C7B01484AD}"/>
    <cellStyle name="Entrada 2 3 2 2 4 7" xfId="5715" xr:uid="{87787977-0051-4ECA-9B85-FC3EEC5D6B41}"/>
    <cellStyle name="Entrada 2 3 2 2 4 7 2" xfId="11443" xr:uid="{03479E26-AE20-4C31-BB47-C8E46CEC8298}"/>
    <cellStyle name="Entrada 2 3 2 2 4 8" xfId="6030" xr:uid="{92F87B41-F8BF-463A-A86A-71CB3DE9BC73}"/>
    <cellStyle name="Entrada 2 3 2 2 4 8 2" xfId="11742" xr:uid="{8A422F00-E441-4F5F-B8AB-31FE38A52D62}"/>
    <cellStyle name="Entrada 2 3 2 2 4 9" xfId="6022" xr:uid="{2588582A-D9A8-4D85-B761-F8E9763A4FB2}"/>
    <cellStyle name="Entrada 2 3 2 2 4 9 2" xfId="11734" xr:uid="{99C82118-E564-4278-90CC-33986B69FA95}"/>
    <cellStyle name="Entrada 2 3 2 2 5" xfId="2704" xr:uid="{07E2C542-6798-4372-A6E8-D6A69519ABFB}"/>
    <cellStyle name="Entrada 2 3 2 2 5 2" xfId="3168" xr:uid="{CFBA2EDF-FA4F-4066-9BE5-A52C1117705C}"/>
    <cellStyle name="Entrada 2 3 2 2 5 2 2" xfId="4126" xr:uid="{C7BD58C0-2C74-483D-9E76-9B7FA554476D}"/>
    <cellStyle name="Entrada 2 3 2 2 5 2 2 2" xfId="10222" xr:uid="{CD389729-C6C9-44AB-9BC6-9F7E90107975}"/>
    <cellStyle name="Entrada 2 3 2 2 5 2 3" xfId="7097" xr:uid="{711DFC55-8B6D-4CF4-995A-ABBFCADD0519}"/>
    <cellStyle name="Entrada 2 3 2 2 5 2 3 2" xfId="12685" xr:uid="{B44E6F22-8F9C-4993-80D7-456783A19F3F}"/>
    <cellStyle name="Entrada 2 3 2 2 5 2 4" xfId="7758" xr:uid="{E8930494-D088-4A3A-9464-AA58505569FA}"/>
    <cellStyle name="Entrada 2 3 2 2 5 2 4 2" xfId="13330" xr:uid="{42373E21-8DC0-4FDF-8FE5-25B5685CDDB6}"/>
    <cellStyle name="Entrada 2 3 2 2 5 2 5" xfId="8250" xr:uid="{662C102E-13F9-4D63-81DB-334D58EB86D8}"/>
    <cellStyle name="Entrada 2 3 2 2 5 2 5 2" xfId="13822" xr:uid="{498812DA-4413-4489-A343-3114850750D2}"/>
    <cellStyle name="Entrada 2 3 2 2 5 2 6" xfId="9502" xr:uid="{6452A016-75F3-42EA-85C6-44EEB967C16E}"/>
    <cellStyle name="Entrada 2 3 2 2 5 3" xfId="3646" xr:uid="{3D90C7E6-F55D-4E00-891C-A1229665C665}"/>
    <cellStyle name="Entrada 2 3 2 2 5 3 2" xfId="9862" xr:uid="{C0A45EC9-3484-4EC3-84F4-472929BF6067}"/>
    <cellStyle name="Entrada 2 3 2 2 5 4" xfId="6083" xr:uid="{654411B9-97F6-4671-99E6-7407CB460D3E}"/>
    <cellStyle name="Entrada 2 3 2 2 5 4 2" xfId="11795" xr:uid="{250464E7-02DD-43CA-BD1E-EE406E64FCB2}"/>
    <cellStyle name="Entrada 2 3 2 2 5 5" xfId="6601" xr:uid="{F6F30988-C5B6-43FD-820E-2812AA37A390}"/>
    <cellStyle name="Entrada 2 3 2 2 5 5 2" xfId="12305" xr:uid="{57529227-1A9C-4291-807C-AE529593B064}"/>
    <cellStyle name="Entrada 2 3 2 2 5 6" xfId="7355" xr:uid="{C3E584C6-A84C-4871-8379-46E60DD2B94A}"/>
    <cellStyle name="Entrada 2 3 2 2 5 6 2" xfId="12927" xr:uid="{F1198298-F216-4E27-8D7E-A3B5EFF6777C}"/>
    <cellStyle name="Entrada 2 3 2 2 5 7" xfId="7890" xr:uid="{D759BD99-5685-4A82-B255-7FB269099B12}"/>
    <cellStyle name="Entrada 2 3 2 2 5 7 2" xfId="13462" xr:uid="{FFBD4BBE-C3B9-41CC-AEFD-459E0CFDC8D0}"/>
    <cellStyle name="Entrada 2 3 2 2 5 8" xfId="9142" xr:uid="{7C90AD91-6A2C-403D-9E66-222F1A2E3E19}"/>
    <cellStyle name="Entrada 2 3 2 2 6" xfId="2796" xr:uid="{C7F6DADB-5E64-42C2-A8C3-1B63D13BCE72}"/>
    <cellStyle name="Entrada 2 3 2 2 6 2" xfId="3228" xr:uid="{AC2C66F7-F9EE-4DC3-B68C-0D04B474EA12}"/>
    <cellStyle name="Entrada 2 3 2 2 6 2 2" xfId="4186" xr:uid="{5644B996-7013-4D04-9F01-561860D1833B}"/>
    <cellStyle name="Entrada 2 3 2 2 6 2 2 2" xfId="10282" xr:uid="{C6E5DDB7-13B8-4D46-B241-B0905BA6D07B}"/>
    <cellStyle name="Entrada 2 3 2 2 6 2 3" xfId="7157" xr:uid="{E6B71360-5DD5-4660-BAED-4167CA511DEA}"/>
    <cellStyle name="Entrada 2 3 2 2 6 2 3 2" xfId="12745" xr:uid="{EEC0B128-D32B-4253-B783-727ACC25A821}"/>
    <cellStyle name="Entrada 2 3 2 2 6 2 4" xfId="7818" xr:uid="{A802EF95-106A-464E-87B6-A5C97E579A5E}"/>
    <cellStyle name="Entrada 2 3 2 2 6 2 4 2" xfId="13390" xr:uid="{1081B17A-0FF1-4DEA-AF11-6A6EBA548BA9}"/>
    <cellStyle name="Entrada 2 3 2 2 6 2 5" xfId="8310" xr:uid="{9A30A57B-AEB2-48AA-9918-169708A0D82D}"/>
    <cellStyle name="Entrada 2 3 2 2 6 2 5 2" xfId="13882" xr:uid="{B723D48B-F436-4D5F-8F23-5D246A725417}"/>
    <cellStyle name="Entrada 2 3 2 2 6 2 6" xfId="9562" xr:uid="{B8948D44-1F80-4E5B-83CA-8FCECDBB8D0F}"/>
    <cellStyle name="Entrada 2 3 2 2 6 3" xfId="3706" xr:uid="{DAE90804-C3CC-4441-BCC6-05249174E2E4}"/>
    <cellStyle name="Entrada 2 3 2 2 6 3 2" xfId="9922" xr:uid="{6056F264-D4A3-4B93-BE2A-C86C248F97A5}"/>
    <cellStyle name="Entrada 2 3 2 2 6 4" xfId="6163" xr:uid="{0E3E58BC-870C-4C69-84A9-1E2C5D83A180}"/>
    <cellStyle name="Entrada 2 3 2 2 6 4 2" xfId="11875" xr:uid="{A5B70C78-C82A-4C54-9ABC-BE59EE071301}"/>
    <cellStyle name="Entrada 2 3 2 2 6 5" xfId="6673" xr:uid="{524D4E5D-59C4-49B6-81A1-D232627CF1E2}"/>
    <cellStyle name="Entrada 2 3 2 2 6 5 2" xfId="12377" xr:uid="{16142F66-C51C-48D1-84A7-FCF8FC0C999A}"/>
    <cellStyle name="Entrada 2 3 2 2 6 6" xfId="7417" xr:uid="{1AABF58B-63B9-4649-83E8-9BFE1B8DC527}"/>
    <cellStyle name="Entrada 2 3 2 2 6 6 2" xfId="12989" xr:uid="{53BA7A32-7F3B-4CA4-B775-2C45001968FE}"/>
    <cellStyle name="Entrada 2 3 2 2 6 7" xfId="7950" xr:uid="{46B8B080-218A-4384-8BD9-BD66312BB07F}"/>
    <cellStyle name="Entrada 2 3 2 2 6 7 2" xfId="13522" xr:uid="{4E8B745C-B4D0-44B0-BE06-61595452BF37}"/>
    <cellStyle name="Entrada 2 3 2 2 6 8" xfId="9202" xr:uid="{E0A1C79A-5EF6-4D98-B869-C380A4A5EC8C}"/>
    <cellStyle name="Entrada 2 3 2 2 7" xfId="2896" xr:uid="{47B405C2-F35B-4052-8FDA-636447F3EF52}"/>
    <cellStyle name="Entrada 2 3 2 2 7 2" xfId="3824" xr:uid="{37529452-B2FA-4D48-9C7A-BDB01F63C497}"/>
    <cellStyle name="Entrada 2 3 2 2 7 2 2" xfId="9982" xr:uid="{4C5F71C4-C1E3-46C3-B3F4-66C1EB468D0C}"/>
    <cellStyle name="Entrada 2 3 2 2 7 3" xfId="6795" xr:uid="{B1683C4D-74E3-4478-A7C8-5AA299EE3C93}"/>
    <cellStyle name="Entrada 2 3 2 2 7 3 2" xfId="12445" xr:uid="{417AEB9B-5020-408D-A65E-8D684440E0EA}"/>
    <cellStyle name="Entrada 2 3 2 2 7 4" xfId="7502" xr:uid="{D046A0B9-3DC7-4412-BE60-A5F5FFCC258C}"/>
    <cellStyle name="Entrada 2 3 2 2 7 4 2" xfId="13074" xr:uid="{11092897-56F9-4AA1-8B3C-F842C67F1535}"/>
    <cellStyle name="Entrada 2 3 2 2 7 5" xfId="8010" xr:uid="{492F6755-9DDC-4DD6-879C-B40A142F9E33}"/>
    <cellStyle name="Entrada 2 3 2 2 7 5 2" xfId="13582" xr:uid="{0B1992BA-1BDA-4635-B8BE-2CAD95607927}"/>
    <cellStyle name="Entrada 2 3 2 2 7 6" xfId="9262" xr:uid="{00A0F035-B750-46AB-85D7-5E75B2637DCF}"/>
    <cellStyle name="Entrada 2 3 2 2 8" xfId="3344" xr:uid="{38C58E53-BCF0-4C15-AF01-4076FAF8A684}"/>
    <cellStyle name="Entrada 2 3 2 2 8 2" xfId="9622" xr:uid="{9DED04E0-10FC-4F62-B817-4AD5A7744F0C}"/>
    <cellStyle name="Entrada 2 3 2 2 9" xfId="4511" xr:uid="{1349D562-0D2F-43C4-A837-D5A154EE710A}"/>
    <cellStyle name="Entrada 2 3 2 2 9 2" xfId="10419" xr:uid="{510EB6F2-18E3-409E-A6A7-81D28E720B45}"/>
    <cellStyle name="Entrada 2 3 2 3" xfId="1618" xr:uid="{BCF9CBB3-6CF2-417D-B04E-3D42E947B4F6}"/>
    <cellStyle name="Entrada 2 3 2 3 10" xfId="4619" xr:uid="{8E2B772E-3016-416D-A0D0-081A200A8B9A}"/>
    <cellStyle name="Entrada 2 3 2 3 10 2" xfId="10483" xr:uid="{2274BDEA-C176-4843-877E-64361E57C4BC}"/>
    <cellStyle name="Entrada 2 3 2 3 11" xfId="4357" xr:uid="{A074C987-41F3-4883-8541-46EB34E3FA01}"/>
    <cellStyle name="Entrada 2 3 2 3 11 2" xfId="10317" xr:uid="{ED587C06-A4C6-4ECD-B3E7-C7AE12BDAC74}"/>
    <cellStyle name="Entrada 2 3 2 3 12" xfId="5406" xr:uid="{1916AF99-815D-484A-AD8E-945F46B24A7C}"/>
    <cellStyle name="Entrada 2 3 2 3 12 2" xfId="11204" xr:uid="{DE908D27-F976-4078-AEE0-52293BF24667}"/>
    <cellStyle name="Entrada 2 3 2 3 13" xfId="5574" xr:uid="{9EC9CBBE-29DF-41FA-BD30-820EA59ADEDA}"/>
    <cellStyle name="Entrada 2 3 2 3 13 2" xfId="11302" xr:uid="{9BF9A7F1-ED3E-4BCC-A6D1-A344AD357E7A}"/>
    <cellStyle name="Entrada 2 3 2 3 14" xfId="5312" xr:uid="{C673B732-2506-4D49-A7D3-96AF3A081A0A}"/>
    <cellStyle name="Entrada 2 3 2 3 14 2" xfId="11156" xr:uid="{211B087C-3201-416A-882E-B13125D77A62}"/>
    <cellStyle name="Entrada 2 3 2 3 15" xfId="5977" xr:uid="{264A1E42-748A-46A4-B00F-06227C693064}"/>
    <cellStyle name="Entrada 2 3 2 3 15 2" xfId="11689" xr:uid="{1CC2D09D-EF8B-4294-BD80-2867E368085B}"/>
    <cellStyle name="Entrada 2 3 2 3 16" xfId="5339" xr:uid="{96B30098-6A22-4077-925D-EEAA901744FD}"/>
    <cellStyle name="Entrada 2 3 2 3 16 2" xfId="11171" xr:uid="{222921CE-AA37-45F3-AA50-2C4331BC4D35}"/>
    <cellStyle name="Entrada 2 3 2 3 17" xfId="5639" xr:uid="{136B49D0-1C55-4823-B636-9BE22BCCEB8C}"/>
    <cellStyle name="Entrada 2 3 2 3 17 2" xfId="11367" xr:uid="{4EE8477B-839C-4152-956B-3A3E84DBCA9E}"/>
    <cellStyle name="Entrada 2 3 2 3 18" xfId="6297" xr:uid="{665D8B40-F7F1-472D-B738-C18414192FB4}"/>
    <cellStyle name="Entrada 2 3 2 3 18 2" xfId="12001" xr:uid="{280FB5A6-830F-4895-B1EC-CFDD539C3D30}"/>
    <cellStyle name="Entrada 2 3 2 3 19" xfId="8426" xr:uid="{8C858223-68E3-42BD-A4DB-47BE1E794A52}"/>
    <cellStyle name="Entrada 2 3 2 3 19 2" xfId="13906" xr:uid="{4E1DE93F-AEB1-42C1-B35D-A6493D01F012}"/>
    <cellStyle name="Entrada 2 3 2 3 2" xfId="2404" xr:uid="{AD5E2A26-9758-4325-88A8-6F5F55591AF8}"/>
    <cellStyle name="Entrada 2 3 2 3 2 10" xfId="6017" xr:uid="{1B111DCC-DB8D-421C-90D1-9521DEE84107}"/>
    <cellStyle name="Entrada 2 3 2 3 2 10 2" xfId="11729" xr:uid="{2E4A0BE3-2941-44CF-A8DA-B2396EC4C5FD}"/>
    <cellStyle name="Entrada 2 3 2 3 2 11" xfId="6517" xr:uid="{FB291497-544C-4EC6-BFA0-34D0CC881952}"/>
    <cellStyle name="Entrada 2 3 2 3 2 11 2" xfId="12221" xr:uid="{B54F9009-336B-4440-A767-AF353F7A90B0}"/>
    <cellStyle name="Entrada 2 3 2 3 2 12" xfId="8618" xr:uid="{59EA8BCB-2726-4B48-8511-D884ADD0F04A}"/>
    <cellStyle name="Entrada 2 3 2 3 2 12 2" xfId="14006" xr:uid="{56FF75A2-A841-4EE0-BD2E-B297F176846C}"/>
    <cellStyle name="Entrada 2 3 2 3 2 13" xfId="8966" xr:uid="{727F2860-6F03-4EC2-B7A4-24DDD219F83D}"/>
    <cellStyle name="Entrada 2 3 2 3 2 2" xfId="2992" xr:uid="{3D99481F-AF28-4DF3-8CD6-995C75B0F1CE}"/>
    <cellStyle name="Entrada 2 3 2 3 2 2 2" xfId="3932" xr:uid="{78A21FC3-190B-41A9-B8B2-CDCEEE91D149}"/>
    <cellStyle name="Entrada 2 3 2 3 2 2 2 2" xfId="10046" xr:uid="{1B6CD394-BF0E-40CC-A376-64F82562DC53}"/>
    <cellStyle name="Entrada 2 3 2 3 2 2 3" xfId="6903" xr:uid="{BECFCD8F-220F-454B-8236-935E76FAA62F}"/>
    <cellStyle name="Entrada 2 3 2 3 2 2 3 2" xfId="12509" xr:uid="{85A25255-1614-45D7-9FF8-851517A0ACE3}"/>
    <cellStyle name="Entrada 2 3 2 3 2 2 4" xfId="7581" xr:uid="{18A2FBB3-3435-4343-961D-B1DC2026DFC4}"/>
    <cellStyle name="Entrada 2 3 2 3 2 2 4 2" xfId="13153" xr:uid="{7ABE0C31-A22A-418A-817E-D149659D3DEC}"/>
    <cellStyle name="Entrada 2 3 2 3 2 2 5" xfId="8074" xr:uid="{82248E60-4B58-41CB-9F72-2D2487D287C2}"/>
    <cellStyle name="Entrada 2 3 2 3 2 2 5 2" xfId="13646" xr:uid="{2EF001CC-ECFE-4D32-8A98-ED696E1A47BA}"/>
    <cellStyle name="Entrada 2 3 2 3 2 2 6" xfId="9326" xr:uid="{E9FFFF24-15FD-4A65-928E-34D74B91642A}"/>
    <cellStyle name="Entrada 2 3 2 3 2 3" xfId="3452" xr:uid="{9477A99E-35C7-4B39-9C4A-F00EF8BF6559}"/>
    <cellStyle name="Entrada 2 3 2 3 2 3 2" xfId="9686" xr:uid="{CD310CCB-1DA0-4CFF-8FFD-97B43AFA23F1}"/>
    <cellStyle name="Entrada 2 3 2 3 2 4" xfId="4645" xr:uid="{E72D4937-2B5C-4BD0-92FB-4199AFCC173F}"/>
    <cellStyle name="Entrada 2 3 2 3 2 4 2" xfId="10509" xr:uid="{D6CEAA2D-48FC-44C5-9825-960BBA3B8D49}"/>
    <cellStyle name="Entrada 2 3 2 3 2 5" xfId="4884" xr:uid="{427AFE75-3431-46AA-8D63-65536F0F54E2}"/>
    <cellStyle name="Entrada 2 3 2 3 2 5 2" xfId="10730" xr:uid="{13941161-4DC1-47CD-BE68-371AB83DCB4A}"/>
    <cellStyle name="Entrada 2 3 2 3 2 6" xfId="5040" xr:uid="{5E687F75-670D-4AF8-9A97-22A394E1C71A}"/>
    <cellStyle name="Entrada 2 3 2 3 2 6 2" xfId="10886" xr:uid="{5658E62E-1BD2-4E5F-94CF-09FE83E6161B}"/>
    <cellStyle name="Entrada 2 3 2 3 2 7" xfId="5810" xr:uid="{922C7E79-DC0F-4BEE-9E2A-084DDA72E9CD}"/>
    <cellStyle name="Entrada 2 3 2 3 2 7 2" xfId="11538" xr:uid="{5407FB9C-0268-40C4-8466-8106B1809282}"/>
    <cellStyle name="Entrada 2 3 2 3 2 8" xfId="5315" xr:uid="{13151230-5D20-4AD1-90F3-80B2569E20C7}"/>
    <cellStyle name="Entrada 2 3 2 3 2 8 2" xfId="11159" xr:uid="{BC8A0B81-405D-4939-AA24-4236DBE18C21}"/>
    <cellStyle name="Entrada 2 3 2 3 2 9" xfId="6347" xr:uid="{4AE23DCC-66D6-4440-973C-59A7B5959E77}"/>
    <cellStyle name="Entrada 2 3 2 3 2 9 2" xfId="12051" xr:uid="{E2A29B25-A0D8-4B14-89F0-7E276DE5E001}"/>
    <cellStyle name="Entrada 2 3 2 3 20" xfId="8866" xr:uid="{945AA79E-7934-40BF-A727-1409BDCB2E21}"/>
    <cellStyle name="Entrada 2 3 2 3 21" xfId="2212" xr:uid="{8D7750AC-6F62-4ABF-B994-33EE8C553289}"/>
    <cellStyle name="Entrada 2 3 2 3 3" xfId="2510" xr:uid="{953EF373-24B0-4574-BE1C-0677012583EE}"/>
    <cellStyle name="Entrada 2 3 2 3 3 10" xfId="7202" xr:uid="{44836623-3265-430A-9A37-AB789CEC1370}"/>
    <cellStyle name="Entrada 2 3 2 3 3 10 2" xfId="12774" xr:uid="{135F55BA-317B-4080-BF8D-6DC53BABC71F}"/>
    <cellStyle name="Entrada 2 3 2 3 3 11" xfId="6505" xr:uid="{35C6476B-D23F-4322-9A85-5AD624B4FB71}"/>
    <cellStyle name="Entrada 2 3 2 3 3 11 2" xfId="12209" xr:uid="{DEE120D1-BB82-4FEA-A4A8-3691349D6FEF}"/>
    <cellStyle name="Entrada 2 3 2 3 3 12" xfId="8724" xr:uid="{322A7111-FD89-45F7-86A4-89194A625F1D}"/>
    <cellStyle name="Entrada 2 3 2 3 3 12 2" xfId="14080" xr:uid="{3056400A-104D-4B90-B3C5-3BB973D1357A}"/>
    <cellStyle name="Entrada 2 3 2 3 3 13" xfId="9040" xr:uid="{A166ABAC-9270-49E7-8D26-0BE2A15C22CA}"/>
    <cellStyle name="Entrada 2 3 2 3 3 2" xfId="3066" xr:uid="{55D473B9-42D1-4C6C-A3A3-3F88C36D82B0}"/>
    <cellStyle name="Entrada 2 3 2 3 3 2 2" xfId="4006" xr:uid="{DC7A1EFD-944B-4097-A78F-EB26B48BAC12}"/>
    <cellStyle name="Entrada 2 3 2 3 3 2 2 2" xfId="10120" xr:uid="{FB3CA78B-1BFB-4127-B43E-58DC64F1D513}"/>
    <cellStyle name="Entrada 2 3 2 3 3 2 3" xfId="6977" xr:uid="{D4B0D8B7-C16C-4F0F-BCF9-7206B4BD71C8}"/>
    <cellStyle name="Entrada 2 3 2 3 3 2 3 2" xfId="12583" xr:uid="{9B7E011D-4B82-403C-BDB3-B67547CA1A20}"/>
    <cellStyle name="Entrada 2 3 2 3 3 2 4" xfId="7655" xr:uid="{C35DBEEE-5AE7-4F1F-A80F-031515A5F8A1}"/>
    <cellStyle name="Entrada 2 3 2 3 3 2 4 2" xfId="13227" xr:uid="{754CDFD3-9415-496D-901E-07584E34A425}"/>
    <cellStyle name="Entrada 2 3 2 3 3 2 5" xfId="8148" xr:uid="{D879D248-9E93-43BE-8B34-650010B9EAD5}"/>
    <cellStyle name="Entrada 2 3 2 3 3 2 5 2" xfId="13720" xr:uid="{97109937-F04F-4002-AF79-4139DACB21E3}"/>
    <cellStyle name="Entrada 2 3 2 3 3 2 6" xfId="9400" xr:uid="{41C9E326-4096-4F61-A030-CADDA4B2698E}"/>
    <cellStyle name="Entrada 2 3 2 3 3 3" xfId="3526" xr:uid="{F0A93CB0-EE43-4238-855D-B7445312C20D}"/>
    <cellStyle name="Entrada 2 3 2 3 3 3 2" xfId="9760" xr:uid="{667CAF17-EE5B-45A4-84B6-6D15C31049B5}"/>
    <cellStyle name="Entrada 2 3 2 3 3 4" xfId="4723" xr:uid="{472E0403-B183-4CEC-B744-69FA3718161D}"/>
    <cellStyle name="Entrada 2 3 2 3 3 4 2" xfId="10587" xr:uid="{6447454C-ED14-429E-A9C3-99D155899F32}"/>
    <cellStyle name="Entrada 2 3 2 3 3 5" xfId="4966" xr:uid="{82325215-1546-43D9-AD6A-1238C7DAFF77}"/>
    <cellStyle name="Entrada 2 3 2 3 3 5 2" xfId="10812" xr:uid="{91CF59FD-11A0-43A8-9E0B-AA00FDF6C5D3}"/>
    <cellStyle name="Entrada 2 3 2 3 3 6" xfId="5114" xr:uid="{3BAABFC2-36CF-46B4-AC66-188BA7ABF143}"/>
    <cellStyle name="Entrada 2 3 2 3 3 6 2" xfId="10960" xr:uid="{1A83609A-200D-42F5-9208-1D74003914D2}"/>
    <cellStyle name="Entrada 2 3 2 3 3 7" xfId="5905" xr:uid="{133E9096-4FFB-45A6-997F-F57C9B69742B}"/>
    <cellStyle name="Entrada 2 3 2 3 3 7 2" xfId="11633" xr:uid="{F4FD9DBD-51A1-4F56-A76A-0AE6DA4F46C1}"/>
    <cellStyle name="Entrada 2 3 2 3 3 8" xfId="6235" xr:uid="{9D6E6540-0A6D-4707-BAB3-E42ECA765A53}"/>
    <cellStyle name="Entrada 2 3 2 3 3 8 2" xfId="11939" xr:uid="{671BC48F-8D07-4C19-9C98-0C7895E62F32}"/>
    <cellStyle name="Entrada 2 3 2 3 3 9" xfId="6437" xr:uid="{C9CFE4EF-583D-4079-AB1C-47EECC075224}"/>
    <cellStyle name="Entrada 2 3 2 3 3 9 2" xfId="12141" xr:uid="{E523BF9B-6081-4987-ABD2-E433D6A923C0}"/>
    <cellStyle name="Entrada 2 3 2 3 4" xfId="2561" xr:uid="{6679D80E-C5DF-4522-A850-0DBE31FAAEAB}"/>
    <cellStyle name="Entrada 2 3 2 3 4 10" xfId="7253" xr:uid="{D0821DD1-D3D2-43FA-B879-44A38AC2A1F5}"/>
    <cellStyle name="Entrada 2 3 2 3 4 10 2" xfId="12825" xr:uid="{B086EBB2-E06A-490B-8476-6C81F656DAC3}"/>
    <cellStyle name="Entrada 2 3 2 3 4 11" xfId="7429" xr:uid="{6EBFC704-CBA5-4DBA-ABD5-C9761B9743EE}"/>
    <cellStyle name="Entrada 2 3 2 3 4 11 2" xfId="13001" xr:uid="{10D0E97E-424C-43C9-8E23-C2E1DE75CB1A}"/>
    <cellStyle name="Entrada 2 3 2 3 4 12" xfId="8775" xr:uid="{8C7CEC96-20C8-4757-80BF-D99B09EB798E}"/>
    <cellStyle name="Entrada 2 3 2 3 4 12 2" xfId="14131" xr:uid="{8107E7EF-C299-42DC-BB05-9A4B46486BB1}"/>
    <cellStyle name="Entrada 2 3 2 3 4 13" xfId="9091" xr:uid="{D51B55C8-5F59-430A-A9F0-2AB0279EDC4E}"/>
    <cellStyle name="Entrada 2 3 2 3 4 2" xfId="3117" xr:uid="{2B70CE0D-0F0B-4F70-8B5B-BDFC79AD601C}"/>
    <cellStyle name="Entrada 2 3 2 3 4 2 2" xfId="4057" xr:uid="{3121415E-34F7-4475-99CF-5840EF85F6E4}"/>
    <cellStyle name="Entrada 2 3 2 3 4 2 2 2" xfId="10171" xr:uid="{F9871B7B-9707-4420-BB34-962D1F7FBA07}"/>
    <cellStyle name="Entrada 2 3 2 3 4 2 3" xfId="7028" xr:uid="{38753374-C632-4643-B292-DEE06B8523CA}"/>
    <cellStyle name="Entrada 2 3 2 3 4 2 3 2" xfId="12634" xr:uid="{F33E5DA7-E529-459A-A7B9-9540FF1BAD66}"/>
    <cellStyle name="Entrada 2 3 2 3 4 2 4" xfId="7706" xr:uid="{20A0C453-3E15-4F78-BF1E-D38A3F8AD751}"/>
    <cellStyle name="Entrada 2 3 2 3 4 2 4 2" xfId="13278" xr:uid="{3664AB6C-DA3F-4E3E-A96D-9F6905AC396E}"/>
    <cellStyle name="Entrada 2 3 2 3 4 2 5" xfId="8199" xr:uid="{E79F4D05-5022-4E99-A890-851087B5B461}"/>
    <cellStyle name="Entrada 2 3 2 3 4 2 5 2" xfId="13771" xr:uid="{E9E9E51D-44BE-42EE-B599-B8F9B5314676}"/>
    <cellStyle name="Entrada 2 3 2 3 4 2 6" xfId="9451" xr:uid="{10CDF890-3DB8-4FAC-9EF2-32D2966899DF}"/>
    <cellStyle name="Entrada 2 3 2 3 4 3" xfId="3577" xr:uid="{B056FAD6-E74C-46F2-9853-608C662C020B}"/>
    <cellStyle name="Entrada 2 3 2 3 4 3 2" xfId="9811" xr:uid="{57BA16DE-7047-4168-864A-B96367220EE0}"/>
    <cellStyle name="Entrada 2 3 2 3 4 4" xfId="4774" xr:uid="{13AF3F35-2979-481D-BE6F-7D18B8456F54}"/>
    <cellStyle name="Entrada 2 3 2 3 4 4 2" xfId="10638" xr:uid="{34DD0896-9B1D-4C36-8FDF-1210A682E1B2}"/>
    <cellStyle name="Entrada 2 3 2 3 4 5" xfId="5017" xr:uid="{1DB2BF99-CD43-4A5E-8B8E-4D534D17448C}"/>
    <cellStyle name="Entrada 2 3 2 3 4 5 2" xfId="10863" xr:uid="{13A2EC41-5311-4869-87B6-99E33F20CB42}"/>
    <cellStyle name="Entrada 2 3 2 3 4 6" xfId="5165" xr:uid="{5AF48F94-9FC5-45B3-99F2-6B10049D3298}"/>
    <cellStyle name="Entrada 2 3 2 3 4 6 2" xfId="11011" xr:uid="{FB7C24A3-DDF3-40CF-92AF-4D123EE4CCBD}"/>
    <cellStyle name="Entrada 2 3 2 3 4 7" xfId="5956" xr:uid="{8F7D6342-C7BE-4A33-AE64-C441EF325B34}"/>
    <cellStyle name="Entrada 2 3 2 3 4 7 2" xfId="11684" xr:uid="{7873CD41-3BE9-4CBC-8F10-5C4B81D77FE3}"/>
    <cellStyle name="Entrada 2 3 2 3 4 8" xfId="6286" xr:uid="{34CE713A-4378-4274-97D5-BA7D70F08C68}"/>
    <cellStyle name="Entrada 2 3 2 3 4 8 2" xfId="11990" xr:uid="{67B35D16-B29B-4F9A-A7E4-839FCE50941C}"/>
    <cellStyle name="Entrada 2 3 2 3 4 9" xfId="6488" xr:uid="{5656AF73-2B0B-45CA-B7FE-1A164E6648A6}"/>
    <cellStyle name="Entrada 2 3 2 3 4 9 2" xfId="12192" xr:uid="{672F7964-1191-4E25-B1AF-7A4A3925E915}"/>
    <cellStyle name="Entrada 2 3 2 3 5" xfId="2668" xr:uid="{28981515-4AF6-4940-BAD1-8682C0496C5D}"/>
    <cellStyle name="Entrada 2 3 2 3 5 2" xfId="3132" xr:uid="{F333B75C-C7D4-42E8-95E1-359121122B08}"/>
    <cellStyle name="Entrada 2 3 2 3 5 2 2" xfId="4090" xr:uid="{5B72AD8D-C525-455F-B7CE-0CF1305F64FC}"/>
    <cellStyle name="Entrada 2 3 2 3 5 2 2 2" xfId="10186" xr:uid="{D83D0005-F084-4E7F-A4F6-D35FA42CCCFA}"/>
    <cellStyle name="Entrada 2 3 2 3 5 2 3" xfId="7061" xr:uid="{8561E48E-D975-44C8-81F3-836CFB0CBC04}"/>
    <cellStyle name="Entrada 2 3 2 3 5 2 3 2" xfId="12649" xr:uid="{0F5BF616-D008-43A9-AB76-4E3AE8EC0BA3}"/>
    <cellStyle name="Entrada 2 3 2 3 5 2 4" xfId="7722" xr:uid="{4C46CBF5-DB43-4E55-99AD-B3B80DA75832}"/>
    <cellStyle name="Entrada 2 3 2 3 5 2 4 2" xfId="13294" xr:uid="{B354A677-7887-4E69-8B08-38C64A029BA6}"/>
    <cellStyle name="Entrada 2 3 2 3 5 2 5" xfId="8214" xr:uid="{00C4E2D4-2FA0-4508-9C1E-8E334AD65582}"/>
    <cellStyle name="Entrada 2 3 2 3 5 2 5 2" xfId="13786" xr:uid="{F7D8E869-5911-4F98-8D77-CCC199ADC45F}"/>
    <cellStyle name="Entrada 2 3 2 3 5 2 6" xfId="9466" xr:uid="{0186DAAE-3FA8-406C-B54A-3CF8FC12303C}"/>
    <cellStyle name="Entrada 2 3 2 3 5 3" xfId="3610" xr:uid="{5F97F1B6-9EAB-40B1-8D50-CB0A39AF77A3}"/>
    <cellStyle name="Entrada 2 3 2 3 5 3 2" xfId="9826" xr:uid="{53D82691-04FC-436D-88D7-C36F24765504}"/>
    <cellStyle name="Entrada 2 3 2 3 5 4" xfId="6047" xr:uid="{753A8331-EC7C-41C4-A3A1-3EE0F8C17679}"/>
    <cellStyle name="Entrada 2 3 2 3 5 4 2" xfId="11759" xr:uid="{E5C0F542-903F-4C85-8024-BE793F0F2CC0}"/>
    <cellStyle name="Entrada 2 3 2 3 5 5" xfId="6565" xr:uid="{1842C894-9F25-412B-BBF2-46B20348825F}"/>
    <cellStyle name="Entrada 2 3 2 3 5 5 2" xfId="12269" xr:uid="{039DC47B-F23F-4F0E-A5C3-B63301D21516}"/>
    <cellStyle name="Entrada 2 3 2 3 5 6" xfId="7319" xr:uid="{C8A0318D-7DC4-4A56-918B-F9EC59F68AF1}"/>
    <cellStyle name="Entrada 2 3 2 3 5 6 2" xfId="12891" xr:uid="{655097FF-F9FC-4305-A21C-E6D9E785F23C}"/>
    <cellStyle name="Entrada 2 3 2 3 5 7" xfId="7854" xr:uid="{84C3B47E-19EF-4CC2-8390-D9198DE24D5D}"/>
    <cellStyle name="Entrada 2 3 2 3 5 7 2" xfId="13426" xr:uid="{66816DE6-4DBF-4D6C-B8A6-CA2D2A25D1CA}"/>
    <cellStyle name="Entrada 2 3 2 3 5 8" xfId="9106" xr:uid="{35A3F297-D8D8-487F-B9F7-CB61203AD2AD}"/>
    <cellStyle name="Entrada 2 3 2 3 6" xfId="2760" xr:uid="{B14DF0BB-3E27-429E-8907-00175FA7EA6B}"/>
    <cellStyle name="Entrada 2 3 2 3 6 2" xfId="3192" xr:uid="{CFE787EE-133B-4C2D-A753-DC98857D20AC}"/>
    <cellStyle name="Entrada 2 3 2 3 6 2 2" xfId="4150" xr:uid="{C577AD34-5217-4C17-A903-3016374EAB20}"/>
    <cellStyle name="Entrada 2 3 2 3 6 2 2 2" xfId="10246" xr:uid="{54DBFAF9-087C-4668-A761-7C61839BCA03}"/>
    <cellStyle name="Entrada 2 3 2 3 6 2 3" xfId="7121" xr:uid="{900989B6-0217-456A-9BE4-9FBEF85B4E49}"/>
    <cellStyle name="Entrada 2 3 2 3 6 2 3 2" xfId="12709" xr:uid="{3E36F34D-27B7-42BE-B405-CD15F2C285C7}"/>
    <cellStyle name="Entrada 2 3 2 3 6 2 4" xfId="7782" xr:uid="{92F502B4-0140-42F1-9021-3534D8EC07F4}"/>
    <cellStyle name="Entrada 2 3 2 3 6 2 4 2" xfId="13354" xr:uid="{46B5F4FC-4398-423F-B116-65164033B895}"/>
    <cellStyle name="Entrada 2 3 2 3 6 2 5" xfId="8274" xr:uid="{45EF747A-B9F0-4473-83E5-E11164B86F70}"/>
    <cellStyle name="Entrada 2 3 2 3 6 2 5 2" xfId="13846" xr:uid="{33DAFC3B-697E-4192-8DCD-3EEFBE854491}"/>
    <cellStyle name="Entrada 2 3 2 3 6 2 6" xfId="9526" xr:uid="{3C5CD535-0F07-46A4-889F-85D2B70B95DC}"/>
    <cellStyle name="Entrada 2 3 2 3 6 3" xfId="3670" xr:uid="{2FF8F61B-8BBC-47C2-A6D2-F99C6752B6E9}"/>
    <cellStyle name="Entrada 2 3 2 3 6 3 2" xfId="9886" xr:uid="{5BDE2F56-67D8-4F02-9230-FF6CA2409CCE}"/>
    <cellStyle name="Entrada 2 3 2 3 6 4" xfId="6127" xr:uid="{E915852B-5913-4D54-9B59-5C0ED62F7BFF}"/>
    <cellStyle name="Entrada 2 3 2 3 6 4 2" xfId="11839" xr:uid="{1068E881-3D8B-4253-B9A1-EAB179BCD56C}"/>
    <cellStyle name="Entrada 2 3 2 3 6 5" xfId="6637" xr:uid="{E83DA75E-321D-4611-87D6-B48AFC754A6D}"/>
    <cellStyle name="Entrada 2 3 2 3 6 5 2" xfId="12341" xr:uid="{6FAB2C84-1CC5-4101-A172-3E2051C3B498}"/>
    <cellStyle name="Entrada 2 3 2 3 6 6" xfId="7381" xr:uid="{F809E2EE-41B9-4865-B7D8-8DBB26448258}"/>
    <cellStyle name="Entrada 2 3 2 3 6 6 2" xfId="12953" xr:uid="{597128E8-44A9-4767-A3F8-8B0283AA7922}"/>
    <cellStyle name="Entrada 2 3 2 3 6 7" xfId="7914" xr:uid="{7E0AD1EA-0A9F-4202-BB88-5001E3180FE7}"/>
    <cellStyle name="Entrada 2 3 2 3 6 7 2" xfId="13486" xr:uid="{8A7D2016-CE14-4E15-8E7B-8E014EC4AF13}"/>
    <cellStyle name="Entrada 2 3 2 3 6 8" xfId="9166" xr:uid="{F168230A-6187-4406-BF04-974F934B6F26}"/>
    <cellStyle name="Entrada 2 3 2 3 7" xfId="2860" xr:uid="{D5E8E8C4-4D84-40D6-9C4B-2CA65617FCD9}"/>
    <cellStyle name="Entrada 2 3 2 3 7 2" xfId="3784" xr:uid="{CBC03870-6858-4622-B5F3-8A0DEAB88BBE}"/>
    <cellStyle name="Entrada 2 3 2 3 7 2 2" xfId="9946" xr:uid="{07D06755-70A3-4B14-AA3F-287971C5566F}"/>
    <cellStyle name="Entrada 2 3 2 3 7 3" xfId="6755" xr:uid="{C49CAE52-19CF-4D6F-8362-6AC658B98C5A}"/>
    <cellStyle name="Entrada 2 3 2 3 7 3 2" xfId="12409" xr:uid="{84AE1591-C158-420D-9FC3-26955E45616A}"/>
    <cellStyle name="Entrada 2 3 2 3 7 4" xfId="7465" xr:uid="{5E32E0A2-B415-47ED-A2E7-7AE6B9446077}"/>
    <cellStyle name="Entrada 2 3 2 3 7 4 2" xfId="13037" xr:uid="{DD57630F-616B-4A0F-BBB0-FBA95AC3277C}"/>
    <cellStyle name="Entrada 2 3 2 3 7 5" xfId="7974" xr:uid="{F6E757DC-86B8-423C-A552-E3D0C6B0B6CD}"/>
    <cellStyle name="Entrada 2 3 2 3 7 5 2" xfId="13546" xr:uid="{38B68425-9200-439B-B17F-3595B032CE77}"/>
    <cellStyle name="Entrada 2 3 2 3 7 6" xfId="9226" xr:uid="{D10936B0-18D5-4961-9286-D1AF8413699B}"/>
    <cellStyle name="Entrada 2 3 2 3 8" xfId="3304" xr:uid="{11BDA9BB-14B7-4414-B544-64AF38BFB3BE}"/>
    <cellStyle name="Entrada 2 3 2 3 8 2" xfId="9586" xr:uid="{811437D6-320F-4941-94F5-256613B82D5D}"/>
    <cellStyle name="Entrada 2 3 2 3 9" xfId="4471" xr:uid="{494705D9-331D-473F-8017-0B7648168A6C}"/>
    <cellStyle name="Entrada 2 3 2 3 9 2" xfId="10383" xr:uid="{FC8BD86C-33C8-4F0A-B972-038382DFA96F}"/>
    <cellStyle name="Entrada 2 3 2 4" xfId="8849" xr:uid="{022B6147-A09A-4645-8C52-5396C93D267D}"/>
    <cellStyle name="Entrada 2 3 2 5" xfId="2128" xr:uid="{BACE0093-90E1-41E0-B6BF-E2B3389121ED}"/>
    <cellStyle name="Entrada 2 3 3" xfId="1530" xr:uid="{6F650336-8077-4900-AA95-1E67DD43DF49}"/>
    <cellStyle name="Entrada 2 3 3 10" xfId="4393" xr:uid="{3A413A8A-151C-4673-9F3C-AF6DD9D6F864}"/>
    <cellStyle name="Entrada 2 3 3 10 2" xfId="10351" xr:uid="{E00424BC-D548-4073-9185-2978A4A601F8}"/>
    <cellStyle name="Entrada 2 3 3 11" xfId="4596" xr:uid="{13CE806E-563D-43A1-878E-F731383D3C48}"/>
    <cellStyle name="Entrada 2 3 3 11 2" xfId="10460" xr:uid="{3AB9A0A3-C0D7-454F-B8AD-396720030A33}"/>
    <cellStyle name="Entrada 2 3 3 12" xfId="5420" xr:uid="{21399416-49FD-48C2-8ED6-10564A2918E1}"/>
    <cellStyle name="Entrada 2 3 3 12 2" xfId="11218" xr:uid="{2F067062-2643-443D-A7E9-FB08A7A3B3BF}"/>
    <cellStyle name="Entrada 2 3 3 13" xfId="5588" xr:uid="{8ACB61C6-B0EA-4B09-8413-3C8EAA483422}"/>
    <cellStyle name="Entrada 2 3 3 13 2" xfId="11316" xr:uid="{F8F735F7-962F-4396-8CB2-180177661A4D}"/>
    <cellStyle name="Entrada 2 3 3 14" xfId="5349" xr:uid="{94B8A97D-23F6-45E2-83D8-D15806C40315}"/>
    <cellStyle name="Entrada 2 3 3 14 2" xfId="11181" xr:uid="{1E49518C-3F80-4597-8348-D3C9A1CDB151}"/>
    <cellStyle name="Entrada 2 3 3 15" xfId="5663" xr:uid="{D13E5D7B-73D2-4AF8-8280-3E7E3E9FDBCD}"/>
    <cellStyle name="Entrada 2 3 3 15 2" xfId="11391" xr:uid="{B9836137-3C55-4614-BA45-1E862F60B2E7}"/>
    <cellStyle name="Entrada 2 3 3 16" xfId="5765" xr:uid="{E799F155-5FA2-4C2A-BBD7-70DC948F4860}"/>
    <cellStyle name="Entrada 2 3 3 16 2" xfId="11493" xr:uid="{0FF0F3E4-A620-43F1-9CED-678F3EAB51B8}"/>
    <cellStyle name="Entrada 2 3 3 17" xfId="6501" xr:uid="{0BB25E8D-2D10-4753-BEB9-9EB35FD3C3AE}"/>
    <cellStyle name="Entrada 2 3 3 17 2" xfId="12205" xr:uid="{F1D0F874-6487-43D5-99D5-5C0B58919DF4}"/>
    <cellStyle name="Entrada 2 3 3 18" xfId="7514" xr:uid="{86E4B38E-ECBC-4411-B2EA-3BFDDBCAB131}"/>
    <cellStyle name="Entrada 2 3 3 18 2" xfId="13086" xr:uid="{2AF48EA3-F793-4802-B47A-A57CCCF8B7ED}"/>
    <cellStyle name="Entrada 2 3 3 19" xfId="8440" xr:uid="{5C033826-76AB-479F-96F5-8138EB8B78CA}"/>
    <cellStyle name="Entrada 2 3 3 19 2" xfId="13920" xr:uid="{2DF6AB54-7A58-430E-8B46-641A20688B6B}"/>
    <cellStyle name="Entrada 2 3 3 2" xfId="2418" xr:uid="{57297964-986A-4C93-B711-1111B4E2B356}"/>
    <cellStyle name="Entrada 2 3 3 2 10" xfId="5208" xr:uid="{2654718C-2DA5-41F1-85D7-3D1B668DE7C8}"/>
    <cellStyle name="Entrada 2 3 3 2 10 2" xfId="11054" xr:uid="{9B52CB5C-7F86-4AA1-83F0-AB709762C4ED}"/>
    <cellStyle name="Entrada 2 3 3 2 11" xfId="5193" xr:uid="{00FB1E71-F4BA-4967-B0BD-A5D746A46BED}"/>
    <cellStyle name="Entrada 2 3 3 2 11 2" xfId="11039" xr:uid="{151E2354-6D65-409A-808D-515E3D06CE63}"/>
    <cellStyle name="Entrada 2 3 3 2 12" xfId="8632" xr:uid="{87A06102-0336-47E5-B889-334C6B4B4AC1}"/>
    <cellStyle name="Entrada 2 3 3 2 12 2" xfId="14020" xr:uid="{7A93108E-432D-460E-82B5-8D97F7E19BB7}"/>
    <cellStyle name="Entrada 2 3 3 2 13" xfId="8980" xr:uid="{76ACE084-142E-474A-BC1E-6606590F3A62}"/>
    <cellStyle name="Entrada 2 3 3 2 2" xfId="3006" xr:uid="{62A0B63E-D4F6-4BBD-A253-494922F8ADDA}"/>
    <cellStyle name="Entrada 2 3 3 2 2 2" xfId="3946" xr:uid="{9105C088-1062-49FA-B81B-C9657B1726EC}"/>
    <cellStyle name="Entrada 2 3 3 2 2 2 2" xfId="10060" xr:uid="{9A501138-FD50-4A2B-9BF9-9F7EE8FB7A5E}"/>
    <cellStyle name="Entrada 2 3 3 2 2 3" xfId="6917" xr:uid="{B7C1AAD7-6DBE-43AF-B689-DFBC8BC4BCE6}"/>
    <cellStyle name="Entrada 2 3 3 2 2 3 2" xfId="12523" xr:uid="{09E5F528-8065-45F0-ADEB-402A4C7F788E}"/>
    <cellStyle name="Entrada 2 3 3 2 2 4" xfId="7595" xr:uid="{2D95281D-E070-41D0-8CFA-A68698678FA8}"/>
    <cellStyle name="Entrada 2 3 3 2 2 4 2" xfId="13167" xr:uid="{C5B73452-57E7-4C29-9E6A-617429EE8A32}"/>
    <cellStyle name="Entrada 2 3 3 2 2 5" xfId="8088" xr:uid="{5C5E93D7-4AC5-4673-A942-EBAC4B3AD15E}"/>
    <cellStyle name="Entrada 2 3 3 2 2 5 2" xfId="13660" xr:uid="{BE472CB6-BF15-47C5-8345-6F1878F3C905}"/>
    <cellStyle name="Entrada 2 3 3 2 2 6" xfId="9340" xr:uid="{9F659D4F-C262-4B57-BAEF-129EE8167A4D}"/>
    <cellStyle name="Entrada 2 3 3 2 3" xfId="3466" xr:uid="{1F413411-3BD3-4049-A593-327BB3A472DD}"/>
    <cellStyle name="Entrada 2 3 3 2 3 2" xfId="9700" xr:uid="{CC4AFD27-B481-4B71-AF28-ADAD6310E476}"/>
    <cellStyle name="Entrada 2 3 3 2 4" xfId="4659" xr:uid="{4D5A6439-BE52-4EC9-A517-65F0C7F41AD6}"/>
    <cellStyle name="Entrada 2 3 3 2 4 2" xfId="10523" xr:uid="{4A830C56-BDFC-485D-926B-82087D5E1F07}"/>
    <cellStyle name="Entrada 2 3 3 2 5" xfId="4898" xr:uid="{26545713-140F-4FF6-ADD0-EE52A301C342}"/>
    <cellStyle name="Entrada 2 3 3 2 5 2" xfId="10744" xr:uid="{041A0502-D2C4-49D5-BFAC-3C44A10C3FEF}"/>
    <cellStyle name="Entrada 2 3 3 2 6" xfId="5054" xr:uid="{02864F09-C787-48D1-A00A-38366310E7FE}"/>
    <cellStyle name="Entrada 2 3 3 2 6 2" xfId="10900" xr:uid="{83F0EB4F-DF8F-4ADB-877D-572B060E4B17}"/>
    <cellStyle name="Entrada 2 3 3 2 7" xfId="5824" xr:uid="{1096FD8D-0AA9-4CE7-8619-72C67122E515}"/>
    <cellStyle name="Entrada 2 3 3 2 7 2" xfId="11552" xr:uid="{C4A7F9EB-E3D0-416B-8592-5C2EB20EA133}"/>
    <cellStyle name="Entrada 2 3 3 2 8" xfId="5276" xr:uid="{1B769558-7E45-40BC-91BF-E270D60C58DB}"/>
    <cellStyle name="Entrada 2 3 3 2 8 2" xfId="11120" xr:uid="{AC3FC12A-9022-489A-8632-559C278A5F93}"/>
    <cellStyle name="Entrada 2 3 3 2 9" xfId="6361" xr:uid="{CFCA00EA-A8C5-46DA-9C0D-A2E2B152DBF4}"/>
    <cellStyle name="Entrada 2 3 3 2 9 2" xfId="12065" xr:uid="{F2F32D18-E034-4163-A023-095233328267}"/>
    <cellStyle name="Entrada 2 3 3 20" xfId="8880" xr:uid="{15B51797-0133-481F-B8F1-3913076B7B86}"/>
    <cellStyle name="Entrada 2 3 3 21" xfId="2226" xr:uid="{9BCC3D72-5690-4E7D-BFD7-83A8AA10AB33}"/>
    <cellStyle name="Entrada 2 3 3 3" xfId="2524" xr:uid="{8820E3D4-F5F4-4410-BA1D-093E8D19DE73}"/>
    <cellStyle name="Entrada 2 3 3 3 10" xfId="7216" xr:uid="{49D5916F-DF65-4A02-9AD6-968AEB254948}"/>
    <cellStyle name="Entrada 2 3 3 3 10 2" xfId="12788" xr:uid="{DF4310C3-9616-4D6E-86E6-6F4C3B5B5F18}"/>
    <cellStyle name="Entrada 2 3 3 3 11" xfId="6538" xr:uid="{1F746BE2-0271-40E5-8868-0B7DF0567F96}"/>
    <cellStyle name="Entrada 2 3 3 3 11 2" xfId="12242" xr:uid="{1269FB1F-CC3D-494A-A2D3-C043E26BB0F4}"/>
    <cellStyle name="Entrada 2 3 3 3 12" xfId="8738" xr:uid="{6F941FE3-6898-42B4-8E95-9C490216037D}"/>
    <cellStyle name="Entrada 2 3 3 3 12 2" xfId="14094" xr:uid="{44379820-16DD-4862-8E1E-DEC31B3CD8C0}"/>
    <cellStyle name="Entrada 2 3 3 3 13" xfId="9054" xr:uid="{153E943D-7DBB-4D56-9A5F-3CEA734E290A}"/>
    <cellStyle name="Entrada 2 3 3 3 2" xfId="3080" xr:uid="{254D5DEB-DF9B-433C-9FE7-A2C56EE6A401}"/>
    <cellStyle name="Entrada 2 3 3 3 2 2" xfId="4020" xr:uid="{B8AA77FB-0F69-4B07-B1C9-954BF9D1835D}"/>
    <cellStyle name="Entrada 2 3 3 3 2 2 2" xfId="10134" xr:uid="{C9309E87-8B95-48AF-9A6D-1365554A5E06}"/>
    <cellStyle name="Entrada 2 3 3 3 2 3" xfId="6991" xr:uid="{F427E22E-38EB-4EFB-ACF5-3277799666C2}"/>
    <cellStyle name="Entrada 2 3 3 3 2 3 2" xfId="12597" xr:uid="{1885BAA2-B71C-4207-8835-C9DB308EF5B8}"/>
    <cellStyle name="Entrada 2 3 3 3 2 4" xfId="7669" xr:uid="{981223C9-F869-47FD-9A09-CA84B1BC8501}"/>
    <cellStyle name="Entrada 2 3 3 3 2 4 2" xfId="13241" xr:uid="{80DEBD5E-37C4-4374-A49D-A3F988378295}"/>
    <cellStyle name="Entrada 2 3 3 3 2 5" xfId="8162" xr:uid="{55E0F2C5-C553-4658-BC0D-ED1BB4D622A0}"/>
    <cellStyle name="Entrada 2 3 3 3 2 5 2" xfId="13734" xr:uid="{CE71ED03-651B-43B2-B342-B93173C23B7B}"/>
    <cellStyle name="Entrada 2 3 3 3 2 6" xfId="9414" xr:uid="{C3A30862-87A7-478B-B071-F86DC69C51CC}"/>
    <cellStyle name="Entrada 2 3 3 3 3" xfId="3540" xr:uid="{D6DA7DE8-371C-4905-B240-9900F9F24361}"/>
    <cellStyle name="Entrada 2 3 3 3 3 2" xfId="9774" xr:uid="{110EC849-62DC-4066-A096-038343322D25}"/>
    <cellStyle name="Entrada 2 3 3 3 4" xfId="4737" xr:uid="{AE7435E0-05D9-469A-9FED-C8BFEA86D42E}"/>
    <cellStyle name="Entrada 2 3 3 3 4 2" xfId="10601" xr:uid="{DE56FC96-BFBC-44AF-8D9A-F0973EBF6CE8}"/>
    <cellStyle name="Entrada 2 3 3 3 5" xfId="4980" xr:uid="{C9E2067B-0ACB-415E-B28E-A05728AA8044}"/>
    <cellStyle name="Entrada 2 3 3 3 5 2" xfId="10826" xr:uid="{84AA8C4F-4B93-4F32-8AAD-347611A68AB8}"/>
    <cellStyle name="Entrada 2 3 3 3 6" xfId="5128" xr:uid="{728D5F49-3E70-47E6-8042-5D565ACB86D3}"/>
    <cellStyle name="Entrada 2 3 3 3 6 2" xfId="10974" xr:uid="{C21062A6-0E57-4A57-AAD7-8914A50E376A}"/>
    <cellStyle name="Entrada 2 3 3 3 7" xfId="5919" xr:uid="{42A6489C-1908-4DD7-9B31-0E3A832BE3FC}"/>
    <cellStyle name="Entrada 2 3 3 3 7 2" xfId="11647" xr:uid="{13EB9B17-AEE7-4106-A06B-25EBD517889D}"/>
    <cellStyle name="Entrada 2 3 3 3 8" xfId="6249" xr:uid="{8010CFE8-60FA-41AA-BA0E-EBBD8211D64C}"/>
    <cellStyle name="Entrada 2 3 3 3 8 2" xfId="11953" xr:uid="{9ED63B39-F422-499E-B85A-342720DF50A7}"/>
    <cellStyle name="Entrada 2 3 3 3 9" xfId="6451" xr:uid="{8AD70B4A-811D-45E8-B984-6627ACD0F20D}"/>
    <cellStyle name="Entrada 2 3 3 3 9 2" xfId="12155" xr:uid="{FCE00BBC-3CAA-49F1-89E9-06A8E93C427F}"/>
    <cellStyle name="Entrada 2 3 3 4" xfId="2320" xr:uid="{87BF3D4C-FE95-4D3A-892D-163461373E54}"/>
    <cellStyle name="Entrada 2 3 3 4 10" xfId="6324" xr:uid="{F31BA9C5-9949-4EE2-897E-B1D54F3CD51C}"/>
    <cellStyle name="Entrada 2 3 3 4 10 2" xfId="12028" xr:uid="{1EEAC405-26BE-472E-B4B5-8D0B01B8F55D}"/>
    <cellStyle name="Entrada 2 3 3 4 11" xfId="7186" xr:uid="{E2B4AD03-E772-4BBA-B11D-36B67A415382}"/>
    <cellStyle name="Entrada 2 3 3 4 11 2" xfId="12758" xr:uid="{1A176CA7-AD2D-4D96-BACE-A3092392031A}"/>
    <cellStyle name="Entrada 2 3 3 4 12" xfId="8534" xr:uid="{04DF387F-7E91-45DC-9518-E99C32DF7989}"/>
    <cellStyle name="Entrada 2 3 3 4 12 2" xfId="13984" xr:uid="{E2B8B060-1BBE-4D20-AE84-EAE26F5C2F76}"/>
    <cellStyle name="Entrada 2 3 3 4 13" xfId="8944" xr:uid="{4604DDAD-53AB-4351-9212-DF25A2206D6C}"/>
    <cellStyle name="Entrada 2 3 3 4 2" xfId="2970" xr:uid="{6351F8EC-9EDF-44E4-97DB-9A28FF1B772F}"/>
    <cellStyle name="Entrada 2 3 3 4 2 2" xfId="3910" xr:uid="{B7A2827A-B434-4756-8D76-79D71BECE514}"/>
    <cellStyle name="Entrada 2 3 3 4 2 2 2" xfId="10024" xr:uid="{AB259721-CA46-49E2-9536-FA838920316F}"/>
    <cellStyle name="Entrada 2 3 3 4 2 3" xfId="6881" xr:uid="{AFD65430-7E85-4165-BC15-C847CE7CBD7A}"/>
    <cellStyle name="Entrada 2 3 3 4 2 3 2" xfId="12487" xr:uid="{9F7071A1-3ACC-4BB0-BE9A-DBA61AA0A1DB}"/>
    <cellStyle name="Entrada 2 3 3 4 2 4" xfId="7559" xr:uid="{F9E75DDE-D772-4E37-AF46-E634344B610D}"/>
    <cellStyle name="Entrada 2 3 3 4 2 4 2" xfId="13131" xr:uid="{EA2A0E7B-F64E-4CE2-A16B-3986D1343096}"/>
    <cellStyle name="Entrada 2 3 3 4 2 5" xfId="8052" xr:uid="{3E2886C3-0F11-4921-B93C-CD61B30DD11B}"/>
    <cellStyle name="Entrada 2 3 3 4 2 5 2" xfId="13624" xr:uid="{11148114-A792-4340-8AE3-D2CC58337489}"/>
    <cellStyle name="Entrada 2 3 3 4 2 6" xfId="9304" xr:uid="{58B8A8DB-2D44-48EF-B6BF-D414CA836389}"/>
    <cellStyle name="Entrada 2 3 3 4 3" xfId="3430" xr:uid="{5F39ED3C-4043-4533-AFEF-18C7D22008C9}"/>
    <cellStyle name="Entrada 2 3 3 4 3 2" xfId="9664" xr:uid="{5259C6EE-DB4A-4E52-A40E-A15A0F976AA8}"/>
    <cellStyle name="Entrada 2 3 3 4 4" xfId="4606" xr:uid="{E6D7DAA4-7D7E-41BD-B3A4-524684BD3752}"/>
    <cellStyle name="Entrada 2 3 3 4 4 2" xfId="10470" xr:uid="{601F0339-CAA8-450C-8B38-0907F88A6070}"/>
    <cellStyle name="Entrada 2 3 3 4 5" xfId="4847" xr:uid="{AC7E5F62-8289-4887-A137-EBE67FB3D859}"/>
    <cellStyle name="Entrada 2 3 3 4 5 2" xfId="10693" xr:uid="{494A778A-7DAD-4AFE-884D-340E54D394AE}"/>
    <cellStyle name="Entrada 2 3 3 4 6" xfId="4334" xr:uid="{46F9BE37-D02F-4C0C-9320-328D66573C69}"/>
    <cellStyle name="Entrada 2 3 3 4 6 2" xfId="10294" xr:uid="{7BB1B62A-E959-4D24-8B57-968E2B91B39A}"/>
    <cellStyle name="Entrada 2 3 3 4 7" xfId="5748" xr:uid="{1EEBDE02-D0BE-49D6-BB8C-FAA0972538E2}"/>
    <cellStyle name="Entrada 2 3 3 4 7 2" xfId="11476" xr:uid="{E3714968-8EBD-45D4-B0E6-83C93FD86B0A}"/>
    <cellStyle name="Entrada 2 3 3 4 8" xfId="5995" xr:uid="{E1D3C593-03BE-496F-931D-FEA70D562553}"/>
    <cellStyle name="Entrada 2 3 3 4 8 2" xfId="11707" xr:uid="{3861DF97-BA31-462B-874E-F33AC933B23E}"/>
    <cellStyle name="Entrada 2 3 3 4 9" xfId="5246" xr:uid="{71F8D4C2-A0C8-4B33-8393-ABA6E21F9DD2}"/>
    <cellStyle name="Entrada 2 3 3 4 9 2" xfId="11092" xr:uid="{CABFEA96-3A4D-4EC3-9E38-997EE2158E65}"/>
    <cellStyle name="Entrada 2 3 3 5" xfId="2682" xr:uid="{3B2BDFE1-591D-4B2E-8C75-8EF69625D887}"/>
    <cellStyle name="Entrada 2 3 3 5 2" xfId="3146" xr:uid="{06D2716C-8401-4E39-9F38-266712605CE0}"/>
    <cellStyle name="Entrada 2 3 3 5 2 2" xfId="4104" xr:uid="{C09305D7-B5B5-4551-B0F2-A3558C22BEDE}"/>
    <cellStyle name="Entrada 2 3 3 5 2 2 2" xfId="10200" xr:uid="{056F8E56-483D-495A-BE40-43806DCF25BA}"/>
    <cellStyle name="Entrada 2 3 3 5 2 3" xfId="7075" xr:uid="{7F18C556-7714-43AA-8479-F2202E6B7E08}"/>
    <cellStyle name="Entrada 2 3 3 5 2 3 2" xfId="12663" xr:uid="{5D2E5C66-5F17-4793-A34C-954A2025EA9A}"/>
    <cellStyle name="Entrada 2 3 3 5 2 4" xfId="7736" xr:uid="{8EFD8518-887C-44A3-BF1D-72E9C6D03488}"/>
    <cellStyle name="Entrada 2 3 3 5 2 4 2" xfId="13308" xr:uid="{E2CB717E-7B91-4DA1-9A7B-3628961C9C6E}"/>
    <cellStyle name="Entrada 2 3 3 5 2 5" xfId="8228" xr:uid="{231B357F-A416-490F-A0F2-50F451CED8E9}"/>
    <cellStyle name="Entrada 2 3 3 5 2 5 2" xfId="13800" xr:uid="{86757777-C56B-4998-A9D3-FC2D78185F0C}"/>
    <cellStyle name="Entrada 2 3 3 5 2 6" xfId="9480" xr:uid="{18B02056-7941-40DC-BF3E-A72A1193E58D}"/>
    <cellStyle name="Entrada 2 3 3 5 3" xfId="3624" xr:uid="{88C9B831-37E4-40B6-B684-A5E37F60CAF2}"/>
    <cellStyle name="Entrada 2 3 3 5 3 2" xfId="9840" xr:uid="{06C17223-3369-4B89-94B4-EA087103D4FA}"/>
    <cellStyle name="Entrada 2 3 3 5 4" xfId="6061" xr:uid="{9543693B-ECA1-4A4C-8FE7-F0F65C8B24BF}"/>
    <cellStyle name="Entrada 2 3 3 5 4 2" xfId="11773" xr:uid="{20461A49-6381-4B5D-BAC6-D73EC823209F}"/>
    <cellStyle name="Entrada 2 3 3 5 5" xfId="6579" xr:uid="{42A441F3-AFAD-4963-85DB-538A6560C528}"/>
    <cellStyle name="Entrada 2 3 3 5 5 2" xfId="12283" xr:uid="{D6AF1F27-09A8-4BE1-8A81-ABFB3DDBF408}"/>
    <cellStyle name="Entrada 2 3 3 5 6" xfId="7333" xr:uid="{425122E9-D59E-47B8-B4E1-FCC31B8FB6A9}"/>
    <cellStyle name="Entrada 2 3 3 5 6 2" xfId="12905" xr:uid="{2E9D74C8-95C4-4BB2-A80E-3E64FDF38C85}"/>
    <cellStyle name="Entrada 2 3 3 5 7" xfId="7868" xr:uid="{69AE8094-D8DA-484C-92F5-AB7E4CF6EE0D}"/>
    <cellStyle name="Entrada 2 3 3 5 7 2" xfId="13440" xr:uid="{807AFCD3-0853-450D-B352-EA512CC22BEC}"/>
    <cellStyle name="Entrada 2 3 3 5 8" xfId="9120" xr:uid="{E1A06386-AC01-4C37-BA51-64BF641074B3}"/>
    <cellStyle name="Entrada 2 3 3 6" xfId="2774" xr:uid="{8DAE2D0B-3AC9-43CE-9D96-9C0305D5A7E2}"/>
    <cellStyle name="Entrada 2 3 3 6 2" xfId="3206" xr:uid="{935EEFB1-6D6E-4266-9A80-70A0FAE477D4}"/>
    <cellStyle name="Entrada 2 3 3 6 2 2" xfId="4164" xr:uid="{9DC93531-6D35-4745-A05E-C080C7958CDD}"/>
    <cellStyle name="Entrada 2 3 3 6 2 2 2" xfId="10260" xr:uid="{EF0C3822-71EC-4ED2-A943-7E2F83C761C5}"/>
    <cellStyle name="Entrada 2 3 3 6 2 3" xfId="7135" xr:uid="{4AA18AD5-021B-42C9-AA90-9AD5A2672E74}"/>
    <cellStyle name="Entrada 2 3 3 6 2 3 2" xfId="12723" xr:uid="{F8C63D82-518E-435A-BA38-4B3C0792FBE2}"/>
    <cellStyle name="Entrada 2 3 3 6 2 4" xfId="7796" xr:uid="{5ECD11DD-AE7A-4FB0-96D5-B2A2DD37E06D}"/>
    <cellStyle name="Entrada 2 3 3 6 2 4 2" xfId="13368" xr:uid="{D42906B6-AFBB-413D-901C-45D24FDEDD1C}"/>
    <cellStyle name="Entrada 2 3 3 6 2 5" xfId="8288" xr:uid="{0FA36E9B-D84A-4D0D-A514-21F648D3AE79}"/>
    <cellStyle name="Entrada 2 3 3 6 2 5 2" xfId="13860" xr:uid="{7882B6DB-B35B-42CE-AA2B-1DC7D05511D4}"/>
    <cellStyle name="Entrada 2 3 3 6 2 6" xfId="9540" xr:uid="{3B7E2EE6-F0B5-4C5D-AACB-A89F1FF9BEBE}"/>
    <cellStyle name="Entrada 2 3 3 6 3" xfId="3684" xr:uid="{F2E63301-6A85-482E-A227-B6ED11A4C370}"/>
    <cellStyle name="Entrada 2 3 3 6 3 2" xfId="9900" xr:uid="{F05DD49D-65AA-4630-8062-2F51118F8D20}"/>
    <cellStyle name="Entrada 2 3 3 6 4" xfId="6141" xr:uid="{CB838032-D310-45BD-8BF4-90CD0FC00B17}"/>
    <cellStyle name="Entrada 2 3 3 6 4 2" xfId="11853" xr:uid="{76C9823D-0F51-4EF0-B56A-4175757C89C9}"/>
    <cellStyle name="Entrada 2 3 3 6 5" xfId="6651" xr:uid="{AE20ABEC-A6E2-41CD-B604-E995004FD068}"/>
    <cellStyle name="Entrada 2 3 3 6 5 2" xfId="12355" xr:uid="{ADA2D14B-792B-4596-98C5-F48B669AECFA}"/>
    <cellStyle name="Entrada 2 3 3 6 6" xfId="7395" xr:uid="{CF6D4349-F5A8-408F-A389-4D33AB053780}"/>
    <cellStyle name="Entrada 2 3 3 6 6 2" xfId="12967" xr:uid="{03BB1E04-13DE-4F19-B161-0522A8C6FE8C}"/>
    <cellStyle name="Entrada 2 3 3 6 7" xfId="7928" xr:uid="{A4B99FAF-AE3F-405E-9B71-84CE58AEB453}"/>
    <cellStyle name="Entrada 2 3 3 6 7 2" xfId="13500" xr:uid="{4E01CC25-D20D-4973-83A1-F7EEFE20B5BD}"/>
    <cellStyle name="Entrada 2 3 3 6 8" xfId="9180" xr:uid="{914B866E-D6E0-4BF5-8CD5-7E36A49EDCE3}"/>
    <cellStyle name="Entrada 2 3 3 7" xfId="2874" xr:uid="{54B17540-0428-4818-8668-4716240B1072}"/>
    <cellStyle name="Entrada 2 3 3 7 2" xfId="3798" xr:uid="{97382E83-BD9F-4982-8EFA-E3635473E570}"/>
    <cellStyle name="Entrada 2 3 3 7 2 2" xfId="9960" xr:uid="{51731FE7-9E66-47D8-A81C-EE1224ADEADA}"/>
    <cellStyle name="Entrada 2 3 3 7 3" xfId="6769" xr:uid="{F1B3C3B2-B4B6-44D7-820D-083E38AAFC2A}"/>
    <cellStyle name="Entrada 2 3 3 7 3 2" xfId="12423" xr:uid="{73EE80AA-C95F-4C9F-8124-A458D6649F06}"/>
    <cellStyle name="Entrada 2 3 3 7 4" xfId="7479" xr:uid="{E31912B4-4587-4D67-929E-C7D4794AC327}"/>
    <cellStyle name="Entrada 2 3 3 7 4 2" xfId="13051" xr:uid="{A54F7F63-1B11-45DD-87A7-4E71BEAD8A38}"/>
    <cellStyle name="Entrada 2 3 3 7 5" xfId="7988" xr:uid="{338D963E-7BF5-4306-90D3-92DD1492A8D3}"/>
    <cellStyle name="Entrada 2 3 3 7 5 2" xfId="13560" xr:uid="{7E729F11-EB98-4FA6-AB35-268A93B50122}"/>
    <cellStyle name="Entrada 2 3 3 7 6" xfId="9240" xr:uid="{EB37A6FF-2A2D-42CE-B27F-BA8596576E98}"/>
    <cellStyle name="Entrada 2 3 3 8" xfId="3318" xr:uid="{A1362B0A-06CD-4AA6-8AFB-46B21A6F36E4}"/>
    <cellStyle name="Entrada 2 3 3 8 2" xfId="9600" xr:uid="{200CF58B-C1C5-4F12-849C-FC4A2BA04729}"/>
    <cellStyle name="Entrada 2 3 3 9" xfId="4485" xr:uid="{4F7DEC93-1DB5-446B-B70E-D73D037B125B}"/>
    <cellStyle name="Entrada 2 3 3 9 2" xfId="10397" xr:uid="{CBF334CD-0E6B-4465-BEF4-53648B24AEC7}"/>
    <cellStyle name="Entrada 2 3 4" xfId="1544" xr:uid="{249B48E6-7AC9-4313-B713-40BEB3862561}"/>
    <cellStyle name="Entrada 2 3 4 10" xfId="4376" xr:uid="{99B676F9-CD96-455A-8E24-461B94208A8E}"/>
    <cellStyle name="Entrada 2 3 4 10 2" xfId="10336" xr:uid="{15D96FFB-946C-4C71-9FC3-744ED98B4D16}"/>
    <cellStyle name="Entrada 2 3 4 11" xfId="4623" xr:uid="{B123AB48-2B4C-4D35-B0CC-78D73730366E}"/>
    <cellStyle name="Entrada 2 3 4 11 2" xfId="10487" xr:uid="{5D4745CB-0815-43B6-A832-BAC7CE44BA8A}"/>
    <cellStyle name="Entrada 2 3 4 12" xfId="5432" xr:uid="{182FACAF-4E8A-4CAF-A560-954067ADEE99}"/>
    <cellStyle name="Entrada 2 3 4 12 2" xfId="11226" xr:uid="{546C60CA-0547-4095-A54F-2EB6F95F07BE}"/>
    <cellStyle name="Entrada 2 3 4 13" xfId="5600" xr:uid="{BF13C3B0-3684-4DFB-99D4-B35F7478E6FF}"/>
    <cellStyle name="Entrada 2 3 4 13 2" xfId="11328" xr:uid="{A1D0D7AA-6B9B-46E4-8BE3-D84CB459765C}"/>
    <cellStyle name="Entrada 2 3 4 14" xfId="5277" xr:uid="{BD9836D5-8906-473B-A58E-BB76BC7D008B}"/>
    <cellStyle name="Entrada 2 3 4 14 2" xfId="11121" xr:uid="{1EDD3280-5646-4396-964C-5C3A837C8C49}"/>
    <cellStyle name="Entrada 2 3 4 15" xfId="5625" xr:uid="{07192AE9-F965-4430-948E-0896D2B20648}"/>
    <cellStyle name="Entrada 2 3 4 15 2" xfId="11353" xr:uid="{CED2BED5-8D92-4ABF-A1C5-7153D2E30185}"/>
    <cellStyle name="Entrada 2 3 4 16" xfId="5173" xr:uid="{A9E4FA1D-9B68-4166-BCAE-B01CFD36B6D0}"/>
    <cellStyle name="Entrada 2 3 4 16 2" xfId="11019" xr:uid="{F643FFDB-B46F-4C91-93BE-6D5FD136A963}"/>
    <cellStyle name="Entrada 2 3 4 17" xfId="6512" xr:uid="{9F69B54A-E8BB-41E2-8B71-8893562ECC78}"/>
    <cellStyle name="Entrada 2 3 4 17 2" xfId="12216" xr:uid="{FFE80A8D-B3E7-40D3-90F2-3549F09B0199}"/>
    <cellStyle name="Entrada 2 3 4 18" xfId="6613" xr:uid="{D1275F78-651B-485E-8563-7F4C86B9A2BC}"/>
    <cellStyle name="Entrada 2 3 4 18 2" xfId="12317" xr:uid="{081F640C-CC51-4E3E-968D-4D59096CAF67}"/>
    <cellStyle name="Entrada 2 3 4 19" xfId="8448" xr:uid="{929B371F-5D66-4971-8E15-9AA3F0062F44}"/>
    <cellStyle name="Entrada 2 3 4 19 2" xfId="13928" xr:uid="{512B3BE9-8E03-4EF1-841A-ED868F0A7185}"/>
    <cellStyle name="Entrada 2 3 4 2" xfId="2428" xr:uid="{0F064762-EA6E-40B4-AF4A-5A8E5880E08B}"/>
    <cellStyle name="Entrada 2 3 4 2 10" xfId="6110" xr:uid="{D274548B-D397-4AF5-96F8-8C973A4B19FE}"/>
    <cellStyle name="Entrada 2 3 4 2 10 2" xfId="11822" xr:uid="{CC8E0C37-A375-4383-A0D3-9E0CDB09F1B5}"/>
    <cellStyle name="Entrada 2 3 4 2 11" xfId="5185" xr:uid="{272B6E8B-0AD9-4255-9A43-19A5B1977C21}"/>
    <cellStyle name="Entrada 2 3 4 2 11 2" xfId="11031" xr:uid="{EA470A3C-7141-4678-A6C0-7B4EEB1AAE6E}"/>
    <cellStyle name="Entrada 2 3 4 2 12" xfId="8642" xr:uid="{D3F6B43A-CF26-4A6B-A897-4E68655909A8}"/>
    <cellStyle name="Entrada 2 3 4 2 12 2" xfId="14030" xr:uid="{FAEBB63E-2EA9-4B1E-AF6B-FFD6FECAA6D3}"/>
    <cellStyle name="Entrada 2 3 4 2 13" xfId="8990" xr:uid="{217916CF-3252-4B1C-BE8D-8B5F3431DF7C}"/>
    <cellStyle name="Entrada 2 3 4 2 2" xfId="3016" xr:uid="{F6E007A8-E59F-4B64-8D42-6642F8ECDF82}"/>
    <cellStyle name="Entrada 2 3 4 2 2 2" xfId="3956" xr:uid="{1A104B83-67EA-4123-B049-13F93F78B8B1}"/>
    <cellStyle name="Entrada 2 3 4 2 2 2 2" xfId="10070" xr:uid="{20D67814-B2A3-4A9F-9812-3828A4405F1F}"/>
    <cellStyle name="Entrada 2 3 4 2 2 3" xfId="6927" xr:uid="{F2FF3F45-3EAD-409D-AA27-F49A0F272018}"/>
    <cellStyle name="Entrada 2 3 4 2 2 3 2" xfId="12533" xr:uid="{BA36FD7E-9FCC-481E-81C5-EEDB1EC776C6}"/>
    <cellStyle name="Entrada 2 3 4 2 2 4" xfId="7605" xr:uid="{987BF442-F834-43F6-8398-E038D8700D18}"/>
    <cellStyle name="Entrada 2 3 4 2 2 4 2" xfId="13177" xr:uid="{0E3B0FC2-3A85-4DF9-B307-EE327AF23A9C}"/>
    <cellStyle name="Entrada 2 3 4 2 2 5" xfId="8098" xr:uid="{13D1706C-ABD7-452A-8A3A-296B3A772A78}"/>
    <cellStyle name="Entrada 2 3 4 2 2 5 2" xfId="13670" xr:uid="{95C9679F-DA9E-4C45-ACAC-E2D57D60E5B9}"/>
    <cellStyle name="Entrada 2 3 4 2 2 6" xfId="9350" xr:uid="{D580FC4E-504B-4043-98B7-679FA2964163}"/>
    <cellStyle name="Entrada 2 3 4 2 3" xfId="3476" xr:uid="{9C4C3285-E516-4233-BE36-526ECB831D57}"/>
    <cellStyle name="Entrada 2 3 4 2 3 2" xfId="9710" xr:uid="{2B500123-674F-4888-9C15-77BE1AEBBFD2}"/>
    <cellStyle name="Entrada 2 3 4 2 4" xfId="4669" xr:uid="{69048EED-0BA3-4210-8724-2470B4DC6BC6}"/>
    <cellStyle name="Entrada 2 3 4 2 4 2" xfId="10533" xr:uid="{B1F1AD6B-D5DF-4755-B646-0F2A731A8CA3}"/>
    <cellStyle name="Entrada 2 3 4 2 5" xfId="4908" xr:uid="{76C5CE72-1060-416C-B56A-3C8CE4E38376}"/>
    <cellStyle name="Entrada 2 3 4 2 5 2" xfId="10754" xr:uid="{22924139-8AA8-4BA1-9915-637D4EC43435}"/>
    <cellStyle name="Entrada 2 3 4 2 6" xfId="5064" xr:uid="{0BE3A728-0D4C-4E1D-9DBE-BE2225B5ABEB}"/>
    <cellStyle name="Entrada 2 3 4 2 6 2" xfId="10910" xr:uid="{D54359EE-C3F8-4179-AF80-44F7ABF53EC7}"/>
    <cellStyle name="Entrada 2 3 4 2 7" xfId="5834" xr:uid="{FA027E3E-8CDD-4B37-A066-3FCC2CBD1371}"/>
    <cellStyle name="Entrada 2 3 4 2 7 2" xfId="11562" xr:uid="{0C3F5AA4-84A0-41EC-98C5-30C6DCE3D43D}"/>
    <cellStyle name="Entrada 2 3 4 2 8" xfId="5184" xr:uid="{72CC3D41-619D-4C58-A391-22D95183B7DC}"/>
    <cellStyle name="Entrada 2 3 4 2 8 2" xfId="11030" xr:uid="{5D13ED14-43F8-4DB4-B690-0B1F4D497D21}"/>
    <cellStyle name="Entrada 2 3 4 2 9" xfId="6371" xr:uid="{900F123D-F714-4224-BD87-FCFCA81850A9}"/>
    <cellStyle name="Entrada 2 3 4 2 9 2" xfId="12075" xr:uid="{812A4CC2-FBBA-4C8B-BCE2-CC9F00068362}"/>
    <cellStyle name="Entrada 2 3 4 20" xfId="8888" xr:uid="{370BF31D-164B-4A1D-B0AD-A6EEA69E8F0F}"/>
    <cellStyle name="Entrada 2 3 4 21" xfId="2234" xr:uid="{1A14C035-8BE0-4A4F-86F8-4F54AE3774BF}"/>
    <cellStyle name="Entrada 2 3 4 3" xfId="2533" xr:uid="{B6C0E324-0F33-4CF7-B17F-BFC7EBD8FB66}"/>
    <cellStyle name="Entrada 2 3 4 3 10" xfId="7225" xr:uid="{F8B603B6-7FF0-4FC7-B5E4-AE349478761C}"/>
    <cellStyle name="Entrada 2 3 4 3 10 2" xfId="12797" xr:uid="{2FD6DEF0-CCC5-4C89-9C2A-405CFE9769B2}"/>
    <cellStyle name="Entrada 2 3 4 3 11" xfId="7451" xr:uid="{7749FFF0-6520-4783-A3E3-12EED728F147}"/>
    <cellStyle name="Entrada 2 3 4 3 11 2" xfId="13023" xr:uid="{F6B18D2E-A347-44C7-BFB0-2CFBBCA222E5}"/>
    <cellStyle name="Entrada 2 3 4 3 12" xfId="8747" xr:uid="{0C9F5D6A-D6B0-41DA-9ED5-655105816B40}"/>
    <cellStyle name="Entrada 2 3 4 3 12 2" xfId="14103" xr:uid="{C9417FE2-409F-4C40-8872-8E931C2C5C61}"/>
    <cellStyle name="Entrada 2 3 4 3 13" xfId="9063" xr:uid="{93724AE9-4194-497F-BA1B-9E2EB4A7F5EF}"/>
    <cellStyle name="Entrada 2 3 4 3 2" xfId="3089" xr:uid="{909AEE3D-E340-41C6-A342-BD9470CA886E}"/>
    <cellStyle name="Entrada 2 3 4 3 2 2" xfId="4029" xr:uid="{77E1ED86-CE4F-464B-BF34-0BEFB27DD57E}"/>
    <cellStyle name="Entrada 2 3 4 3 2 2 2" xfId="10143" xr:uid="{B6C21FF6-ED14-435D-92CF-BF7064D8DA03}"/>
    <cellStyle name="Entrada 2 3 4 3 2 3" xfId="7000" xr:uid="{EC2F2874-CC8C-4E11-9517-AD798DAD78B1}"/>
    <cellStyle name="Entrada 2 3 4 3 2 3 2" xfId="12606" xr:uid="{29335C1C-0745-4678-8698-79AA7ADA3823}"/>
    <cellStyle name="Entrada 2 3 4 3 2 4" xfId="7678" xr:uid="{DD2B4178-09A9-415B-B3A1-1FDBA336507F}"/>
    <cellStyle name="Entrada 2 3 4 3 2 4 2" xfId="13250" xr:uid="{84693635-D34D-451D-9147-6F56A032D9A3}"/>
    <cellStyle name="Entrada 2 3 4 3 2 5" xfId="8171" xr:uid="{AA22B442-DDAB-495E-9B58-72FD73CCDF4A}"/>
    <cellStyle name="Entrada 2 3 4 3 2 5 2" xfId="13743" xr:uid="{74CA5753-0E42-4775-9268-D66439A700C5}"/>
    <cellStyle name="Entrada 2 3 4 3 2 6" xfId="9423" xr:uid="{89D0FCFE-772F-4727-8273-DF6EEA003C4A}"/>
    <cellStyle name="Entrada 2 3 4 3 3" xfId="3549" xr:uid="{E5EA0D6C-B821-4043-90EB-4F54F3493D7F}"/>
    <cellStyle name="Entrada 2 3 4 3 3 2" xfId="9783" xr:uid="{DC9A4202-9BD6-49DB-883D-19E4C2E5A631}"/>
    <cellStyle name="Entrada 2 3 4 3 4" xfId="4746" xr:uid="{7721AD7E-470D-4C22-8600-3C7355D73A3E}"/>
    <cellStyle name="Entrada 2 3 4 3 4 2" xfId="10610" xr:uid="{DA7D1D38-5760-4099-BD26-36C25F969664}"/>
    <cellStyle name="Entrada 2 3 4 3 5" xfId="4989" xr:uid="{0ABC8A10-49F9-4D22-9F63-627826EBE730}"/>
    <cellStyle name="Entrada 2 3 4 3 5 2" xfId="10835" xr:uid="{246C2A90-6785-4D8D-B211-958DED6296F0}"/>
    <cellStyle name="Entrada 2 3 4 3 6" xfId="5137" xr:uid="{67A4BFCC-327A-4C41-BB66-F8531B5C8602}"/>
    <cellStyle name="Entrada 2 3 4 3 6 2" xfId="10983" xr:uid="{9FA27C4B-6C1B-443C-A4CF-779C4892B8BD}"/>
    <cellStyle name="Entrada 2 3 4 3 7" xfId="5928" xr:uid="{584D337A-9D01-41C5-9478-3DDB27645F9C}"/>
    <cellStyle name="Entrada 2 3 4 3 7 2" xfId="11656" xr:uid="{43211B92-271C-47C1-A656-5D94DCB3828F}"/>
    <cellStyle name="Entrada 2 3 4 3 8" xfId="6258" xr:uid="{454AA66C-D8B0-44C8-8ACB-80F9231A5DDC}"/>
    <cellStyle name="Entrada 2 3 4 3 8 2" xfId="11962" xr:uid="{1AEB7DEC-3BC2-4928-A920-DA8C5D186F0B}"/>
    <cellStyle name="Entrada 2 3 4 3 9" xfId="6460" xr:uid="{7D28239E-0170-4803-854A-D906ED1392BB}"/>
    <cellStyle name="Entrada 2 3 4 3 9 2" xfId="12164" xr:uid="{1D09DB16-0D55-4080-9D87-049056C676F4}"/>
    <cellStyle name="Entrada 2 3 4 4" xfId="2454" xr:uid="{888ABF99-3094-4109-8CF0-C55469033768}"/>
    <cellStyle name="Entrada 2 3 4 4 10" xfId="5689" xr:uid="{25373EB7-0D0E-4560-9751-4137CD1F737E}"/>
    <cellStyle name="Entrada 2 3 4 4 10 2" xfId="11417" xr:uid="{CA6FB7D0-12AA-4E1D-8A69-9B40902157FE}"/>
    <cellStyle name="Entrada 2 3 4 4 11" xfId="5988" xr:uid="{77C2DDB4-048C-447E-B492-6C2B65702F95}"/>
    <cellStyle name="Entrada 2 3 4 4 11 2" xfId="11700" xr:uid="{791ED70F-123C-4943-9FFC-8F6A9027CA7C}"/>
    <cellStyle name="Entrada 2 3 4 4 12" xfId="8668" xr:uid="{99801C8A-05C6-43BF-8073-FE9E1FC8E72C}"/>
    <cellStyle name="Entrada 2 3 4 4 12 2" xfId="14056" xr:uid="{37234FE4-130B-44A3-BCA6-5BE7612D83B9}"/>
    <cellStyle name="Entrada 2 3 4 4 13" xfId="9016" xr:uid="{AF240608-ABD9-438B-A60A-6E8C70FCA719}"/>
    <cellStyle name="Entrada 2 3 4 4 2" xfId="3042" xr:uid="{2B5ECCC6-48A7-4D7F-A037-71FEAB0043E7}"/>
    <cellStyle name="Entrada 2 3 4 4 2 2" xfId="3982" xr:uid="{7A3AD012-45C2-42F3-AB45-5FF850C94CB7}"/>
    <cellStyle name="Entrada 2 3 4 4 2 2 2" xfId="10096" xr:uid="{9E64FCED-EDF9-44B4-A57F-F4AF58DFE4C5}"/>
    <cellStyle name="Entrada 2 3 4 4 2 3" xfId="6953" xr:uid="{15CDA5E3-276D-46DC-99A8-39B24D80C1D6}"/>
    <cellStyle name="Entrada 2 3 4 4 2 3 2" xfId="12559" xr:uid="{42731990-D3D1-445C-AE2D-E3CF1CAC43C8}"/>
    <cellStyle name="Entrada 2 3 4 4 2 4" xfId="7631" xr:uid="{CA60557D-5412-4DC0-A082-E8B0DCD94E99}"/>
    <cellStyle name="Entrada 2 3 4 4 2 4 2" xfId="13203" xr:uid="{F34A3F6F-49F4-44F7-B77E-14D5B6E7706D}"/>
    <cellStyle name="Entrada 2 3 4 4 2 5" xfId="8124" xr:uid="{560B7DBB-652A-4B74-9FB8-09E188123632}"/>
    <cellStyle name="Entrada 2 3 4 4 2 5 2" xfId="13696" xr:uid="{0BC7EBC7-F957-49B2-9624-DF8BC1F2CD66}"/>
    <cellStyle name="Entrada 2 3 4 4 2 6" xfId="9376" xr:uid="{DA82ACA1-AF80-4263-80BD-A128D08194D4}"/>
    <cellStyle name="Entrada 2 3 4 4 3" xfId="3502" xr:uid="{3CEAD1DD-C5AD-485F-8F5A-342712EED4BD}"/>
    <cellStyle name="Entrada 2 3 4 4 3 2" xfId="9736" xr:uid="{600E4705-DFE3-4415-9159-246144FA1CDD}"/>
    <cellStyle name="Entrada 2 3 4 4 4" xfId="4695" xr:uid="{BAB64E95-2107-4C06-B734-714FBAF39492}"/>
    <cellStyle name="Entrada 2 3 4 4 4 2" xfId="10559" xr:uid="{981DCC6A-CBAD-4151-861F-3BBB6C2F6069}"/>
    <cellStyle name="Entrada 2 3 4 4 5" xfId="4934" xr:uid="{0EE91E5D-7D4E-45A9-BC15-C276858AB98D}"/>
    <cellStyle name="Entrada 2 3 4 4 5 2" xfId="10780" xr:uid="{7C6C6ADC-3E3A-40B3-A942-0ADD532CFEDF}"/>
    <cellStyle name="Entrada 2 3 4 4 6" xfId="5090" xr:uid="{7CDFE87D-CCAA-4851-BB1B-C7C0C4F9E2E1}"/>
    <cellStyle name="Entrada 2 3 4 4 6 2" xfId="10936" xr:uid="{0F3C2DF2-FBEA-4A8E-B756-4400EDA2F684}"/>
    <cellStyle name="Entrada 2 3 4 4 7" xfId="5860" xr:uid="{B2F19FE3-AF3B-4DCE-B955-56DDFE4AE306}"/>
    <cellStyle name="Entrada 2 3 4 4 7 2" xfId="11588" xr:uid="{7FA5C1AB-E433-430A-AF3C-A6AD46887B7E}"/>
    <cellStyle name="Entrada 2 3 4 4 8" xfId="6189" xr:uid="{F310B8D6-66B4-4D5E-9B31-03E5E7075921}"/>
    <cellStyle name="Entrada 2 3 4 4 8 2" xfId="11893" xr:uid="{4241CE62-7ABA-4125-8FF6-879942E60C51}"/>
    <cellStyle name="Entrada 2 3 4 4 9" xfId="6397" xr:uid="{66DF626C-79EC-41E7-AF9E-35E7D2E6D423}"/>
    <cellStyle name="Entrada 2 3 4 4 9 2" xfId="12101" xr:uid="{7A7940C2-4277-44AC-A208-57B52A507438}"/>
    <cellStyle name="Entrada 2 3 4 5" xfId="2690" xr:uid="{ACAF3A52-C46C-4C7E-BC0A-F5C30B3B6881}"/>
    <cellStyle name="Entrada 2 3 4 5 2" xfId="3154" xr:uid="{CFED3B92-A36A-4731-B3A2-E1E6C917FD54}"/>
    <cellStyle name="Entrada 2 3 4 5 2 2" xfId="4112" xr:uid="{41230F2F-E74C-4A10-9A33-C82547A491CB}"/>
    <cellStyle name="Entrada 2 3 4 5 2 2 2" xfId="10208" xr:uid="{382ECA30-1D68-4422-A492-7C317B3AF579}"/>
    <cellStyle name="Entrada 2 3 4 5 2 3" xfId="7083" xr:uid="{1B7EDFA8-5D0A-4E29-89F7-EB08F4D4EC8D}"/>
    <cellStyle name="Entrada 2 3 4 5 2 3 2" xfId="12671" xr:uid="{544F3AE9-F3EA-44F7-87BA-2DD23598F92E}"/>
    <cellStyle name="Entrada 2 3 4 5 2 4" xfId="7744" xr:uid="{1E88ECB8-3AAC-471D-ADA0-A921C66BDC8B}"/>
    <cellStyle name="Entrada 2 3 4 5 2 4 2" xfId="13316" xr:uid="{BBCBB6AF-44B4-43E0-BB12-BE746F138204}"/>
    <cellStyle name="Entrada 2 3 4 5 2 5" xfId="8236" xr:uid="{3AC806DF-61F9-4ADC-935E-30BD3EB63822}"/>
    <cellStyle name="Entrada 2 3 4 5 2 5 2" xfId="13808" xr:uid="{75E38A9F-797A-4CDE-B2B6-A857EC41E008}"/>
    <cellStyle name="Entrada 2 3 4 5 2 6" xfId="9488" xr:uid="{931C01EA-41BB-4272-A1F6-D801B0CF2DF0}"/>
    <cellStyle name="Entrada 2 3 4 5 3" xfId="3632" xr:uid="{C4818A1A-2DC6-48D2-8B7F-832C365C4BFA}"/>
    <cellStyle name="Entrada 2 3 4 5 3 2" xfId="9848" xr:uid="{A5C3004E-86E0-46D2-BB95-5B76BF1C1380}"/>
    <cellStyle name="Entrada 2 3 4 5 4" xfId="6069" xr:uid="{3E1322A9-0150-4E6F-B02D-FEC226D84DAD}"/>
    <cellStyle name="Entrada 2 3 4 5 4 2" xfId="11781" xr:uid="{87CADE3F-92EC-4D26-BDE2-142DFDFF2CA6}"/>
    <cellStyle name="Entrada 2 3 4 5 5" xfId="6587" xr:uid="{9955DCD4-4A8C-49CA-85F4-159CDBA5E7FF}"/>
    <cellStyle name="Entrada 2 3 4 5 5 2" xfId="12291" xr:uid="{25825FCD-D223-4566-A8AB-9E4764E3CA91}"/>
    <cellStyle name="Entrada 2 3 4 5 6" xfId="7341" xr:uid="{63DE1ED2-057C-4345-9458-1D08A561E39B}"/>
    <cellStyle name="Entrada 2 3 4 5 6 2" xfId="12913" xr:uid="{D4F56F6D-8B15-4A38-AF69-67D8D8F23E90}"/>
    <cellStyle name="Entrada 2 3 4 5 7" xfId="7876" xr:uid="{7E2F6C81-AE5D-4B7C-9941-4E407F461021}"/>
    <cellStyle name="Entrada 2 3 4 5 7 2" xfId="13448" xr:uid="{66B9E28E-17BB-4FFD-ACA5-453DC563EEE1}"/>
    <cellStyle name="Entrada 2 3 4 5 8" xfId="9128" xr:uid="{00D84D1F-8F53-4B48-9F9C-2672E6E0E2E9}"/>
    <cellStyle name="Entrada 2 3 4 6" xfId="2782" xr:uid="{424D1B0B-6DEB-451A-A22A-4DD07057DE9F}"/>
    <cellStyle name="Entrada 2 3 4 6 2" xfId="3214" xr:uid="{51F7714F-5230-4B6A-AB9D-6E85D8F0885A}"/>
    <cellStyle name="Entrada 2 3 4 6 2 2" xfId="4172" xr:uid="{EF51871F-E2C2-4923-ABE9-1D39B8FC0305}"/>
    <cellStyle name="Entrada 2 3 4 6 2 2 2" xfId="10268" xr:uid="{CED197A9-F5CE-486F-B2BF-A268A0C81C96}"/>
    <cellStyle name="Entrada 2 3 4 6 2 3" xfId="7143" xr:uid="{CB4FD9F9-0ACB-4056-9D50-73453870F2AE}"/>
    <cellStyle name="Entrada 2 3 4 6 2 3 2" xfId="12731" xr:uid="{8BAFFAA1-F764-4310-A50C-14A8EA128A05}"/>
    <cellStyle name="Entrada 2 3 4 6 2 4" xfId="7804" xr:uid="{1ED25561-A295-4565-9DD0-BC8338891DC4}"/>
    <cellStyle name="Entrada 2 3 4 6 2 4 2" xfId="13376" xr:uid="{48BF7349-6962-4345-ABE9-A02557480E41}"/>
    <cellStyle name="Entrada 2 3 4 6 2 5" xfId="8296" xr:uid="{AD898EFF-0D4A-42E4-A9CB-974C93EBB725}"/>
    <cellStyle name="Entrada 2 3 4 6 2 5 2" xfId="13868" xr:uid="{CFBD1753-FCA3-4E11-9F30-7A0E329E5990}"/>
    <cellStyle name="Entrada 2 3 4 6 2 6" xfId="9548" xr:uid="{B93EC46F-6365-45BC-88FE-D6E5295F1948}"/>
    <cellStyle name="Entrada 2 3 4 6 3" xfId="3692" xr:uid="{0BC33932-C494-49A3-99D1-A9EC7F578608}"/>
    <cellStyle name="Entrada 2 3 4 6 3 2" xfId="9908" xr:uid="{BB40FDC5-50DC-49B9-B89C-42D87E986975}"/>
    <cellStyle name="Entrada 2 3 4 6 4" xfId="6149" xr:uid="{1689B095-FA1C-472E-BF85-8CD4FFF0554C}"/>
    <cellStyle name="Entrada 2 3 4 6 4 2" xfId="11861" xr:uid="{C19C5260-0167-4854-B5D7-A573DE1E2EA9}"/>
    <cellStyle name="Entrada 2 3 4 6 5" xfId="6659" xr:uid="{882D17B2-19F0-4EAA-9C82-488B8C683B04}"/>
    <cellStyle name="Entrada 2 3 4 6 5 2" xfId="12363" xr:uid="{9641016F-57C4-4937-BF3A-27C6FCFF744D}"/>
    <cellStyle name="Entrada 2 3 4 6 6" xfId="7403" xr:uid="{4A9ED024-7178-47EC-BCEC-0135D225F354}"/>
    <cellStyle name="Entrada 2 3 4 6 6 2" xfId="12975" xr:uid="{DACFB54B-5ED1-4660-932F-AA8176D3632D}"/>
    <cellStyle name="Entrada 2 3 4 6 7" xfId="7936" xr:uid="{B3BD7D2D-7252-4BC2-ACA8-EEC775B1063D}"/>
    <cellStyle name="Entrada 2 3 4 6 7 2" xfId="13508" xr:uid="{9E785E74-AD7F-4DE5-9655-391335F8D104}"/>
    <cellStyle name="Entrada 2 3 4 6 8" xfId="9188" xr:uid="{3CC4ABE1-1F44-4AC3-AB11-4C6E54D3D264}"/>
    <cellStyle name="Entrada 2 3 4 7" xfId="2882" xr:uid="{A70E4AD6-9D65-4C30-88DF-ACD6CD877126}"/>
    <cellStyle name="Entrada 2 3 4 7 2" xfId="3810" xr:uid="{64DB34B5-03F6-4C97-9DB3-74898FFC6D63}"/>
    <cellStyle name="Entrada 2 3 4 7 2 2" xfId="9968" xr:uid="{EFD5807B-3268-4768-BD2E-BD7260DFA0E9}"/>
    <cellStyle name="Entrada 2 3 4 7 3" xfId="6781" xr:uid="{0964F197-F142-4AD6-A9EB-ADBECD6737F0}"/>
    <cellStyle name="Entrada 2 3 4 7 3 2" xfId="12431" xr:uid="{7523CDC4-ACAE-43B0-A3F9-44DF302309A3}"/>
    <cellStyle name="Entrada 2 3 4 7 4" xfId="7488" xr:uid="{DA5AA088-4334-462B-A533-63C7C5341B45}"/>
    <cellStyle name="Entrada 2 3 4 7 4 2" xfId="13060" xr:uid="{5EA27835-3F5F-4958-8B52-D000743F813D}"/>
    <cellStyle name="Entrada 2 3 4 7 5" xfId="7996" xr:uid="{06F1D49D-9D18-45D8-9B4A-1B990C612363}"/>
    <cellStyle name="Entrada 2 3 4 7 5 2" xfId="13568" xr:uid="{26F0B0F6-86EA-4BBB-81E2-21DCC6BF2679}"/>
    <cellStyle name="Entrada 2 3 4 7 6" xfId="9248" xr:uid="{F556BABE-1DF5-498D-ACE2-83F76FB03293}"/>
    <cellStyle name="Entrada 2 3 4 8" xfId="3330" xr:uid="{20BDE230-0447-44B0-98F1-2F4C343F871B}"/>
    <cellStyle name="Entrada 2 3 4 8 2" xfId="9608" xr:uid="{782B953D-409A-45E2-A355-AB8C2818EB31}"/>
    <cellStyle name="Entrada 2 3 4 9" xfId="4497" xr:uid="{B0F5D145-E02F-4582-8346-533E7EBF35ED}"/>
    <cellStyle name="Entrada 2 3 4 9 2" xfId="10405" xr:uid="{C6B06053-7D24-414D-B68E-B2F4835DC29F}"/>
    <cellStyle name="Entrada 2 3 5" xfId="8834" xr:uid="{6920674B-91F0-471F-8FF9-8345FE78C116}"/>
    <cellStyle name="Entrada 2 3 6" xfId="2083" xr:uid="{BA391E0D-B630-48CD-BCB9-BFA3E8B1D768}"/>
    <cellStyle name="Entrada 2 4" xfId="332" xr:uid="{9D019084-7FD6-4158-B3E5-37A67E893100}"/>
    <cellStyle name="Entrada 2 4 2" xfId="1444" xr:uid="{B78E3062-25EA-43D6-902E-68919AA3BF42}"/>
    <cellStyle name="Entrada 2 4 2 10" xfId="4350" xr:uid="{4AA38FB4-4747-4FF5-B76F-E188C5CCC0D8}"/>
    <cellStyle name="Entrada 2 4 2 10 2" xfId="10310" xr:uid="{D716244E-A6F9-43AF-A02B-D49D3256CD71}"/>
    <cellStyle name="Entrada 2 4 2 11" xfId="4867" xr:uid="{989EDE78-8FCB-40A8-814D-8D305CF1D531}"/>
    <cellStyle name="Entrada 2 4 2 11 2" xfId="10713" xr:uid="{4EBB09A5-AD2E-4D75-84E8-58A4E91D4FBA}"/>
    <cellStyle name="Entrada 2 4 2 12" xfId="5437" xr:uid="{4F28824E-17B6-4880-B53C-A23E60CB5ED2}"/>
    <cellStyle name="Entrada 2 4 2 12 2" xfId="11231" xr:uid="{B5977DDD-B335-4B9D-A1A1-26E12DD9CD34}"/>
    <cellStyle name="Entrada 2 4 2 13" xfId="5605" xr:uid="{F2358CF7-4627-4702-B41D-66B2E0BF5E03}"/>
    <cellStyle name="Entrada 2 4 2 13 2" xfId="11333" xr:uid="{406FE745-3FBB-4625-887F-B13DF177DE49}"/>
    <cellStyle name="Entrada 2 4 2 14" xfId="5239" xr:uid="{2063E340-1EA8-4962-A56E-1ECE386933BF}"/>
    <cellStyle name="Entrada 2 4 2 14 2" xfId="11085" xr:uid="{4EB47ED0-6C47-4C0D-A123-FF15D79C3180}"/>
    <cellStyle name="Entrada 2 4 2 15" xfId="5888" xr:uid="{238DE801-BB70-47F0-AEB7-127AD22D97BE}"/>
    <cellStyle name="Entrada 2 4 2 15 2" xfId="11616" xr:uid="{F6C361DE-7B3D-49CD-8771-C059BC3FDCB9}"/>
    <cellStyle name="Entrada 2 4 2 16" xfId="5219" xr:uid="{FDB1259F-139F-4C13-ADDD-D0B38DEA1E69}"/>
    <cellStyle name="Entrada 2 4 2 16 2" xfId="11065" xr:uid="{EF7124DB-25C0-49B0-A0B6-B764BABD48DC}"/>
    <cellStyle name="Entrada 2 4 2 17" xfId="5691" xr:uid="{E93D9EB4-1FBE-421F-BDCD-6AE837AB6206}"/>
    <cellStyle name="Entrada 2 4 2 17 2" xfId="11419" xr:uid="{BF541927-BC01-460F-8323-572471AEDFBD}"/>
    <cellStyle name="Entrada 2 4 2 18" xfId="6330" xr:uid="{AA1ECE59-2E62-4648-A8E6-9ADCE80867FC}"/>
    <cellStyle name="Entrada 2 4 2 18 2" xfId="12034" xr:uid="{1A40DD67-6DA6-4168-A3CA-B7DEE032602D}"/>
    <cellStyle name="Entrada 2 4 2 19" xfId="8453" xr:uid="{9990FF3D-316C-43FE-AB97-183C7DD675DB}"/>
    <cellStyle name="Entrada 2 4 2 19 2" xfId="13933" xr:uid="{89C93E4C-A51D-4B17-B5DA-55E0F2DEB03F}"/>
    <cellStyle name="Entrada 2 4 2 2" xfId="1557" xr:uid="{76C32C62-744F-4516-ABF4-E9BA400C905F}"/>
    <cellStyle name="Entrada 2 4 2 2 10" xfId="5992" xr:uid="{5AF277BD-566C-46B2-8DD2-D07466272FEA}"/>
    <cellStyle name="Entrada 2 4 2 2 10 2" xfId="11704" xr:uid="{A61E92E7-2541-403E-9F2E-BE32047E631A}"/>
    <cellStyle name="Entrada 2 4 2 2 11" xfId="5643" xr:uid="{BE1FA5B3-31AE-4D22-98C3-90BBB1F85C02}"/>
    <cellStyle name="Entrada 2 4 2 2 11 2" xfId="11371" xr:uid="{E620A9DF-80FA-4665-8137-BA9FA4847CFB}"/>
    <cellStyle name="Entrada 2 4 2 2 12" xfId="8647" xr:uid="{1D61AF41-6304-4747-94F2-5D0BFCE5657B}"/>
    <cellStyle name="Entrada 2 4 2 2 12 2" xfId="14035" xr:uid="{1275B0F6-B993-4F51-A0FB-2743FC58327B}"/>
    <cellStyle name="Entrada 2 4 2 2 13" xfId="8995" xr:uid="{6DD12BCB-3CFE-4F7D-A18D-200159239991}"/>
    <cellStyle name="Entrada 2 4 2 2 14" xfId="2433" xr:uid="{90705CAE-B7EB-4E99-92AC-1B9C0AD3F9D9}"/>
    <cellStyle name="Entrada 2 4 2 2 2" xfId="3021" xr:uid="{907193E9-A885-43A6-A6CA-82939C4ABF32}"/>
    <cellStyle name="Entrada 2 4 2 2 2 2" xfId="3961" xr:uid="{191EC676-B9B7-4253-B679-87F1DE007075}"/>
    <cellStyle name="Entrada 2 4 2 2 2 2 2" xfId="10075" xr:uid="{1CA5EC65-8A5A-4A8B-8D7B-45B01D6898C5}"/>
    <cellStyle name="Entrada 2 4 2 2 2 3" xfId="6932" xr:uid="{F4A15DC5-EB5A-4396-8463-3DAB88729C5A}"/>
    <cellStyle name="Entrada 2 4 2 2 2 3 2" xfId="12538" xr:uid="{703A7996-C32C-4B5C-99F9-9CC4931CE2E8}"/>
    <cellStyle name="Entrada 2 4 2 2 2 4" xfId="7610" xr:uid="{AAD36A69-8A73-4E81-BDF2-A53F06568344}"/>
    <cellStyle name="Entrada 2 4 2 2 2 4 2" xfId="13182" xr:uid="{2090335A-D664-4C34-885F-C9A7754151A3}"/>
    <cellStyle name="Entrada 2 4 2 2 2 5" xfId="8103" xr:uid="{0FE157AD-D9A6-4D82-A7FB-FCBE55471E28}"/>
    <cellStyle name="Entrada 2 4 2 2 2 5 2" xfId="13675" xr:uid="{10A62B31-6CDE-4DF4-B9FC-636AE76910C1}"/>
    <cellStyle name="Entrada 2 4 2 2 2 6" xfId="9355" xr:uid="{167E8940-0FED-4206-9880-2F10B0387682}"/>
    <cellStyle name="Entrada 2 4 2 2 3" xfId="3481" xr:uid="{281F502F-3C44-4409-BBC3-AD7B7DDE1AFA}"/>
    <cellStyle name="Entrada 2 4 2 2 3 2" xfId="9715" xr:uid="{B874800A-3828-4D6E-A220-818F53EC1E76}"/>
    <cellStyle name="Entrada 2 4 2 2 4" xfId="4674" xr:uid="{89C3EA44-7704-4E09-AF1C-44B65481D8AD}"/>
    <cellStyle name="Entrada 2 4 2 2 4 2" xfId="10538" xr:uid="{6F84426A-A3F1-4CBC-830A-F58F96FD219B}"/>
    <cellStyle name="Entrada 2 4 2 2 5" xfId="4913" xr:uid="{A8F6B808-5841-433D-8371-7A676C60039C}"/>
    <cellStyle name="Entrada 2 4 2 2 5 2" xfId="10759" xr:uid="{1E389F9F-904D-4813-B109-F7FA229E0467}"/>
    <cellStyle name="Entrada 2 4 2 2 6" xfId="5069" xr:uid="{8E4EE482-23DA-4DFB-B5BF-5728719A33DD}"/>
    <cellStyle name="Entrada 2 4 2 2 6 2" xfId="10915" xr:uid="{6EFE990E-3CCC-4266-8FD7-53837FB8C916}"/>
    <cellStyle name="Entrada 2 4 2 2 7" xfId="5839" xr:uid="{CC340E6D-A162-4F8B-9D7A-C71C3CFE4B6C}"/>
    <cellStyle name="Entrada 2 4 2 2 7 2" xfId="11567" xr:uid="{06C15BD9-E0EB-4FDD-8941-FBE9524A85A5}"/>
    <cellStyle name="Entrada 2 4 2 2 8" xfId="5301" xr:uid="{67E3372B-B41D-49A4-940F-CD18CEC3A2CD}"/>
    <cellStyle name="Entrada 2 4 2 2 8 2" xfId="11145" xr:uid="{2E63E2AF-F44B-4664-892A-C06D6B567CAA}"/>
    <cellStyle name="Entrada 2 4 2 2 9" xfId="6376" xr:uid="{0065F041-9FEE-42D8-A63D-7495C2D88BA9}"/>
    <cellStyle name="Entrada 2 4 2 2 9 2" xfId="12080" xr:uid="{9FB99059-D3C7-4993-9230-137096DCC2F4}"/>
    <cellStyle name="Entrada 2 4 2 20" xfId="8893" xr:uid="{F5B9DF04-03AF-4889-AC5A-E0B62A766088}"/>
    <cellStyle name="Entrada 2 4 2 21" xfId="2239" xr:uid="{34D7913A-6B20-4E7B-BDC3-03E08374EC15}"/>
    <cellStyle name="Entrada 2 4 2 3" xfId="1610" xr:uid="{07261C35-7F4E-40E6-A9A8-BC64A85F425D}"/>
    <cellStyle name="Entrada 2 4 2 3 10" xfId="7230" xr:uid="{9112A028-DABE-4162-AE93-C5EAD539E551}"/>
    <cellStyle name="Entrada 2 4 2 3 10 2" xfId="12802" xr:uid="{1631D50F-7475-476F-8D12-A47896AD0670}"/>
    <cellStyle name="Entrada 2 4 2 3 11" xfId="7521" xr:uid="{BB8BAB53-78AE-4697-9965-EC5F48B8D21B}"/>
    <cellStyle name="Entrada 2 4 2 3 11 2" xfId="13093" xr:uid="{A6EA9910-1CFC-4456-AFF3-766729BC3B17}"/>
    <cellStyle name="Entrada 2 4 2 3 12" xfId="8752" xr:uid="{322A0AF3-494A-41EC-B52E-077990514BA8}"/>
    <cellStyle name="Entrada 2 4 2 3 12 2" xfId="14108" xr:uid="{8417A495-FEC5-4A2C-AC48-1A109B0503AB}"/>
    <cellStyle name="Entrada 2 4 2 3 13" xfId="9068" xr:uid="{D8DDD511-1525-4B9C-8BB3-C6B1EF890F3B}"/>
    <cellStyle name="Entrada 2 4 2 3 14" xfId="2538" xr:uid="{F18390ED-CD09-4DFA-90D3-0EAE73560E7E}"/>
    <cellStyle name="Entrada 2 4 2 3 2" xfId="3094" xr:uid="{D2F39ED8-1756-4ABC-9D31-9C848F33BE43}"/>
    <cellStyle name="Entrada 2 4 2 3 2 2" xfId="4034" xr:uid="{715B8915-08C8-476A-9391-1722F1110940}"/>
    <cellStyle name="Entrada 2 4 2 3 2 2 2" xfId="10148" xr:uid="{FDC9D7D4-0424-464D-8BBC-78FAADB974C6}"/>
    <cellStyle name="Entrada 2 4 2 3 2 3" xfId="7005" xr:uid="{8BD97458-7FDF-49CB-B64A-4F9A40744B92}"/>
    <cellStyle name="Entrada 2 4 2 3 2 3 2" xfId="12611" xr:uid="{CB4EAFB2-09E7-418B-864B-3ECE05D1A24A}"/>
    <cellStyle name="Entrada 2 4 2 3 2 4" xfId="7683" xr:uid="{37625A38-8767-4CD4-8FA3-D0104DDF45CC}"/>
    <cellStyle name="Entrada 2 4 2 3 2 4 2" xfId="13255" xr:uid="{97B137B4-7FC6-4422-A1C3-1AD831492877}"/>
    <cellStyle name="Entrada 2 4 2 3 2 5" xfId="8176" xr:uid="{63490930-F299-4345-BEAC-70EC8CD674D8}"/>
    <cellStyle name="Entrada 2 4 2 3 2 5 2" xfId="13748" xr:uid="{443D1172-2B0B-420F-9BF1-9BBF2DFA8F4F}"/>
    <cellStyle name="Entrada 2 4 2 3 2 6" xfId="9428" xr:uid="{5775C8AC-6E8A-43E1-AAA9-6EF3A7AD18F6}"/>
    <cellStyle name="Entrada 2 4 2 3 3" xfId="3554" xr:uid="{46C0DD63-7B3B-4BEB-9AF4-664759658362}"/>
    <cellStyle name="Entrada 2 4 2 3 3 2" xfId="9788" xr:uid="{45CB4D78-0782-4A2F-B650-5191651625D7}"/>
    <cellStyle name="Entrada 2 4 2 3 4" xfId="4751" xr:uid="{171ED385-2581-41C4-9459-5D089780FF2B}"/>
    <cellStyle name="Entrada 2 4 2 3 4 2" xfId="10615" xr:uid="{D60EB6DD-CD6A-4063-9C7A-63FEE423DD69}"/>
    <cellStyle name="Entrada 2 4 2 3 5" xfId="4994" xr:uid="{A0D8A5EA-A43D-4D3F-9409-67280666AFBC}"/>
    <cellStyle name="Entrada 2 4 2 3 5 2" xfId="10840" xr:uid="{D0872EF7-7EBB-46A2-AC2D-C196F3C981C8}"/>
    <cellStyle name="Entrada 2 4 2 3 6" xfId="5142" xr:uid="{9C4124C8-D78D-40DD-8A10-18304E265232}"/>
    <cellStyle name="Entrada 2 4 2 3 6 2" xfId="10988" xr:uid="{68B15F5F-A5A8-4597-9A06-D26503204B2E}"/>
    <cellStyle name="Entrada 2 4 2 3 7" xfId="5933" xr:uid="{8DA70D7B-2BB3-40EF-8F5B-E4069BAA7BAE}"/>
    <cellStyle name="Entrada 2 4 2 3 7 2" xfId="11661" xr:uid="{37D2F5C4-C5E0-4CBB-8500-37F85E680B0F}"/>
    <cellStyle name="Entrada 2 4 2 3 8" xfId="6263" xr:uid="{D07EA095-3C5C-47DF-9F3D-824A59ECDA61}"/>
    <cellStyle name="Entrada 2 4 2 3 8 2" xfId="11967" xr:uid="{E6FA09DA-004B-410C-9C95-63D851E22F7F}"/>
    <cellStyle name="Entrada 2 4 2 3 9" xfId="6465" xr:uid="{D20FE16E-8DB6-42CF-ADC2-FF7F1ABD2E1F}"/>
    <cellStyle name="Entrada 2 4 2 3 9 2" xfId="12169" xr:uid="{AE54F006-4669-45EE-9E8F-7DD3EEDABF6E}"/>
    <cellStyle name="Entrada 2 4 2 4" xfId="2270" xr:uid="{79EC8788-2927-4590-B619-9355A7C06C1F}"/>
    <cellStyle name="Entrada 2 4 2 4 10" xfId="5181" xr:uid="{ECD5B7FE-9976-4BB6-A6D1-CFF4F6DC6666}"/>
    <cellStyle name="Entrada 2 4 2 4 10 2" xfId="11027" xr:uid="{0CF3352F-ECF9-49B9-82B2-61AA2E3CAD5B}"/>
    <cellStyle name="Entrada 2 4 2 4 11" xfId="6099" xr:uid="{544D0EA5-C4EB-41AE-ACF3-7ABAC9A44EBC}"/>
    <cellStyle name="Entrada 2 4 2 4 11 2" xfId="11811" xr:uid="{36AEFA7B-8595-4720-9A88-F8F4B7E12F9A}"/>
    <cellStyle name="Entrada 2 4 2 4 12" xfId="8484" xr:uid="{C53955DB-1927-436E-ADF7-13CDD26F0C43}"/>
    <cellStyle name="Entrada 2 4 2 4 12 2" xfId="13964" xr:uid="{0D0A2B52-FCEE-40AF-BCA3-F72E881FA1D5}"/>
    <cellStyle name="Entrada 2 4 2 4 13" xfId="8924" xr:uid="{1DF0404D-ACDC-478D-8F0D-307432D5509D}"/>
    <cellStyle name="Entrada 2 4 2 4 2" xfId="2950" xr:uid="{75416E4A-7015-4542-91DE-A09A4A8EFEE8}"/>
    <cellStyle name="Entrada 2 4 2 4 2 2" xfId="3890" xr:uid="{925AC780-F8CA-4368-A493-767CCD0F4434}"/>
    <cellStyle name="Entrada 2 4 2 4 2 2 2" xfId="10004" xr:uid="{AC0DFC76-3921-414D-8BF6-4DF921E29C9B}"/>
    <cellStyle name="Entrada 2 4 2 4 2 3" xfId="6861" xr:uid="{51413DEA-B527-4891-8428-0E04DEC53581}"/>
    <cellStyle name="Entrada 2 4 2 4 2 3 2" xfId="12467" xr:uid="{8CB9E4CC-25A6-4A80-9F33-1735F5AF28F8}"/>
    <cellStyle name="Entrada 2 4 2 4 2 4" xfId="7539" xr:uid="{7FC35354-7663-496D-B49A-25AD5FCCFCFE}"/>
    <cellStyle name="Entrada 2 4 2 4 2 4 2" xfId="13111" xr:uid="{F1891F4B-59CA-4122-8A72-5162D9D6B71D}"/>
    <cellStyle name="Entrada 2 4 2 4 2 5" xfId="8032" xr:uid="{A1076EA0-B128-400F-BBBD-7698D6745BC4}"/>
    <cellStyle name="Entrada 2 4 2 4 2 5 2" xfId="13604" xr:uid="{C20275C7-6C16-42A7-A940-297F864C4B8C}"/>
    <cellStyle name="Entrada 2 4 2 4 2 6" xfId="9284" xr:uid="{EE341602-50EA-4589-A71E-2648527B3F07}"/>
    <cellStyle name="Entrada 2 4 2 4 3" xfId="3410" xr:uid="{2A1446D6-4E07-4F7E-9233-9DD20F0E52D6}"/>
    <cellStyle name="Entrada 2 4 2 4 3 2" xfId="9644" xr:uid="{41CB90D6-BA3B-46A3-9181-5C12454B12D2}"/>
    <cellStyle name="Entrada 2 4 2 4 4" xfId="4577" xr:uid="{F5B712D8-B02D-42E6-B295-974C861A3F29}"/>
    <cellStyle name="Entrada 2 4 2 4 4 2" xfId="10441" xr:uid="{0A00ABDD-D04C-43CD-9879-DB9D37A96D6B}"/>
    <cellStyle name="Entrada 2 4 2 4 5" xfId="4822" xr:uid="{A2F30457-4D91-4A41-83E2-81A665719653}"/>
    <cellStyle name="Entrada 2 4 2 4 5 2" xfId="10668" xr:uid="{82DE907B-4460-4E48-AF43-19322CDC391F}"/>
    <cellStyle name="Entrada 2 4 2 4 6" xfId="4799" xr:uid="{2FD61D22-9720-48AC-819F-E508D06DCD8D}"/>
    <cellStyle name="Entrada 2 4 2 4 6 2" xfId="10645" xr:uid="{F1ADCFC3-70D5-4A0E-B93E-14B1F98430A1}"/>
    <cellStyle name="Entrada 2 4 2 4 7" xfId="5708" xr:uid="{DFC647F6-4E92-4B5B-9B70-238BF286519B}"/>
    <cellStyle name="Entrada 2 4 2 4 7 2" xfId="11436" xr:uid="{2C040B23-D813-4EF1-8F7C-F30A428BDBCF}"/>
    <cellStyle name="Entrada 2 4 2 4 8" xfId="5527" xr:uid="{2E10C827-EEA3-44E9-9FEF-56E9F10F4A58}"/>
    <cellStyle name="Entrada 2 4 2 4 8 2" xfId="11255" xr:uid="{077A9776-1AAA-46FF-8B16-411F0AD4B182}"/>
    <cellStyle name="Entrada 2 4 2 4 9" xfId="5638" xr:uid="{916E56F1-3F11-4DE4-BF4E-50F908030F21}"/>
    <cellStyle name="Entrada 2 4 2 4 9 2" xfId="11366" xr:uid="{121DBF41-396E-4FEB-B4AB-4BCC5CC29EEA}"/>
    <cellStyle name="Entrada 2 4 2 5" xfId="2695" xr:uid="{E6FB58D9-FFBF-4BE1-8842-26A7FAE9A26E}"/>
    <cellStyle name="Entrada 2 4 2 5 2" xfId="3159" xr:uid="{E33ADAF0-6B99-4BAD-9281-F04536A34700}"/>
    <cellStyle name="Entrada 2 4 2 5 2 2" xfId="4117" xr:uid="{623E3003-E6C4-4857-9654-9ED9C3392E2E}"/>
    <cellStyle name="Entrada 2 4 2 5 2 2 2" xfId="10213" xr:uid="{49F54C96-3450-4742-83AA-43CE859E751A}"/>
    <cellStyle name="Entrada 2 4 2 5 2 3" xfId="7088" xr:uid="{DF67C5E0-5E7E-4C53-BEA9-6CBEA9A41DED}"/>
    <cellStyle name="Entrada 2 4 2 5 2 3 2" xfId="12676" xr:uid="{09A791C1-9284-4398-A439-5877A48EC7E6}"/>
    <cellStyle name="Entrada 2 4 2 5 2 4" xfId="7749" xr:uid="{83B81A05-6B75-4E08-946E-BBFE03D44842}"/>
    <cellStyle name="Entrada 2 4 2 5 2 4 2" xfId="13321" xr:uid="{F76E4D59-0469-4831-AD80-6EFD690773CD}"/>
    <cellStyle name="Entrada 2 4 2 5 2 5" xfId="8241" xr:uid="{2F6F32AB-030C-4CF7-AB05-D0939E64F0D4}"/>
    <cellStyle name="Entrada 2 4 2 5 2 5 2" xfId="13813" xr:uid="{D5B0F09D-5830-455D-8F59-8FE2EBE245E6}"/>
    <cellStyle name="Entrada 2 4 2 5 2 6" xfId="9493" xr:uid="{606EF5D1-AA5F-455E-A891-D8F9F3FF327E}"/>
    <cellStyle name="Entrada 2 4 2 5 3" xfId="3637" xr:uid="{F99EEB98-463B-4FDF-8280-D59EA587B2AD}"/>
    <cellStyle name="Entrada 2 4 2 5 3 2" xfId="9853" xr:uid="{9F38FBC1-8A1A-4044-A30C-B452C2285AD6}"/>
    <cellStyle name="Entrada 2 4 2 5 4" xfId="6074" xr:uid="{40C2DB97-268A-4C2B-8AA7-A21C98BC5C3B}"/>
    <cellStyle name="Entrada 2 4 2 5 4 2" xfId="11786" xr:uid="{6A03076C-555B-4263-BBB8-01FDC8182455}"/>
    <cellStyle name="Entrada 2 4 2 5 5" xfId="6592" xr:uid="{9E9D87A8-484C-439F-BA56-2AE7E602A8CB}"/>
    <cellStyle name="Entrada 2 4 2 5 5 2" xfId="12296" xr:uid="{3E9CC0C1-CCDA-4B5C-8DBF-8B4DAB24925E}"/>
    <cellStyle name="Entrada 2 4 2 5 6" xfId="7346" xr:uid="{8120497B-BB37-4B36-A02E-0F356D7609B3}"/>
    <cellStyle name="Entrada 2 4 2 5 6 2" xfId="12918" xr:uid="{C80B6F95-7ACB-4ADA-A184-81CDBDD23362}"/>
    <cellStyle name="Entrada 2 4 2 5 7" xfId="7881" xr:uid="{C3190BEC-5A0D-49A3-A030-F0E13D03696F}"/>
    <cellStyle name="Entrada 2 4 2 5 7 2" xfId="13453" xr:uid="{A4A2BBAA-50CF-496D-8130-DDA7C5BB7C30}"/>
    <cellStyle name="Entrada 2 4 2 5 8" xfId="9133" xr:uid="{48D11F63-1899-4CD3-8058-634A4A973031}"/>
    <cellStyle name="Entrada 2 4 2 6" xfId="2787" xr:uid="{609849FF-E4C0-4470-8FC9-4800D1D7B77F}"/>
    <cellStyle name="Entrada 2 4 2 6 2" xfId="3219" xr:uid="{FD01A07C-F267-41BF-902E-BF46E10B6996}"/>
    <cellStyle name="Entrada 2 4 2 6 2 2" xfId="4177" xr:uid="{D821911A-A292-4A1F-AAB7-FBB3A432658C}"/>
    <cellStyle name="Entrada 2 4 2 6 2 2 2" xfId="10273" xr:uid="{CA69A198-74EE-4FBC-96B2-71B8A18976D3}"/>
    <cellStyle name="Entrada 2 4 2 6 2 3" xfId="7148" xr:uid="{A74D32C3-6C9D-45B6-866D-EF7DF932F6FA}"/>
    <cellStyle name="Entrada 2 4 2 6 2 3 2" xfId="12736" xr:uid="{12AEE6FD-A85E-4C31-BDE0-A89D4F86EA8F}"/>
    <cellStyle name="Entrada 2 4 2 6 2 4" xfId="7809" xr:uid="{FE13D085-633A-4AEB-8F9F-983413A475AB}"/>
    <cellStyle name="Entrada 2 4 2 6 2 4 2" xfId="13381" xr:uid="{579D99CB-7568-40FC-A949-BEA77F71C41D}"/>
    <cellStyle name="Entrada 2 4 2 6 2 5" xfId="8301" xr:uid="{70C61204-1044-409D-8C0E-FDF73AB263FF}"/>
    <cellStyle name="Entrada 2 4 2 6 2 5 2" xfId="13873" xr:uid="{7D0BACCE-F363-496C-9796-F42D2F53BD87}"/>
    <cellStyle name="Entrada 2 4 2 6 2 6" xfId="9553" xr:uid="{A727055D-A03B-4C3D-ABD4-80241B6FA83B}"/>
    <cellStyle name="Entrada 2 4 2 6 3" xfId="3697" xr:uid="{00E2388C-A875-45E3-A8C4-F7CAA272B6ED}"/>
    <cellStyle name="Entrada 2 4 2 6 3 2" xfId="9913" xr:uid="{52031E22-20CB-4E56-8E33-44BA7D12D464}"/>
    <cellStyle name="Entrada 2 4 2 6 4" xfId="6154" xr:uid="{77E6337F-D991-4464-969C-2964C1BCDB3B}"/>
    <cellStyle name="Entrada 2 4 2 6 4 2" xfId="11866" xr:uid="{ED36A633-EAEC-49E4-AFA6-6F9AEBA42492}"/>
    <cellStyle name="Entrada 2 4 2 6 5" xfId="6664" xr:uid="{FE106086-D766-44B9-89E4-7BA34C54C6C5}"/>
    <cellStyle name="Entrada 2 4 2 6 5 2" xfId="12368" xr:uid="{1F0033D6-1D60-40C6-AA47-FD0D1743FAE4}"/>
    <cellStyle name="Entrada 2 4 2 6 6" xfId="7408" xr:uid="{B03168E7-61E9-4076-A384-FE814B412B87}"/>
    <cellStyle name="Entrada 2 4 2 6 6 2" xfId="12980" xr:uid="{0E898554-555A-4AF6-8962-294B45250B87}"/>
    <cellStyle name="Entrada 2 4 2 6 7" xfId="7941" xr:uid="{4664FC98-343F-4582-95B2-D65500CDA3E4}"/>
    <cellStyle name="Entrada 2 4 2 6 7 2" xfId="13513" xr:uid="{1C4F64D6-A08B-464C-BDDA-7EA00A4C9CE9}"/>
    <cellStyle name="Entrada 2 4 2 6 8" xfId="9193" xr:uid="{132CBB77-D242-45B7-BD54-40C1ED158228}"/>
    <cellStyle name="Entrada 2 4 2 7" xfId="2887" xr:uid="{DE4549A7-C1E0-4BDA-86CF-435644DB163D}"/>
    <cellStyle name="Entrada 2 4 2 7 2" xfId="3815" xr:uid="{70A3AA39-4366-4499-B6A7-15AA9A761D6E}"/>
    <cellStyle name="Entrada 2 4 2 7 2 2" xfId="9973" xr:uid="{3A96BBF1-B511-46A7-AC8C-F74CA64DBBC3}"/>
    <cellStyle name="Entrada 2 4 2 7 3" xfId="6786" xr:uid="{CC527C40-62E7-4090-8328-37D3467ED7DF}"/>
    <cellStyle name="Entrada 2 4 2 7 3 2" xfId="12436" xr:uid="{2B6B5583-065F-4ADA-9892-612312889DE4}"/>
    <cellStyle name="Entrada 2 4 2 7 4" xfId="7493" xr:uid="{F3D4E97B-28F6-438B-A5F1-F8689E6BCCB5}"/>
    <cellStyle name="Entrada 2 4 2 7 4 2" xfId="13065" xr:uid="{64D35C06-9ADF-430C-BA4F-C11A7B3D271F}"/>
    <cellStyle name="Entrada 2 4 2 7 5" xfId="8001" xr:uid="{6F891DB4-F59F-4CAA-8CCE-783C02E16963}"/>
    <cellStyle name="Entrada 2 4 2 7 5 2" xfId="13573" xr:uid="{F91E918A-E762-4F0B-9386-6FA12F07EE94}"/>
    <cellStyle name="Entrada 2 4 2 7 6" xfId="9253" xr:uid="{D3072E96-99EA-4998-8CB3-9A875840DDE0}"/>
    <cellStyle name="Entrada 2 4 2 8" xfId="3335" xr:uid="{3D30D538-6A6B-4900-AEA6-293B6A6EAFDE}"/>
    <cellStyle name="Entrada 2 4 2 8 2" xfId="9613" xr:uid="{EE74373C-FC33-479F-8688-C9AA801E258B}"/>
    <cellStyle name="Entrada 2 4 2 9" xfId="4502" xr:uid="{1BACFED2-DF7F-412E-9830-A08F3163D33E}"/>
    <cellStyle name="Entrada 2 4 2 9 2" xfId="10410" xr:uid="{4695C7C1-979D-4718-9379-2265C59EBBB7}"/>
    <cellStyle name="Entrada 2 4 3" xfId="1521" xr:uid="{03DBD5EC-6592-4444-8BC2-6097DA62E126}"/>
    <cellStyle name="Entrada 2 4 3 10" xfId="4417" xr:uid="{E811DCD2-7009-4D8A-8A7D-3C5BDCE6F9B1}"/>
    <cellStyle name="Entrada 2 4 3 10 2" xfId="10363" xr:uid="{AFB11B23-1F7F-4CB8-9BB9-B0FE64E0B40B}"/>
    <cellStyle name="Entrada 2 4 3 11" xfId="4598" xr:uid="{62A84238-B0BC-45DF-B714-1F39A0C3FD9D}"/>
    <cellStyle name="Entrada 2 4 3 11 2" xfId="10462" xr:uid="{D5F676E2-70AD-46B6-B4A7-940D1C852CC0}"/>
    <cellStyle name="Entrada 2 4 3 12" xfId="5405" xr:uid="{31E2DCD5-F78F-4EC8-930B-B0DFF4B081CD}"/>
    <cellStyle name="Entrada 2 4 3 12 2" xfId="11203" xr:uid="{44E5DAA3-BE46-4509-A312-3D9FDBAA5AE5}"/>
    <cellStyle name="Entrada 2 4 3 13" xfId="5573" xr:uid="{0A11E642-3C18-4A72-9D46-95B2AE4B0C30}"/>
    <cellStyle name="Entrada 2 4 3 13 2" xfId="11301" xr:uid="{321D2C14-3F74-4675-8DD9-CE6B21ED0FB3}"/>
    <cellStyle name="Entrada 2 4 3 14" xfId="5659" xr:uid="{8583CB4F-8F8D-4176-A5AC-9EBF86EF54D7}"/>
    <cellStyle name="Entrada 2 4 3 14 2" xfId="11387" xr:uid="{9B9EBF3C-67D6-4832-ADC3-DD39240368C3}"/>
    <cellStyle name="Entrada 2 4 3 15" xfId="5662" xr:uid="{2382D8E7-C4AC-486C-9392-C050722A93C2}"/>
    <cellStyle name="Entrada 2 4 3 15 2" xfId="11390" xr:uid="{E50789A4-C692-42EB-9EB6-C38BBF81A921}"/>
    <cellStyle name="Entrada 2 4 3 16" xfId="5873" xr:uid="{EAFCBC72-CCDE-46F2-A70C-28C15135F206}"/>
    <cellStyle name="Entrada 2 4 3 16 2" xfId="11601" xr:uid="{CFCF96E5-2AF4-457C-A749-D3D3A553F902}"/>
    <cellStyle name="Entrada 2 4 3 17" xfId="5875" xr:uid="{AB9CFC6F-8D19-4AAA-BC8A-C8AC7DE403D6}"/>
    <cellStyle name="Entrada 2 4 3 17 2" xfId="11603" xr:uid="{8F79512D-4A3E-45E3-A26A-178D9C92CE25}"/>
    <cellStyle name="Entrada 2 4 3 18" xfId="7257" xr:uid="{04B3C10C-23F5-4EF4-A17B-AEFB38DE3DAE}"/>
    <cellStyle name="Entrada 2 4 3 18 2" xfId="12829" xr:uid="{F7B56357-25D0-4767-9390-FB1B616D2627}"/>
    <cellStyle name="Entrada 2 4 3 19" xfId="8425" xr:uid="{FB9A2194-DC87-4959-8B9E-C4F373545CD5}"/>
    <cellStyle name="Entrada 2 4 3 19 2" xfId="13905" xr:uid="{04EB4446-EE65-4612-B275-DFEE4996B05B}"/>
    <cellStyle name="Entrada 2 4 3 2" xfId="2403" xr:uid="{B8AF20C6-2622-4F62-87A7-A9CDE0E0A2AD}"/>
    <cellStyle name="Entrada 2 4 3 2 10" xfId="6098" xr:uid="{647351FB-9698-4E00-8CE3-421C62A4268E}"/>
    <cellStyle name="Entrada 2 4 3 2 10 2" xfId="11810" xr:uid="{6E4705EF-3159-4A9B-BDBE-167FC56175C7}"/>
    <cellStyle name="Entrada 2 4 3 2 11" xfId="6621" xr:uid="{BE1E848A-9E4B-4280-A17C-90F3F90CFDC0}"/>
    <cellStyle name="Entrada 2 4 3 2 11 2" xfId="12325" xr:uid="{FB1D186A-BBC6-424D-A17D-5A3C9BAA1AB5}"/>
    <cellStyle name="Entrada 2 4 3 2 12" xfId="8617" xr:uid="{9297782F-1B2C-4F62-8396-AFA636933D30}"/>
    <cellStyle name="Entrada 2 4 3 2 12 2" xfId="14005" xr:uid="{0389F306-4965-4098-8631-9F7309BD9DA8}"/>
    <cellStyle name="Entrada 2 4 3 2 13" xfId="8965" xr:uid="{1CB94FB9-1887-4340-8864-6FA742636399}"/>
    <cellStyle name="Entrada 2 4 3 2 2" xfId="2991" xr:uid="{8DB27C4B-4E85-4E2F-AA65-086CE5B8410E}"/>
    <cellStyle name="Entrada 2 4 3 2 2 2" xfId="3931" xr:uid="{11CF9D79-46C9-456B-96C6-56EB0AA43577}"/>
    <cellStyle name="Entrada 2 4 3 2 2 2 2" xfId="10045" xr:uid="{E44844B4-59E8-4577-B771-E7F4CE10FD7C}"/>
    <cellStyle name="Entrada 2 4 3 2 2 3" xfId="6902" xr:uid="{D3084648-0204-4182-A930-91E9C6745A36}"/>
    <cellStyle name="Entrada 2 4 3 2 2 3 2" xfId="12508" xr:uid="{FF0A241C-A728-45C6-9E41-9026037B2893}"/>
    <cellStyle name="Entrada 2 4 3 2 2 4" xfId="7580" xr:uid="{1E86ADB2-F7E7-47AA-8FDD-DFCC8781B920}"/>
    <cellStyle name="Entrada 2 4 3 2 2 4 2" xfId="13152" xr:uid="{76644D0F-FD54-4BDF-AF3B-0567B1B233D1}"/>
    <cellStyle name="Entrada 2 4 3 2 2 5" xfId="8073" xr:uid="{414BACBD-1C0A-4A03-87BE-9B9FFBF8B1E9}"/>
    <cellStyle name="Entrada 2 4 3 2 2 5 2" xfId="13645" xr:uid="{5CFB928A-DC85-491C-B1E3-29FE204331FD}"/>
    <cellStyle name="Entrada 2 4 3 2 2 6" xfId="9325" xr:uid="{FE96CE57-19B9-4613-B979-0B04D59E21A3}"/>
    <cellStyle name="Entrada 2 4 3 2 3" xfId="3451" xr:uid="{D8AE82ED-7E04-4E85-8B7C-C51469805DAF}"/>
    <cellStyle name="Entrada 2 4 3 2 3 2" xfId="9685" xr:uid="{98EC8CBB-902E-480E-A77C-9E91647B0CC8}"/>
    <cellStyle name="Entrada 2 4 3 2 4" xfId="4644" xr:uid="{AED32B50-32EB-494E-A475-A452B18DD172}"/>
    <cellStyle name="Entrada 2 4 3 2 4 2" xfId="10508" xr:uid="{B3C1A682-D12B-42C6-BA9F-A0B5DF8E89D2}"/>
    <cellStyle name="Entrada 2 4 3 2 5" xfId="4883" xr:uid="{82C0ABD8-E6C6-4568-936D-81E91D74AB3D}"/>
    <cellStyle name="Entrada 2 4 3 2 5 2" xfId="10729" xr:uid="{9A2EACA5-AA8C-49F6-A648-B86BC870A017}"/>
    <cellStyle name="Entrada 2 4 3 2 6" xfId="5039" xr:uid="{CF03F626-04B9-41C1-9F2C-DA6CFD7C1D07}"/>
    <cellStyle name="Entrada 2 4 3 2 6 2" xfId="10885" xr:uid="{37C2CB53-F458-4AF8-AA4A-41EB193E523A}"/>
    <cellStyle name="Entrada 2 4 3 2 7" xfId="5809" xr:uid="{3A43E745-DABE-4390-A0C3-52ED2D72C56E}"/>
    <cellStyle name="Entrada 2 4 3 2 7 2" xfId="11537" xr:uid="{0C5DDF07-F8FB-4562-A0BC-C70A52E4AB77}"/>
    <cellStyle name="Entrada 2 4 3 2 8" xfId="5290" xr:uid="{6AE1B9AA-15D4-4A2D-9127-459FCC869099}"/>
    <cellStyle name="Entrada 2 4 3 2 8 2" xfId="11134" xr:uid="{EC977411-0FDC-4FE9-82A4-09D807949B03}"/>
    <cellStyle name="Entrada 2 4 3 2 9" xfId="6346" xr:uid="{DE8E0CC0-95CC-4B25-9730-C8777CA88A4D}"/>
    <cellStyle name="Entrada 2 4 3 2 9 2" xfId="12050" xr:uid="{F01743C2-7AB4-473D-BF55-264616B44951}"/>
    <cellStyle name="Entrada 2 4 3 20" xfId="8865" xr:uid="{33F54A2D-9BF7-4823-A62B-E1A8BC364D62}"/>
    <cellStyle name="Entrada 2 4 3 21" xfId="2211" xr:uid="{5CFC48C3-0FCF-4951-B54E-B65F20C822E8}"/>
    <cellStyle name="Entrada 2 4 3 3" xfId="2509" xr:uid="{C5EADDE0-D8F0-41D9-B6CD-B2930560FD83}"/>
    <cellStyle name="Entrada 2 4 3 3 10" xfId="7201" xr:uid="{911471D0-2EE8-4592-8E8A-0B307389F119}"/>
    <cellStyle name="Entrada 2 4 3 3 10 2" xfId="12773" xr:uid="{66C4C70E-1066-40F4-907A-DD214CE7DDCA}"/>
    <cellStyle name="Entrada 2 4 3 3 11" xfId="7268" xr:uid="{7A10D9D2-AAB8-4930-897E-BCEC1880E944}"/>
    <cellStyle name="Entrada 2 4 3 3 11 2" xfId="12840" xr:uid="{27550C69-53E9-4883-82B6-947C888F0202}"/>
    <cellStyle name="Entrada 2 4 3 3 12" xfId="8723" xr:uid="{B9F9DC93-1EA3-4E84-B616-A843F1D5D57A}"/>
    <cellStyle name="Entrada 2 4 3 3 12 2" xfId="14079" xr:uid="{7C2FF5F8-CC17-4B2B-84CA-AD017897CE44}"/>
    <cellStyle name="Entrada 2 4 3 3 13" xfId="9039" xr:uid="{56A1D114-ACC8-435F-8DD5-630819C637BC}"/>
    <cellStyle name="Entrada 2 4 3 3 2" xfId="3065" xr:uid="{6AF8A3C7-6083-4A85-B069-BD9F37E458A0}"/>
    <cellStyle name="Entrada 2 4 3 3 2 2" xfId="4005" xr:uid="{D68684AB-BDD2-40BD-80D7-EDD7718D5AE8}"/>
    <cellStyle name="Entrada 2 4 3 3 2 2 2" xfId="10119" xr:uid="{6A872A06-697F-455C-9781-0DE6726D3BF7}"/>
    <cellStyle name="Entrada 2 4 3 3 2 3" xfId="6976" xr:uid="{8681979D-CDC7-4FA0-AEAD-1AE9DDF1282C}"/>
    <cellStyle name="Entrada 2 4 3 3 2 3 2" xfId="12582" xr:uid="{AD684066-13E5-4004-82FE-F76A55698FD2}"/>
    <cellStyle name="Entrada 2 4 3 3 2 4" xfId="7654" xr:uid="{6471DE75-8AD3-42CB-8B20-DA640D785AB2}"/>
    <cellStyle name="Entrada 2 4 3 3 2 4 2" xfId="13226" xr:uid="{DE968D97-2EAD-48A1-9E3B-94A08EDD8FE9}"/>
    <cellStyle name="Entrada 2 4 3 3 2 5" xfId="8147" xr:uid="{281BAB73-CCE5-4345-8D04-1F266367D4F5}"/>
    <cellStyle name="Entrada 2 4 3 3 2 5 2" xfId="13719" xr:uid="{64D02FE9-6602-40FB-958A-1C212896BDD0}"/>
    <cellStyle name="Entrada 2 4 3 3 2 6" xfId="9399" xr:uid="{009602BC-2D9F-480B-BFFF-7D8A7F4A3C02}"/>
    <cellStyle name="Entrada 2 4 3 3 3" xfId="3525" xr:uid="{AC373BC7-F499-424B-8617-C672271AC9EB}"/>
    <cellStyle name="Entrada 2 4 3 3 3 2" xfId="9759" xr:uid="{1EB9913C-6C6A-4F99-98FA-7416FC2D9052}"/>
    <cellStyle name="Entrada 2 4 3 3 4" xfId="4722" xr:uid="{0BAF10A5-BA66-4297-B6A4-0DE0644A52A4}"/>
    <cellStyle name="Entrada 2 4 3 3 4 2" xfId="10586" xr:uid="{2B9DBAF5-FABB-4EDF-9082-0A947CF232EC}"/>
    <cellStyle name="Entrada 2 4 3 3 5" xfId="4965" xr:uid="{2F315E1B-763B-47D8-AE05-D3EC00636B41}"/>
    <cellStyle name="Entrada 2 4 3 3 5 2" xfId="10811" xr:uid="{86072496-3FC7-4FB0-94E0-BD9CD6FBDEE7}"/>
    <cellStyle name="Entrada 2 4 3 3 6" xfId="5113" xr:uid="{766B9E02-5C86-41A8-80AA-B4D540713097}"/>
    <cellStyle name="Entrada 2 4 3 3 6 2" xfId="10959" xr:uid="{C8A47D60-0165-425C-AF3C-65DCFED49CA6}"/>
    <cellStyle name="Entrada 2 4 3 3 7" xfId="5904" xr:uid="{08D3D9B4-1347-4CE2-859B-FFD234F1E7C1}"/>
    <cellStyle name="Entrada 2 4 3 3 7 2" xfId="11632" xr:uid="{B4B565CC-06CB-4F92-B77B-68797780DAC7}"/>
    <cellStyle name="Entrada 2 4 3 3 8" xfId="6234" xr:uid="{536931D3-34B9-4399-BB2D-D6CAB73AE454}"/>
    <cellStyle name="Entrada 2 4 3 3 8 2" xfId="11938" xr:uid="{C3EAA084-BD42-4A8F-B38C-498CF5EDE8AD}"/>
    <cellStyle name="Entrada 2 4 3 3 9" xfId="6436" xr:uid="{0E867E67-DE78-4AFB-91C0-900905583705}"/>
    <cellStyle name="Entrada 2 4 3 3 9 2" xfId="12140" xr:uid="{F183D406-0706-44A6-B31D-6D131555AFCF}"/>
    <cellStyle name="Entrada 2 4 3 4" xfId="2497" xr:uid="{35595371-9B31-4C6D-8731-217EEC2010B4}"/>
    <cellStyle name="Entrada 2 4 3 4 10" xfId="7189" xr:uid="{AA874F71-16C1-49CE-95E6-EE3DC7CB8608}"/>
    <cellStyle name="Entrada 2 4 3 4 10 2" xfId="12761" xr:uid="{18BB90C6-C6E3-4C8A-B4FD-97F00A155CBD}"/>
    <cellStyle name="Entrada 2 4 3 4 11" xfId="7271" xr:uid="{CAC9CB48-C3DD-4C95-8286-E908A2C4E964}"/>
    <cellStyle name="Entrada 2 4 3 4 11 2" xfId="12843" xr:uid="{F1DB05A8-EFCE-4E23-BD91-45838CAAFA7F}"/>
    <cellStyle name="Entrada 2 4 3 4 12" xfId="8711" xr:uid="{98CB7656-6DE0-4479-8D44-1903148330DF}"/>
    <cellStyle name="Entrada 2 4 3 4 12 2" xfId="14067" xr:uid="{7FC10FC3-4987-411C-AE24-B59DE0B5F111}"/>
    <cellStyle name="Entrada 2 4 3 4 13" xfId="9027" xr:uid="{E76272CC-F93E-4737-AE70-7EA6AD0977A5}"/>
    <cellStyle name="Entrada 2 4 3 4 2" xfId="3053" xr:uid="{A96AF06A-E3ED-498C-8A54-5195910821AE}"/>
    <cellStyle name="Entrada 2 4 3 4 2 2" xfId="3993" xr:uid="{501C35D8-C0BA-4451-94B8-601BC3A4A2B0}"/>
    <cellStyle name="Entrada 2 4 3 4 2 2 2" xfId="10107" xr:uid="{0E8E34C5-A829-41A4-BB92-666720E187B6}"/>
    <cellStyle name="Entrada 2 4 3 4 2 3" xfId="6964" xr:uid="{C3485DB0-D920-4067-9A6B-642BE9B2BBE7}"/>
    <cellStyle name="Entrada 2 4 3 4 2 3 2" xfId="12570" xr:uid="{D7DF05B5-D906-43E1-BC69-0CE12E991D13}"/>
    <cellStyle name="Entrada 2 4 3 4 2 4" xfId="7642" xr:uid="{3E4E990C-E542-4C5E-BEB1-5D5B92CB1F4E}"/>
    <cellStyle name="Entrada 2 4 3 4 2 4 2" xfId="13214" xr:uid="{2ABCB96C-2654-4B24-A2EE-5D967857D9EF}"/>
    <cellStyle name="Entrada 2 4 3 4 2 5" xfId="8135" xr:uid="{25D61278-AF02-44C8-80A5-CAEC37898925}"/>
    <cellStyle name="Entrada 2 4 3 4 2 5 2" xfId="13707" xr:uid="{0E1D4E15-126B-4655-8EC7-C783BBB5338B}"/>
    <cellStyle name="Entrada 2 4 3 4 2 6" xfId="9387" xr:uid="{29AC19D3-A29F-439F-A638-7839E76E8E98}"/>
    <cellStyle name="Entrada 2 4 3 4 3" xfId="3513" xr:uid="{7ACDACEF-5731-4950-8CFF-9C742C784EE3}"/>
    <cellStyle name="Entrada 2 4 3 4 3 2" xfId="9747" xr:uid="{AE0042C8-5F9A-4350-A08E-F2F44FF7B3C0}"/>
    <cellStyle name="Entrada 2 4 3 4 4" xfId="4710" xr:uid="{D878EE9D-FDBE-4DE9-812A-7014B3BF7F18}"/>
    <cellStyle name="Entrada 2 4 3 4 4 2" xfId="10574" xr:uid="{F5BA23F2-22E6-4C3E-9907-3F3A120B348B}"/>
    <cellStyle name="Entrada 2 4 3 4 5" xfId="4953" xr:uid="{6C8AB96E-96ED-4871-97C2-55EBFDAB6DC2}"/>
    <cellStyle name="Entrada 2 4 3 4 5 2" xfId="10799" xr:uid="{03B44BF1-3C9A-4405-9AC2-092537913E73}"/>
    <cellStyle name="Entrada 2 4 3 4 6" xfId="5101" xr:uid="{969AEBCE-C0F8-4DE8-AA14-4D43AE606327}"/>
    <cellStyle name="Entrada 2 4 3 4 6 2" xfId="10947" xr:uid="{5B1FC7E4-46EC-4B14-8DAD-15A7CFE4E92B}"/>
    <cellStyle name="Entrada 2 4 3 4 7" xfId="5892" xr:uid="{84ABF5D0-5CAA-4520-B857-17C3E39D4E88}"/>
    <cellStyle name="Entrada 2 4 3 4 7 2" xfId="11620" xr:uid="{F5C84324-7209-40D3-BB18-15675D4F06AD}"/>
    <cellStyle name="Entrada 2 4 3 4 8" xfId="6222" xr:uid="{FBA716CE-6EAE-422C-AA07-E559CE81470B}"/>
    <cellStyle name="Entrada 2 4 3 4 8 2" xfId="11926" xr:uid="{76EF7BC1-0CD8-4D12-8404-5873F15D1E86}"/>
    <cellStyle name="Entrada 2 4 3 4 9" xfId="6424" xr:uid="{88E3D27C-8ACD-498B-8D5A-E5496F47CC1B}"/>
    <cellStyle name="Entrada 2 4 3 4 9 2" xfId="12128" xr:uid="{E4ABA351-8BCA-48DE-96AD-9D0445BC2A16}"/>
    <cellStyle name="Entrada 2 4 3 5" xfId="2667" xr:uid="{7298BB91-DAEA-493A-BAE7-B154C0DBECB8}"/>
    <cellStyle name="Entrada 2 4 3 5 2" xfId="3131" xr:uid="{F58786E0-E08B-4252-BA5F-877E975E1977}"/>
    <cellStyle name="Entrada 2 4 3 5 2 2" xfId="4089" xr:uid="{C924FA9E-E389-4EE7-8097-1BC8B8CE0A3B}"/>
    <cellStyle name="Entrada 2 4 3 5 2 2 2" xfId="10185" xr:uid="{10FD4DEA-46C9-4B49-8FF3-5EDDAAA03D5F}"/>
    <cellStyle name="Entrada 2 4 3 5 2 3" xfId="7060" xr:uid="{34F48D55-9A5D-4037-B4D5-7403E7B32984}"/>
    <cellStyle name="Entrada 2 4 3 5 2 3 2" xfId="12648" xr:uid="{315B18E1-535F-4F01-9660-74174A069F2C}"/>
    <cellStyle name="Entrada 2 4 3 5 2 4" xfId="7721" xr:uid="{56B1BB6E-479F-41D6-A65D-09E1EFB09427}"/>
    <cellStyle name="Entrada 2 4 3 5 2 4 2" xfId="13293" xr:uid="{49A60DE8-27E8-40CC-878C-7B44F7F326AA}"/>
    <cellStyle name="Entrada 2 4 3 5 2 5" xfId="8213" xr:uid="{721E90AA-269F-442B-876D-F4D1E1A0D281}"/>
    <cellStyle name="Entrada 2 4 3 5 2 5 2" xfId="13785" xr:uid="{1B2985C0-48BE-4360-8196-5C23AF789DDE}"/>
    <cellStyle name="Entrada 2 4 3 5 2 6" xfId="9465" xr:uid="{A8752D97-8091-4F77-94B4-8021A155A99A}"/>
    <cellStyle name="Entrada 2 4 3 5 3" xfId="3609" xr:uid="{A8FACB03-9CBA-4C48-8F19-6062E5335974}"/>
    <cellStyle name="Entrada 2 4 3 5 3 2" xfId="9825" xr:uid="{E2C7C6B6-60DE-4DD0-9512-44A2BC2D3CD4}"/>
    <cellStyle name="Entrada 2 4 3 5 4" xfId="6046" xr:uid="{5E033B70-0EB6-4BCE-A3E4-66B158B5C988}"/>
    <cellStyle name="Entrada 2 4 3 5 4 2" xfId="11758" xr:uid="{37FF25DA-12C7-416F-90D9-75D964A2C300}"/>
    <cellStyle name="Entrada 2 4 3 5 5" xfId="6564" xr:uid="{333CDB2D-936A-4F76-BAF9-7E88C8436E5C}"/>
    <cellStyle name="Entrada 2 4 3 5 5 2" xfId="12268" xr:uid="{B53995A7-3281-4631-8CD4-DDFECAE69E53}"/>
    <cellStyle name="Entrada 2 4 3 5 6" xfId="7318" xr:uid="{AAF5CDF8-B149-4935-AE90-929A55161876}"/>
    <cellStyle name="Entrada 2 4 3 5 6 2" xfId="12890" xr:uid="{2180553E-DCF0-4440-B7DE-C7C270F038DF}"/>
    <cellStyle name="Entrada 2 4 3 5 7" xfId="7853" xr:uid="{5744C54B-82FF-4F07-965D-3027738E05C8}"/>
    <cellStyle name="Entrada 2 4 3 5 7 2" xfId="13425" xr:uid="{502787B3-8D22-4F97-B8C1-3EBFF3A3D0EB}"/>
    <cellStyle name="Entrada 2 4 3 5 8" xfId="9105" xr:uid="{B466B64E-2446-49AD-AD69-9607FA766508}"/>
    <cellStyle name="Entrada 2 4 3 6" xfId="2759" xr:uid="{B88898AD-677F-427C-824F-C2717C91F8CF}"/>
    <cellStyle name="Entrada 2 4 3 6 2" xfId="3191" xr:uid="{77E5CBC0-8563-4BC9-81BF-FDC8465F7941}"/>
    <cellStyle name="Entrada 2 4 3 6 2 2" xfId="4149" xr:uid="{B762C02F-4EEE-4D74-926A-E32DCD0625E6}"/>
    <cellStyle name="Entrada 2 4 3 6 2 2 2" xfId="10245" xr:uid="{3C1011F6-A3B7-4FEE-AD41-667D8042870D}"/>
    <cellStyle name="Entrada 2 4 3 6 2 3" xfId="7120" xr:uid="{71D7846D-BA37-43FE-B222-98530CF4E0FF}"/>
    <cellStyle name="Entrada 2 4 3 6 2 3 2" xfId="12708" xr:uid="{51F6E949-3B59-41DB-B730-CE6FF56A009B}"/>
    <cellStyle name="Entrada 2 4 3 6 2 4" xfId="7781" xr:uid="{CD15CF3E-B27A-40D5-AA38-AAFA0033BC46}"/>
    <cellStyle name="Entrada 2 4 3 6 2 4 2" xfId="13353" xr:uid="{1B14C663-7950-44D3-AB89-53D8D5F3C2BD}"/>
    <cellStyle name="Entrada 2 4 3 6 2 5" xfId="8273" xr:uid="{4D4B5DC3-CC18-42E7-B392-324333C7B3E8}"/>
    <cellStyle name="Entrada 2 4 3 6 2 5 2" xfId="13845" xr:uid="{F427B007-77E0-4950-98B6-B2382E8A21C2}"/>
    <cellStyle name="Entrada 2 4 3 6 2 6" xfId="9525" xr:uid="{EFF05D5F-5675-46ED-90DB-0E973D77FB25}"/>
    <cellStyle name="Entrada 2 4 3 6 3" xfId="3669" xr:uid="{23443CBD-2B50-40EA-8D6F-A6A9E8E1E176}"/>
    <cellStyle name="Entrada 2 4 3 6 3 2" xfId="9885" xr:uid="{EAFCD374-AC6F-45A4-A698-52A8BAB62732}"/>
    <cellStyle name="Entrada 2 4 3 6 4" xfId="6126" xr:uid="{B0E04E4E-B823-4804-BE60-6D8B42BEBB19}"/>
    <cellStyle name="Entrada 2 4 3 6 4 2" xfId="11838" xr:uid="{4F5997AB-6762-4505-B2B3-9B1EBE2B12D2}"/>
    <cellStyle name="Entrada 2 4 3 6 5" xfId="6636" xr:uid="{EFC5B6E3-91AB-425A-953E-9EA8EBF26A39}"/>
    <cellStyle name="Entrada 2 4 3 6 5 2" xfId="12340" xr:uid="{CF120387-BD6B-4D4A-88CA-2D86D27F7B17}"/>
    <cellStyle name="Entrada 2 4 3 6 6" xfId="7380" xr:uid="{EF1F23BF-A534-4301-A6A1-1DC83725819F}"/>
    <cellStyle name="Entrada 2 4 3 6 6 2" xfId="12952" xr:uid="{9FF44757-E5DE-4503-AAE8-37EA76BB890E}"/>
    <cellStyle name="Entrada 2 4 3 6 7" xfId="7913" xr:uid="{A44D5E69-A8A2-408F-AA69-66A2FF389859}"/>
    <cellStyle name="Entrada 2 4 3 6 7 2" xfId="13485" xr:uid="{C24E037A-DCAC-4180-BB6F-169944D33A23}"/>
    <cellStyle name="Entrada 2 4 3 6 8" xfId="9165" xr:uid="{19E386CF-E694-4299-9970-DC30EB784F2A}"/>
    <cellStyle name="Entrada 2 4 3 7" xfId="2859" xr:uid="{CECBF0E7-900A-41CD-9C17-41FF911409E9}"/>
    <cellStyle name="Entrada 2 4 3 7 2" xfId="3783" xr:uid="{0511F8DA-535D-4FD0-A9A8-406C889C04A1}"/>
    <cellStyle name="Entrada 2 4 3 7 2 2" xfId="9945" xr:uid="{5C3F1BA2-B7AC-45DF-BD0E-E6F9FDA9217F}"/>
    <cellStyle name="Entrada 2 4 3 7 3" xfId="6754" xr:uid="{0AE6D45B-31FF-4506-8E4B-92E5272C6C47}"/>
    <cellStyle name="Entrada 2 4 3 7 3 2" xfId="12408" xr:uid="{784EF7A7-E3C6-4FEA-B9CA-1F6D60BA7B96}"/>
    <cellStyle name="Entrada 2 4 3 7 4" xfId="7464" xr:uid="{B2176A5C-7EA0-4D9D-A82E-C3A544FB5309}"/>
    <cellStyle name="Entrada 2 4 3 7 4 2" xfId="13036" xr:uid="{FD9AAD68-EBD4-4B3B-B2FF-E8ACE9CFDB64}"/>
    <cellStyle name="Entrada 2 4 3 7 5" xfId="7973" xr:uid="{2E273206-1E17-41F9-AD4F-2913214E07BB}"/>
    <cellStyle name="Entrada 2 4 3 7 5 2" xfId="13545" xr:uid="{B5D24D95-25BC-48FE-85DA-A0FB69E7FBF8}"/>
    <cellStyle name="Entrada 2 4 3 7 6" xfId="9225" xr:uid="{C2B20433-945F-4F79-87C4-9F7DC2788C6E}"/>
    <cellStyle name="Entrada 2 4 3 8" xfId="3303" xr:uid="{EE40C447-9218-4B03-90B0-16A5B0A8ACF6}"/>
    <cellStyle name="Entrada 2 4 3 8 2" xfId="9585" xr:uid="{935437D6-511D-4EB5-9260-327BCE1B6ED6}"/>
    <cellStyle name="Entrada 2 4 3 9" xfId="4470" xr:uid="{4C618130-FE48-4D56-8713-B7B0D3977C34}"/>
    <cellStyle name="Entrada 2 4 3 9 2" xfId="10382" xr:uid="{FA806E2B-CA61-4CF4-9841-F975930C0C35}"/>
    <cellStyle name="Entrada 2 4 4" xfId="1547" xr:uid="{C4DE0CFA-1F4B-477D-93DE-A426F50049F5}"/>
    <cellStyle name="Entrada 2 4 4 2" xfId="8840" xr:uid="{191D1EDA-8B03-4B5F-ACDD-8786783CDA90}"/>
    <cellStyle name="Entrada 2 4 5" xfId="2119" xr:uid="{0BDED105-7229-471E-8E20-E19AFB8D84CC}"/>
    <cellStyle name="Entrada 2 5" xfId="1439" xr:uid="{24D08FA5-0CE8-4087-9588-50FD1DB4A5F1}"/>
    <cellStyle name="Entrada 2 5 10" xfId="4597" xr:uid="{B929CC9C-7242-47C0-AE23-D46CAD67ED6E}"/>
    <cellStyle name="Entrada 2 5 10 2" xfId="10461" xr:uid="{05BAA3D5-B7B3-4383-AF82-86067888D1EC}"/>
    <cellStyle name="Entrada 2 5 11" xfId="4603" xr:uid="{2809BB02-6EB0-43CA-BC20-0BD633839A34}"/>
    <cellStyle name="Entrada 2 5 11 2" xfId="10467" xr:uid="{32B26FEF-98D9-4C22-AEF4-30876A174BC8}"/>
    <cellStyle name="Entrada 2 5 12" xfId="5408" xr:uid="{E3BBF132-A779-44AF-BC3C-FE088E1E852C}"/>
    <cellStyle name="Entrada 2 5 12 2" xfId="11206" xr:uid="{16A66D0C-9426-4491-B784-EBF8870ED4E7}"/>
    <cellStyle name="Entrada 2 5 13" xfId="5576" xr:uid="{FAE4ABC9-F3FF-4240-B588-8DCE7ED7F92B}"/>
    <cellStyle name="Entrada 2 5 13 2" xfId="11304" xr:uid="{E33B9B8E-BEFF-45A0-B687-297A429EBE13}"/>
    <cellStyle name="Entrada 2 5 14" xfId="5295" xr:uid="{C22AC9CA-EF71-43E5-95EB-EFBE085D28C4}"/>
    <cellStyle name="Entrada 2 5 14 2" xfId="11139" xr:uid="{820F085D-290F-4D7C-AE66-9130529C8C85}"/>
    <cellStyle name="Entrada 2 5 15" xfId="5994" xr:uid="{501FAD50-BC8F-4B48-97C1-5F665F071D9D}"/>
    <cellStyle name="Entrada 2 5 15 2" xfId="11706" xr:uid="{BB2E8240-D264-4FAE-B3B1-2294C70959E9}"/>
    <cellStyle name="Entrada 2 5 16" xfId="5694" xr:uid="{91CDC0BC-3DCE-4320-8C87-9141A4667DE8}"/>
    <cellStyle name="Entrada 2 5 16 2" xfId="11422" xr:uid="{EFB2C7BF-129C-4470-A875-52D6DAE7FFF9}"/>
    <cellStyle name="Entrada 2 5 17" xfId="5559" xr:uid="{9793A59E-B2BA-4A96-A562-9A7E79678300}"/>
    <cellStyle name="Entrada 2 5 17 2" xfId="11287" xr:uid="{A5C92551-39E3-4DD6-8880-192D0C3D2D10}"/>
    <cellStyle name="Entrada 2 5 18" xfId="6322" xr:uid="{CB6AECFC-97C6-4B20-B992-15537BD34CC2}"/>
    <cellStyle name="Entrada 2 5 18 2" xfId="12026" xr:uid="{6C179BC9-B17C-4E8C-8E72-C5CA0F2BEE1C}"/>
    <cellStyle name="Entrada 2 5 19" xfId="8428" xr:uid="{BC9998B6-26B6-4EAE-9FFC-D83137EDC5FC}"/>
    <cellStyle name="Entrada 2 5 19 2" xfId="13908" xr:uid="{6BD2F0BE-7A85-4A10-8860-6FDE4FD872E8}"/>
    <cellStyle name="Entrada 2 5 2" xfId="1552" xr:uid="{361A6E7A-5EFB-4C14-AF18-ECD271DB6B22}"/>
    <cellStyle name="Entrada 2 5 2 10" xfId="6317" xr:uid="{D556A4A4-4F8B-404D-B546-A5448016C991}"/>
    <cellStyle name="Entrada 2 5 2 10 2" xfId="12021" xr:uid="{3F4AD18A-5FD6-40E7-9641-04183F03061D}"/>
    <cellStyle name="Entrada 2 5 2 11" xfId="7523" xr:uid="{ED9740F1-BAE0-416F-B09C-3CD9EECA81DE}"/>
    <cellStyle name="Entrada 2 5 2 11 2" xfId="13095" xr:uid="{C52BE877-64CC-4D50-84D6-B7BA8A4E266C}"/>
    <cellStyle name="Entrada 2 5 2 12" xfId="8620" xr:uid="{ABA4CD69-9377-4644-8240-E90E46FFD41E}"/>
    <cellStyle name="Entrada 2 5 2 12 2" xfId="14008" xr:uid="{34D78FF7-4CBD-4B60-8199-0A461D570230}"/>
    <cellStyle name="Entrada 2 5 2 13" xfId="8968" xr:uid="{2761115C-E6AC-43C0-B2D1-F9BFF9541E6C}"/>
    <cellStyle name="Entrada 2 5 2 14" xfId="2406" xr:uid="{1EEAB85F-4217-494E-80C0-03954FB3ACF9}"/>
    <cellStyle name="Entrada 2 5 2 2" xfId="2994" xr:uid="{0D0C9F2A-D137-4BB7-AFBE-8D016D0B68F2}"/>
    <cellStyle name="Entrada 2 5 2 2 2" xfId="3934" xr:uid="{6B3527B7-A00F-4E7F-ACFC-2176DD57CFB1}"/>
    <cellStyle name="Entrada 2 5 2 2 2 2" xfId="10048" xr:uid="{ED61527A-7787-413D-A793-9EAF1D37FEBF}"/>
    <cellStyle name="Entrada 2 5 2 2 3" xfId="6905" xr:uid="{73BB9043-D67F-46CD-8472-C55AE5585607}"/>
    <cellStyle name="Entrada 2 5 2 2 3 2" xfId="12511" xr:uid="{835B6751-B06D-45F6-89B6-3EA448FB81EF}"/>
    <cellStyle name="Entrada 2 5 2 2 4" xfId="7583" xr:uid="{C918E8D7-44B4-4C05-836B-A0162B5D8027}"/>
    <cellStyle name="Entrada 2 5 2 2 4 2" xfId="13155" xr:uid="{2FF4C667-0D03-45A3-AD03-B1340AE6B17C}"/>
    <cellStyle name="Entrada 2 5 2 2 5" xfId="8076" xr:uid="{16635CDA-402C-41C8-9955-0325818C51BD}"/>
    <cellStyle name="Entrada 2 5 2 2 5 2" xfId="13648" xr:uid="{8149379D-974D-4DD9-832E-BAAAECA87DB0}"/>
    <cellStyle name="Entrada 2 5 2 2 6" xfId="9328" xr:uid="{BD64309F-E4AE-4A6D-AF17-83A07121A543}"/>
    <cellStyle name="Entrada 2 5 2 3" xfId="3454" xr:uid="{6982E1DA-C852-49FF-8D32-9BE035A64BF3}"/>
    <cellStyle name="Entrada 2 5 2 3 2" xfId="9688" xr:uid="{7BC94EB9-8C25-4A00-8A74-D0A66C710295}"/>
    <cellStyle name="Entrada 2 5 2 4" xfId="4647" xr:uid="{7EE2F8A3-D650-4405-9F0E-CAE702859373}"/>
    <cellStyle name="Entrada 2 5 2 4 2" xfId="10511" xr:uid="{03CC47CB-6C5F-467A-9CE6-9AD45993672A}"/>
    <cellStyle name="Entrada 2 5 2 5" xfId="4886" xr:uid="{66D9911A-9CBF-476C-AB0D-0F82A9DA4FCF}"/>
    <cellStyle name="Entrada 2 5 2 5 2" xfId="10732" xr:uid="{915C4652-107D-476C-A13A-E6DC748F3197}"/>
    <cellStyle name="Entrada 2 5 2 6" xfId="5042" xr:uid="{A2C408E5-A4F3-4FCC-BF15-0F4A3DDAC9FE}"/>
    <cellStyle name="Entrada 2 5 2 6 2" xfId="10888" xr:uid="{038AB465-7051-47DB-B22A-D09F30049857}"/>
    <cellStyle name="Entrada 2 5 2 7" xfId="5812" xr:uid="{A43DB809-FC54-4950-9D5C-742756CC1C10}"/>
    <cellStyle name="Entrada 2 5 2 7 2" xfId="11540" xr:uid="{D13F421E-8139-401D-BEA3-A79184AC9522}"/>
    <cellStyle name="Entrada 2 5 2 8" xfId="5558" xr:uid="{C92AA057-ABC3-4361-A1C7-C054B7F97696}"/>
    <cellStyle name="Entrada 2 5 2 8 2" xfId="11286" xr:uid="{09317410-04B9-429A-A05B-1E2427F1598D}"/>
    <cellStyle name="Entrada 2 5 2 9" xfId="6349" xr:uid="{1C6D63ED-946A-4874-8587-401DFEBB09E8}"/>
    <cellStyle name="Entrada 2 5 2 9 2" xfId="12053" xr:uid="{3CD988ED-A81C-4368-9858-D88B323DB8A2}"/>
    <cellStyle name="Entrada 2 5 20" xfId="8868" xr:uid="{A96B67C1-89C4-42BD-9FE2-550E20A1B0ED}"/>
    <cellStyle name="Entrada 2 5 21" xfId="2214" xr:uid="{8F85E4E8-9B06-4B43-B6E3-A61E36C103E9}"/>
    <cellStyle name="Entrada 2 5 3" xfId="1605" xr:uid="{22D2FB68-CE76-4884-8355-ABD22D72DD72}"/>
    <cellStyle name="Entrada 2 5 3 10" xfId="7204" xr:uid="{6E0C80F2-4134-42A7-8F2F-FB7E4079BE08}"/>
    <cellStyle name="Entrada 2 5 3 10 2" xfId="12776" xr:uid="{DED362F3-2741-49BD-BBA4-AD90683C6EE9}"/>
    <cellStyle name="Entrada 2 5 3 11" xfId="5552" xr:uid="{2B2E04B1-0A42-4919-B3DC-D5CA09248C41}"/>
    <cellStyle name="Entrada 2 5 3 11 2" xfId="11280" xr:uid="{A4DEE8F0-446A-4C12-AF1B-FCC54B176571}"/>
    <cellStyle name="Entrada 2 5 3 12" xfId="8726" xr:uid="{D784A226-F316-47C1-86E8-B68565D1D0C9}"/>
    <cellStyle name="Entrada 2 5 3 12 2" xfId="14082" xr:uid="{AE359C89-5ED4-4F24-8396-845EBEAB35EF}"/>
    <cellStyle name="Entrada 2 5 3 13" xfId="9042" xr:uid="{866B28C8-14BD-4EAE-8C84-C3FC0B81E7EB}"/>
    <cellStyle name="Entrada 2 5 3 14" xfId="2512" xr:uid="{988F2D2F-B93F-441D-87B7-618FA56D882C}"/>
    <cellStyle name="Entrada 2 5 3 2" xfId="3068" xr:uid="{CAEB34CA-ED6F-41DE-B60D-B9597FE8EB5F}"/>
    <cellStyle name="Entrada 2 5 3 2 2" xfId="4008" xr:uid="{D0C372F4-EFC3-45F2-9B9D-37290624A6A1}"/>
    <cellStyle name="Entrada 2 5 3 2 2 2" xfId="10122" xr:uid="{6827D7FC-707F-45A1-989B-1CEAF6E03412}"/>
    <cellStyle name="Entrada 2 5 3 2 3" xfId="6979" xr:uid="{B172282D-CB00-4253-983D-F8BF5F848C29}"/>
    <cellStyle name="Entrada 2 5 3 2 3 2" xfId="12585" xr:uid="{FF47BE2D-B166-4CAF-A463-3A1B3B7AE4EE}"/>
    <cellStyle name="Entrada 2 5 3 2 4" xfId="7657" xr:uid="{1D57B798-4832-4EAB-93E4-1235AA67D6C5}"/>
    <cellStyle name="Entrada 2 5 3 2 4 2" xfId="13229" xr:uid="{0353546E-CAFB-43D5-BD87-A8478546BFA5}"/>
    <cellStyle name="Entrada 2 5 3 2 5" xfId="8150" xr:uid="{F785909C-2297-4FE4-A75B-8BEE12461E67}"/>
    <cellStyle name="Entrada 2 5 3 2 5 2" xfId="13722" xr:uid="{6620BC15-E0DC-4DBD-8E84-482571EA254C}"/>
    <cellStyle name="Entrada 2 5 3 2 6" xfId="9402" xr:uid="{61B3AFF6-A09F-492F-9496-5B1B5EBB80EB}"/>
    <cellStyle name="Entrada 2 5 3 3" xfId="3528" xr:uid="{0D0FC4F6-E4C7-47A6-BD58-6E8D0BB4ED1A}"/>
    <cellStyle name="Entrada 2 5 3 3 2" xfId="9762" xr:uid="{8432B4E9-0D2A-4E5F-A025-5DE515933AAE}"/>
    <cellStyle name="Entrada 2 5 3 4" xfId="4725" xr:uid="{ADA54311-A63C-4260-9754-0C1B2303B3B0}"/>
    <cellStyle name="Entrada 2 5 3 4 2" xfId="10589" xr:uid="{712A090D-E83F-49E1-BA1A-7ACA94604319}"/>
    <cellStyle name="Entrada 2 5 3 5" xfId="4968" xr:uid="{043659CB-EDD7-4F18-A68D-A067F8CB61F2}"/>
    <cellStyle name="Entrada 2 5 3 5 2" xfId="10814" xr:uid="{1B8C78A1-83D0-4CE7-A18C-F8E527F4C0AE}"/>
    <cellStyle name="Entrada 2 5 3 6" xfId="5116" xr:uid="{0DABB111-12B4-41B3-804F-9C00D4A4C9EC}"/>
    <cellStyle name="Entrada 2 5 3 6 2" xfId="10962" xr:uid="{F88B1269-7341-4ACD-94A9-8AD197BE9B73}"/>
    <cellStyle name="Entrada 2 5 3 7" xfId="5907" xr:uid="{4546A011-16A9-45C2-8FB1-0D70341537B2}"/>
    <cellStyle name="Entrada 2 5 3 7 2" xfId="11635" xr:uid="{3745CAA2-1468-4E3F-95B9-BE23281B4631}"/>
    <cellStyle name="Entrada 2 5 3 8" xfId="6237" xr:uid="{D9E95BA5-6D8F-4B37-A1D6-8AB70649C37A}"/>
    <cellStyle name="Entrada 2 5 3 8 2" xfId="11941" xr:uid="{00183E81-CC85-4B62-A163-1EB3A402E75F}"/>
    <cellStyle name="Entrada 2 5 3 9" xfId="6439" xr:uid="{35F7D7DF-C7B6-4272-8C86-D4398AB0DF03}"/>
    <cellStyle name="Entrada 2 5 3 9 2" xfId="12143" xr:uid="{C6359122-F410-4955-B88A-D1D9953AA1F1}"/>
    <cellStyle name="Entrada 2 5 4" xfId="2560" xr:uid="{EB5E0184-7EFF-4BE8-B8CB-EF7E5259971F}"/>
    <cellStyle name="Entrada 2 5 4 10" xfId="7252" xr:uid="{749D580F-372A-45D1-8AD7-41C983C8CE3D}"/>
    <cellStyle name="Entrada 2 5 4 10 2" xfId="12824" xr:uid="{8E971577-3870-4696-8FDD-3FE2FCC2D31C}"/>
    <cellStyle name="Entrada 2 5 4 11" xfId="7830" xr:uid="{C8FDA7D8-7651-4253-8494-70D1AD5B59CD}"/>
    <cellStyle name="Entrada 2 5 4 11 2" xfId="13402" xr:uid="{25E406C5-E52C-4851-BAC2-8FAB995E73D8}"/>
    <cellStyle name="Entrada 2 5 4 12" xfId="8774" xr:uid="{56A97835-C343-4B03-8E4A-91BA667E70D8}"/>
    <cellStyle name="Entrada 2 5 4 12 2" xfId="14130" xr:uid="{4885C19C-80E5-409F-A2ED-F1114CA6C9E7}"/>
    <cellStyle name="Entrada 2 5 4 13" xfId="9090" xr:uid="{869BABB5-AB2A-4550-A581-31E78704A694}"/>
    <cellStyle name="Entrada 2 5 4 2" xfId="3116" xr:uid="{FBCB3796-A827-4960-91AF-CFDFC7E26B91}"/>
    <cellStyle name="Entrada 2 5 4 2 2" xfId="4056" xr:uid="{09E49F81-6A10-4D00-AA86-DCF1206F2EDD}"/>
    <cellStyle name="Entrada 2 5 4 2 2 2" xfId="10170" xr:uid="{48AF7420-E0EC-4A9C-9F88-F97606E4FB7B}"/>
    <cellStyle name="Entrada 2 5 4 2 3" xfId="7027" xr:uid="{A9F5ECC0-3B7A-468D-9791-141B9DDDBAEF}"/>
    <cellStyle name="Entrada 2 5 4 2 3 2" xfId="12633" xr:uid="{EC535C2E-C05B-47C9-97A4-FBC7BC213204}"/>
    <cellStyle name="Entrada 2 5 4 2 4" xfId="7705" xr:uid="{B8213CA3-9CDD-4DF2-9DA6-6CBB0D72E0CA}"/>
    <cellStyle name="Entrada 2 5 4 2 4 2" xfId="13277" xr:uid="{71757E2B-6292-4420-8E2F-33FBB8B1C7EA}"/>
    <cellStyle name="Entrada 2 5 4 2 5" xfId="8198" xr:uid="{0C034598-D8E0-4705-862F-A4F75CEC3898}"/>
    <cellStyle name="Entrada 2 5 4 2 5 2" xfId="13770" xr:uid="{016DC265-E453-4540-BE29-FBEEEE463A4E}"/>
    <cellStyle name="Entrada 2 5 4 2 6" xfId="9450" xr:uid="{E9ABC838-D05D-4DC6-8C5C-B553D03E74C4}"/>
    <cellStyle name="Entrada 2 5 4 3" xfId="3576" xr:uid="{51E1D623-662A-4FD3-BE29-F3710E835725}"/>
    <cellStyle name="Entrada 2 5 4 3 2" xfId="9810" xr:uid="{0B2820CF-B390-4B88-BDD7-214FA8A103A2}"/>
    <cellStyle name="Entrada 2 5 4 4" xfId="4773" xr:uid="{B2411D68-9546-404B-9689-CCC67C3FD5A0}"/>
    <cellStyle name="Entrada 2 5 4 4 2" xfId="10637" xr:uid="{5428AAEF-0E11-4BF0-B057-53A9D9B8E255}"/>
    <cellStyle name="Entrada 2 5 4 5" xfId="5016" xr:uid="{40CBE3E3-D144-4437-856C-9E52600D5DA9}"/>
    <cellStyle name="Entrada 2 5 4 5 2" xfId="10862" xr:uid="{3D6A14C0-428A-4D2E-A6C2-16607CB86B27}"/>
    <cellStyle name="Entrada 2 5 4 6" xfId="5164" xr:uid="{DBAFDF5F-4581-4AC1-9DBC-EE180E859285}"/>
    <cellStyle name="Entrada 2 5 4 6 2" xfId="11010" xr:uid="{AE5F0776-7215-4452-B3E4-DBE80894BD49}"/>
    <cellStyle name="Entrada 2 5 4 7" xfId="5955" xr:uid="{BA621220-3DD8-4AF3-9223-FDDFC5ED7AC1}"/>
    <cellStyle name="Entrada 2 5 4 7 2" xfId="11683" xr:uid="{C77AACD1-3B58-461A-AB76-46A4DC8C47AC}"/>
    <cellStyle name="Entrada 2 5 4 8" xfId="6285" xr:uid="{9E440FFF-929B-443D-B936-50A040F161B9}"/>
    <cellStyle name="Entrada 2 5 4 8 2" xfId="11989" xr:uid="{C54D81E8-38B5-4F8F-9418-8AD6E1E6E221}"/>
    <cellStyle name="Entrada 2 5 4 9" xfId="6487" xr:uid="{4AFC7340-8D66-482D-B3B4-5487E97ABE21}"/>
    <cellStyle name="Entrada 2 5 4 9 2" xfId="12191" xr:uid="{2CB511C3-D9E0-473A-A9F7-A4B4AAB9AAE1}"/>
    <cellStyle name="Entrada 2 5 5" xfId="2670" xr:uid="{6CCF3420-6B07-4951-BCAA-39A97AB8F68B}"/>
    <cellStyle name="Entrada 2 5 5 2" xfId="3134" xr:uid="{DD404FF2-2059-497C-9B37-2530CB400FAB}"/>
    <cellStyle name="Entrada 2 5 5 2 2" xfId="4092" xr:uid="{C1CAA102-2CF3-4C39-867B-299AE40E316C}"/>
    <cellStyle name="Entrada 2 5 5 2 2 2" xfId="10188" xr:uid="{A3E668FD-8E8F-48F7-BF15-5509F632E276}"/>
    <cellStyle name="Entrada 2 5 5 2 3" xfId="7063" xr:uid="{961FEACA-7A8A-4C19-B3FC-C72BCC81FB00}"/>
    <cellStyle name="Entrada 2 5 5 2 3 2" xfId="12651" xr:uid="{11DB8870-B83E-409F-BBCB-839B28096251}"/>
    <cellStyle name="Entrada 2 5 5 2 4" xfId="7724" xr:uid="{A1FF03DB-6673-4974-9628-CB08B148F27F}"/>
    <cellStyle name="Entrada 2 5 5 2 4 2" xfId="13296" xr:uid="{599D4C9B-DAF0-4843-83AA-A9EF137C6E79}"/>
    <cellStyle name="Entrada 2 5 5 2 5" xfId="8216" xr:uid="{04C2DB89-271F-4579-9B15-C30916332B4D}"/>
    <cellStyle name="Entrada 2 5 5 2 5 2" xfId="13788" xr:uid="{B0716AB1-72B5-4232-A7B9-56650E419B80}"/>
    <cellStyle name="Entrada 2 5 5 2 6" xfId="9468" xr:uid="{DB241087-D6B7-426D-A732-B819ADB6BF2B}"/>
    <cellStyle name="Entrada 2 5 5 3" xfId="3612" xr:uid="{628C8542-F98A-4A81-94D3-E28DCE3A57E5}"/>
    <cellStyle name="Entrada 2 5 5 3 2" xfId="9828" xr:uid="{A651C7BF-AE8F-4D00-94B1-060917DDAE1B}"/>
    <cellStyle name="Entrada 2 5 5 4" xfId="6049" xr:uid="{41DF63C0-4DF5-4E54-92B5-510A6A488CC2}"/>
    <cellStyle name="Entrada 2 5 5 4 2" xfId="11761" xr:uid="{8EAFED5D-47CB-41FD-BD06-A94DF21596E3}"/>
    <cellStyle name="Entrada 2 5 5 5" xfId="6567" xr:uid="{0260CB6B-8F1B-482F-85EB-6514E60B6EE7}"/>
    <cellStyle name="Entrada 2 5 5 5 2" xfId="12271" xr:uid="{B4E3567F-E4EC-46EB-AE4C-CE8F91A09BAD}"/>
    <cellStyle name="Entrada 2 5 5 6" xfId="7321" xr:uid="{3B0658E2-FF22-46BD-A0A2-197F8660BF41}"/>
    <cellStyle name="Entrada 2 5 5 6 2" xfId="12893" xr:uid="{1239437F-0435-4B0E-B73A-A62C9E68E158}"/>
    <cellStyle name="Entrada 2 5 5 7" xfId="7856" xr:uid="{524ABD56-9F0C-42FD-A956-ADF0B75A9FE1}"/>
    <cellStyle name="Entrada 2 5 5 7 2" xfId="13428" xr:uid="{28B5F653-A65F-40A1-8396-0E4181F0E30D}"/>
    <cellStyle name="Entrada 2 5 5 8" xfId="9108" xr:uid="{24F13136-D03A-4802-9D4D-65615F173044}"/>
    <cellStyle name="Entrada 2 5 6" xfId="2762" xr:uid="{33554E00-F44C-4B27-8841-D9757447EECC}"/>
    <cellStyle name="Entrada 2 5 6 2" xfId="3194" xr:uid="{C0600760-C654-4BAA-9337-738FD71BE5A8}"/>
    <cellStyle name="Entrada 2 5 6 2 2" xfId="4152" xr:uid="{F306DF40-E67E-427E-9776-49B8CAFB92E2}"/>
    <cellStyle name="Entrada 2 5 6 2 2 2" xfId="10248" xr:uid="{42669F73-B4D6-44C9-840A-0363514A006F}"/>
    <cellStyle name="Entrada 2 5 6 2 3" xfId="7123" xr:uid="{F5B4A12A-3A30-495A-AAF7-C1A92B905D24}"/>
    <cellStyle name="Entrada 2 5 6 2 3 2" xfId="12711" xr:uid="{60F24CA7-8FFE-4905-8F07-F137745E715F}"/>
    <cellStyle name="Entrada 2 5 6 2 4" xfId="7784" xr:uid="{B25468DD-CC1E-4C8C-9BAE-C5440F3640C6}"/>
    <cellStyle name="Entrada 2 5 6 2 4 2" xfId="13356" xr:uid="{16DCD009-70BA-420A-9CEB-AAA9CB37F344}"/>
    <cellStyle name="Entrada 2 5 6 2 5" xfId="8276" xr:uid="{474EC696-6C33-4682-9657-0814911B1580}"/>
    <cellStyle name="Entrada 2 5 6 2 5 2" xfId="13848" xr:uid="{EBAAC3A2-C475-4922-9EBF-13CF7C7C8F5B}"/>
    <cellStyle name="Entrada 2 5 6 2 6" xfId="9528" xr:uid="{F253360D-BEA1-4C6F-9CA5-3BE97EF34A74}"/>
    <cellStyle name="Entrada 2 5 6 3" xfId="3672" xr:uid="{5616F7CC-58F3-44E7-B16B-B47245A81EA9}"/>
    <cellStyle name="Entrada 2 5 6 3 2" xfId="9888" xr:uid="{D5F6CAE6-DB5D-4FE6-9C4D-F5B28B97B0FF}"/>
    <cellStyle name="Entrada 2 5 6 4" xfId="6129" xr:uid="{DE1009E2-D85E-41B5-9EEA-3B3B2560787C}"/>
    <cellStyle name="Entrada 2 5 6 4 2" xfId="11841" xr:uid="{591E6D38-336F-4476-B1A5-DF15B07CFDAE}"/>
    <cellStyle name="Entrada 2 5 6 5" xfId="6639" xr:uid="{0273A970-40C2-4D4D-93C3-3FFA5563DF0B}"/>
    <cellStyle name="Entrada 2 5 6 5 2" xfId="12343" xr:uid="{BFE8A9EF-089D-42D2-BD93-66F77D929D07}"/>
    <cellStyle name="Entrada 2 5 6 6" xfId="7383" xr:uid="{2FFB86BB-0E2A-4080-9982-E1F095DC0136}"/>
    <cellStyle name="Entrada 2 5 6 6 2" xfId="12955" xr:uid="{E90153D8-4DF4-4CE7-A796-DF314EA59680}"/>
    <cellStyle name="Entrada 2 5 6 7" xfId="7916" xr:uid="{5C29FBC0-0F34-4940-809C-1D69F9D8FB77}"/>
    <cellStyle name="Entrada 2 5 6 7 2" xfId="13488" xr:uid="{36C6DD0E-36C1-41F8-AEDC-F4003FA6A63B}"/>
    <cellStyle name="Entrada 2 5 6 8" xfId="9168" xr:uid="{6C753770-1293-4BE2-B623-94D60DB29D7D}"/>
    <cellStyle name="Entrada 2 5 7" xfId="2862" xr:uid="{26F70AF1-7A1C-41F7-8928-5E1DA7751CDE}"/>
    <cellStyle name="Entrada 2 5 7 2" xfId="3786" xr:uid="{72CC7466-A2CB-43F8-9006-283684D6D0B0}"/>
    <cellStyle name="Entrada 2 5 7 2 2" xfId="9948" xr:uid="{310C92EE-DFEA-48E3-BB84-6440493FB08D}"/>
    <cellStyle name="Entrada 2 5 7 3" xfId="6757" xr:uid="{740D321B-64FB-4063-9D5A-69DFDD951F7C}"/>
    <cellStyle name="Entrada 2 5 7 3 2" xfId="12411" xr:uid="{E4E5B022-D63F-4170-AB3D-81C80028E4B2}"/>
    <cellStyle name="Entrada 2 5 7 4" xfId="7467" xr:uid="{CE6C037D-7737-4138-BEDE-7A875C17BDE0}"/>
    <cellStyle name="Entrada 2 5 7 4 2" xfId="13039" xr:uid="{CA0AA822-4FE5-4E70-9750-09D6D4E2D2FC}"/>
    <cellStyle name="Entrada 2 5 7 5" xfId="7976" xr:uid="{358050EC-1EF6-493C-A6CD-E2E1725A5262}"/>
    <cellStyle name="Entrada 2 5 7 5 2" xfId="13548" xr:uid="{92527500-BC63-4ACE-B976-7A501B5717D1}"/>
    <cellStyle name="Entrada 2 5 7 6" xfId="9228" xr:uid="{093B024B-7E92-497D-A9EA-FE850AD26A61}"/>
    <cellStyle name="Entrada 2 5 8" xfId="3306" xr:uid="{2C3BA2DD-1702-43F7-B33C-08EBB7227106}"/>
    <cellStyle name="Entrada 2 5 8 2" xfId="9588" xr:uid="{6A8D0325-2C93-49A9-8DB3-10AB091336C9}"/>
    <cellStyle name="Entrada 2 5 9" xfId="4473" xr:uid="{25C51B78-66D9-4127-891B-28CFFC61541C}"/>
    <cellStyle name="Entrada 2 5 9 2" xfId="10385" xr:uid="{3D3003F8-F23F-4D22-90DC-8492A7FC956D}"/>
    <cellStyle name="Entrada 2 6" xfId="1515" xr:uid="{C0B9E4E5-7369-41EA-BEE1-F36EB27BFAB2}"/>
    <cellStyle name="Entrada 2 6 10" xfId="4363" xr:uid="{E74BF5F4-676F-462A-97DE-462CE9B2907D}"/>
    <cellStyle name="Entrada 2 6 10 2" xfId="10323" xr:uid="{06077800-3A9B-415C-9709-28A86067C864}"/>
    <cellStyle name="Entrada 2 6 11" xfId="4418" xr:uid="{AFAF6C1A-13EB-4F4D-8810-3D45A8B7E6EF}"/>
    <cellStyle name="Entrada 2 6 11 2" xfId="10364" xr:uid="{3D09E2DD-F6B2-4B43-A129-2BC3E11F2AC7}"/>
    <cellStyle name="Entrada 2 6 12" xfId="5430" xr:uid="{39598DFA-8C80-4A65-8516-12BE4CB1FE80}"/>
    <cellStyle name="Entrada 2 6 12 2" xfId="11224" xr:uid="{82425407-3B0D-4866-8B19-4FDA67BB388A}"/>
    <cellStyle name="Entrada 2 6 13" xfId="5598" xr:uid="{69E6E463-ED98-4A08-9F24-BB6E2248B23B}"/>
    <cellStyle name="Entrada 2 6 13 2" xfId="11326" xr:uid="{626B54C5-AEC5-46D4-86A0-19367E85449E}"/>
    <cellStyle name="Entrada 2 6 14" xfId="5253" xr:uid="{90CB9277-F34A-4487-865B-0CC4334BCE89}"/>
    <cellStyle name="Entrada 2 6 14 2" xfId="11099" xr:uid="{C5FCC0F5-062E-4C4D-B0C4-421B61F7CADD}"/>
    <cellStyle name="Entrada 2 6 15" xfId="6001" xr:uid="{A394FA1C-9BDB-4447-84A9-65A5ED96110F}"/>
    <cellStyle name="Entrada 2 6 15 2" xfId="11713" xr:uid="{C4B4F474-8360-47BF-9E62-7EB86F97C13C}"/>
    <cellStyle name="Entrada 2 6 16" xfId="6007" xr:uid="{8D59EF5D-EBA3-4851-BF99-C264EAAB71C3}"/>
    <cellStyle name="Entrada 2 6 16 2" xfId="11719" xr:uid="{B4101FE4-4C1E-4D3D-A7B4-7F3CD6D1F10A}"/>
    <cellStyle name="Entrada 2 6 17" xfId="6407" xr:uid="{ACCAD430-A247-4108-A3D6-B503764BC563}"/>
    <cellStyle name="Entrada 2 6 17 2" xfId="12111" xr:uid="{CAD57726-A535-47CB-9AC0-4F86FDFDCD7E}"/>
    <cellStyle name="Entrada 2 6 18" xfId="6519" xr:uid="{5B5E7D4C-7096-4AA6-93CA-076AD07C382D}"/>
    <cellStyle name="Entrada 2 6 18 2" xfId="12223" xr:uid="{EE45A671-19C6-482E-8407-20DDA1453305}"/>
    <cellStyle name="Entrada 2 6 19" xfId="8446" xr:uid="{5F1EE52A-2115-4C04-8404-F2B5770D8C9B}"/>
    <cellStyle name="Entrada 2 6 19 2" xfId="13926" xr:uid="{90DC5742-AA8B-4A7C-BC29-7164F6981912}"/>
    <cellStyle name="Entrada 2 6 2" xfId="2426" xr:uid="{0D2EAF9B-9C26-4CAC-AA1E-502A9659246B}"/>
    <cellStyle name="Entrada 2 6 2 10" xfId="5686" xr:uid="{1CD5A413-4A1B-4332-8AE3-72376ABEACB6}"/>
    <cellStyle name="Entrada 2 6 2 10 2" xfId="11414" xr:uid="{1B3F5765-E5C9-4C17-95E6-9E8A057FBDB3}"/>
    <cellStyle name="Entrada 2 6 2 11" xfId="7303" xr:uid="{AC86796F-96AC-4CFE-B61F-FCC4891AD277}"/>
    <cellStyle name="Entrada 2 6 2 11 2" xfId="12875" xr:uid="{D897244B-06BD-46FF-B22D-4130D7A1C5EA}"/>
    <cellStyle name="Entrada 2 6 2 12" xfId="8640" xr:uid="{BBA77DA2-B8EC-4CE5-BCE4-F6CEC63307EA}"/>
    <cellStyle name="Entrada 2 6 2 12 2" xfId="14028" xr:uid="{94B8E78E-9548-4F0B-A210-BA739F6C4B32}"/>
    <cellStyle name="Entrada 2 6 2 13" xfId="8988" xr:uid="{EA32E51C-5924-4E26-AC73-7015CCD8AC9B}"/>
    <cellStyle name="Entrada 2 6 2 2" xfId="3014" xr:uid="{304B151A-685B-4F5A-AA68-E2647923E363}"/>
    <cellStyle name="Entrada 2 6 2 2 2" xfId="3954" xr:uid="{6B3CA6AD-EEEC-4D0F-893D-AE879A7A595D}"/>
    <cellStyle name="Entrada 2 6 2 2 2 2" xfId="10068" xr:uid="{0F8708EB-D5E9-4C3F-ADDE-E4E3ADAE0B07}"/>
    <cellStyle name="Entrada 2 6 2 2 3" xfId="6925" xr:uid="{70A149AB-AB70-4474-8883-574C5A6B5E21}"/>
    <cellStyle name="Entrada 2 6 2 2 3 2" xfId="12531" xr:uid="{87A14E97-D3DA-44E8-BC7F-4B82265417FF}"/>
    <cellStyle name="Entrada 2 6 2 2 4" xfId="7603" xr:uid="{FB82EC35-AB63-4B65-90A0-10DDF7414B48}"/>
    <cellStyle name="Entrada 2 6 2 2 4 2" xfId="13175" xr:uid="{68EE79AB-36B9-43BB-934C-9B3B28B1090F}"/>
    <cellStyle name="Entrada 2 6 2 2 5" xfId="8096" xr:uid="{127D34E5-06FF-4FEE-A3DE-A5DDC01B3FDA}"/>
    <cellStyle name="Entrada 2 6 2 2 5 2" xfId="13668" xr:uid="{693B8DDC-621B-426D-92E2-60F5CEC94FD5}"/>
    <cellStyle name="Entrada 2 6 2 2 6" xfId="9348" xr:uid="{A01D8FF5-0814-48F1-B6C5-2C286843A311}"/>
    <cellStyle name="Entrada 2 6 2 3" xfId="3474" xr:uid="{F8DF3D1D-A11B-4108-9047-731ED5327AFB}"/>
    <cellStyle name="Entrada 2 6 2 3 2" xfId="9708" xr:uid="{8C662B89-E532-4434-BF49-670C4F5C300F}"/>
    <cellStyle name="Entrada 2 6 2 4" xfId="4667" xr:uid="{C772910D-0737-4657-8012-A5530EBA9E83}"/>
    <cellStyle name="Entrada 2 6 2 4 2" xfId="10531" xr:uid="{E5382842-8370-4966-B7A5-1A6F372AE2D8}"/>
    <cellStyle name="Entrada 2 6 2 5" xfId="4906" xr:uid="{C2AE5F24-AD0B-4C49-9CAD-E01FDB7CCE4B}"/>
    <cellStyle name="Entrada 2 6 2 5 2" xfId="10752" xr:uid="{DAEDA6C1-A893-4AC3-9243-16CE11D84611}"/>
    <cellStyle name="Entrada 2 6 2 6" xfId="5062" xr:uid="{D029AC93-74ED-4A9B-9C10-4A915AC5BD15}"/>
    <cellStyle name="Entrada 2 6 2 6 2" xfId="10908" xr:uid="{58E7D341-07D0-44BA-BA4A-84561E544751}"/>
    <cellStyle name="Entrada 2 6 2 7" xfId="5832" xr:uid="{5F5DFA26-CD58-407E-9426-7745219200DC}"/>
    <cellStyle name="Entrada 2 6 2 7 2" xfId="11560" xr:uid="{B1CE5BF6-ECAF-435E-820D-9B97495C9D8F}"/>
    <cellStyle name="Entrada 2 6 2 8" xfId="5353" xr:uid="{4C6B4C50-9E8F-4AAA-AE1F-D2AA68BBA115}"/>
    <cellStyle name="Entrada 2 6 2 8 2" xfId="11185" xr:uid="{ADCE1904-5C9E-462A-8AAF-B7923998ADFE}"/>
    <cellStyle name="Entrada 2 6 2 9" xfId="6369" xr:uid="{42316526-B264-4C86-975B-BE1148F7F844}"/>
    <cellStyle name="Entrada 2 6 2 9 2" xfId="12073" xr:uid="{87C4B789-D75E-4E68-8E19-A4DEB087D2F2}"/>
    <cellStyle name="Entrada 2 6 20" xfId="8886" xr:uid="{CC0ADCBA-1CDF-4B86-B024-1D921183FF82}"/>
    <cellStyle name="Entrada 2 6 21" xfId="2232" xr:uid="{90BB4896-BA1D-40B4-880A-A28194B567B0}"/>
    <cellStyle name="Entrada 2 6 3" xfId="2531" xr:uid="{89FBCDBB-1BDE-4C06-9417-62B98FEDB2E8}"/>
    <cellStyle name="Entrada 2 6 3 10" xfId="7223" xr:uid="{8BEDA1CD-87CC-425F-9E26-2DBD13E80AFC}"/>
    <cellStyle name="Entrada 2 6 3 10 2" xfId="12795" xr:uid="{34F21A49-6EEB-4791-99A7-2D64D2A8F255}"/>
    <cellStyle name="Entrada 2 6 3 11" xfId="6408" xr:uid="{ADC5358B-4699-4C0D-80E6-983090C3B6CF}"/>
    <cellStyle name="Entrada 2 6 3 11 2" xfId="12112" xr:uid="{506CE298-11D3-45DD-B32D-B1FAD106C3AD}"/>
    <cellStyle name="Entrada 2 6 3 12" xfId="8745" xr:uid="{06779F50-7C1B-4EF3-A7F2-9D5B75F0ED5E}"/>
    <cellStyle name="Entrada 2 6 3 12 2" xfId="14101" xr:uid="{F50266A4-D1AD-4709-B987-D20027765667}"/>
    <cellStyle name="Entrada 2 6 3 13" xfId="9061" xr:uid="{AAB26DE3-AC59-4B2B-A8C8-B50A39718284}"/>
    <cellStyle name="Entrada 2 6 3 2" xfId="3087" xr:uid="{65839BD0-71E0-450A-9ED1-E482500814B0}"/>
    <cellStyle name="Entrada 2 6 3 2 2" xfId="4027" xr:uid="{E2CDBF43-A688-42E0-947C-A88DCE2F7914}"/>
    <cellStyle name="Entrada 2 6 3 2 2 2" xfId="10141" xr:uid="{15B5FE06-5C02-4A91-B597-796AD08CF06C}"/>
    <cellStyle name="Entrada 2 6 3 2 3" xfId="6998" xr:uid="{4518CE29-99FF-4E44-8B8C-53D3F0F1DD1D}"/>
    <cellStyle name="Entrada 2 6 3 2 3 2" xfId="12604" xr:uid="{DDB32DEB-B5F4-46D8-8FDB-AADFF82DF52F}"/>
    <cellStyle name="Entrada 2 6 3 2 4" xfId="7676" xr:uid="{EC6E4849-7BFD-4000-8574-0F693E35DCE7}"/>
    <cellStyle name="Entrada 2 6 3 2 4 2" xfId="13248" xr:uid="{A89F2DB0-4649-4715-94D4-2A804F2041BE}"/>
    <cellStyle name="Entrada 2 6 3 2 5" xfId="8169" xr:uid="{E5433CEC-E858-44F2-9E9B-9CB5ACAE0268}"/>
    <cellStyle name="Entrada 2 6 3 2 5 2" xfId="13741" xr:uid="{F650988B-2A07-408F-818C-FE34897AE5FF}"/>
    <cellStyle name="Entrada 2 6 3 2 6" xfId="9421" xr:uid="{1A365C90-418A-4EB6-8687-7E8B510B1E7B}"/>
    <cellStyle name="Entrada 2 6 3 3" xfId="3547" xr:uid="{E20F893B-83E7-4C78-9E8D-6A0ACB070C65}"/>
    <cellStyle name="Entrada 2 6 3 3 2" xfId="9781" xr:uid="{23738131-E8B5-4698-A82A-DEC68C29A0E1}"/>
    <cellStyle name="Entrada 2 6 3 4" xfId="4744" xr:uid="{DAB85312-2DB9-4AB3-A635-9ED1FAC21101}"/>
    <cellStyle name="Entrada 2 6 3 4 2" xfId="10608" xr:uid="{B4703D79-7305-4710-A895-CA3347997231}"/>
    <cellStyle name="Entrada 2 6 3 5" xfId="4987" xr:uid="{6E273177-95E7-40DB-A5E9-3016A4A18ABD}"/>
    <cellStyle name="Entrada 2 6 3 5 2" xfId="10833" xr:uid="{B766D9B5-2B91-428A-A572-B412857B98FA}"/>
    <cellStyle name="Entrada 2 6 3 6" xfId="5135" xr:uid="{2240CE8F-437A-44F6-ACAC-1603E88EBF09}"/>
    <cellStyle name="Entrada 2 6 3 6 2" xfId="10981" xr:uid="{27DFDDA0-D565-4551-9AA3-9671243EDBD5}"/>
    <cellStyle name="Entrada 2 6 3 7" xfId="5926" xr:uid="{52C5BA71-5571-4EBD-A042-91880CB4EE57}"/>
    <cellStyle name="Entrada 2 6 3 7 2" xfId="11654" xr:uid="{BEA6B898-033D-4BFA-95A8-F042527D241C}"/>
    <cellStyle name="Entrada 2 6 3 8" xfId="6256" xr:uid="{F58521EC-BED4-4119-AE86-5AB36519A089}"/>
    <cellStyle name="Entrada 2 6 3 8 2" xfId="11960" xr:uid="{2E1634DF-CA0F-4AE4-A709-90D53DE71F45}"/>
    <cellStyle name="Entrada 2 6 3 9" xfId="6458" xr:uid="{112D0FDE-505D-4CC2-9BE1-49A6935B1346}"/>
    <cellStyle name="Entrada 2 6 3 9 2" xfId="12162" xr:uid="{C10C798E-C38A-4D87-8149-9C79CD8418D3}"/>
    <cellStyle name="Entrada 2 6 4" xfId="2288" xr:uid="{D3664977-5589-44AB-BCFF-D6646B55CEF9}"/>
    <cellStyle name="Entrada 2 6 4 10" xfId="6008" xr:uid="{92D17D2C-E4E9-446E-A02C-D939836FAAB3}"/>
    <cellStyle name="Entrada 2 6 4 10 2" xfId="11720" xr:uid="{7D3AA474-ACDA-4D8C-9962-53B34A8B2650}"/>
    <cellStyle name="Entrada 2 6 4 11" xfId="7430" xr:uid="{929072FF-77E0-4EEA-99FA-75F84D596C78}"/>
    <cellStyle name="Entrada 2 6 4 11 2" xfId="13002" xr:uid="{E05EF2DA-E816-4228-9938-8DE6A6CE94FD}"/>
    <cellStyle name="Entrada 2 6 4 12" xfId="8502" xr:uid="{873DE0AB-8BBA-4642-A1EB-A74B6C7B60A6}"/>
    <cellStyle name="Entrada 2 6 4 12 2" xfId="13982" xr:uid="{0B3C0262-5D2E-44DF-9F94-0BD236550DEE}"/>
    <cellStyle name="Entrada 2 6 4 13" xfId="8942" xr:uid="{73D0A694-BF04-4FF8-B69E-5A5B57282FD2}"/>
    <cellStyle name="Entrada 2 6 4 2" xfId="2968" xr:uid="{DFFF92A1-2A7C-4F88-94FE-8D6A97CBC2D8}"/>
    <cellStyle name="Entrada 2 6 4 2 2" xfId="3908" xr:uid="{E13463D9-9B4F-476B-9DAA-0D7CD612C59A}"/>
    <cellStyle name="Entrada 2 6 4 2 2 2" xfId="10022" xr:uid="{607D6F5C-9A68-4E9D-A2C9-3BB4BEA1A60F}"/>
    <cellStyle name="Entrada 2 6 4 2 3" xfId="6879" xr:uid="{D57904F1-22C9-4F62-8A9B-433B251ACD16}"/>
    <cellStyle name="Entrada 2 6 4 2 3 2" xfId="12485" xr:uid="{6A3ABB9F-B934-4030-B421-3E9D519D2BD5}"/>
    <cellStyle name="Entrada 2 6 4 2 4" xfId="7557" xr:uid="{C5C9408B-A49F-4563-9F34-B60A4ECC494C}"/>
    <cellStyle name="Entrada 2 6 4 2 4 2" xfId="13129" xr:uid="{06895DBA-5A94-47D6-B775-6DA8FCC4F498}"/>
    <cellStyle name="Entrada 2 6 4 2 5" xfId="8050" xr:uid="{31084E06-4649-4815-B789-90E3638923F0}"/>
    <cellStyle name="Entrada 2 6 4 2 5 2" xfId="13622" xr:uid="{C98FFC0F-6621-4DBB-A290-BBF605D1DF62}"/>
    <cellStyle name="Entrada 2 6 4 2 6" xfId="9302" xr:uid="{25EA81DF-D898-4262-8509-E9A4F6AB92FF}"/>
    <cellStyle name="Entrada 2 6 4 3" xfId="3428" xr:uid="{9A1C539B-7226-4DE0-AE01-D0C51B3F98E9}"/>
    <cellStyle name="Entrada 2 6 4 3 2" xfId="9662" xr:uid="{11405D85-A5DC-4184-9AE7-558EAAF8EBAF}"/>
    <cellStyle name="Entrada 2 6 4 4" xfId="4595" xr:uid="{C754B405-6860-4F30-8F2B-9B9316A7D4F7}"/>
    <cellStyle name="Entrada 2 6 4 4 2" xfId="10459" xr:uid="{5AB7E172-B645-4E58-A7FA-CCA717467DD0}"/>
    <cellStyle name="Entrada 2 6 4 5" xfId="4840" xr:uid="{E72A6D54-E539-4B12-A819-435655F46338}"/>
    <cellStyle name="Entrada 2 6 4 5 2" xfId="10686" xr:uid="{4D5948B6-EBEA-47B3-B279-3CB74EAAE56D}"/>
    <cellStyle name="Entrada 2 6 4 6" xfId="4378" xr:uid="{DBEE880C-D1D2-4DDF-950B-5A5E28D201D2}"/>
    <cellStyle name="Entrada 2 6 4 6 2" xfId="10338" xr:uid="{36DED69B-C70A-47C3-853D-89E90C3E6F2D}"/>
    <cellStyle name="Entrada 2 6 4 7" xfId="5726" xr:uid="{342A5590-AE75-4918-B0E5-77F81A02C490}"/>
    <cellStyle name="Entrada 2 6 4 7 2" xfId="11454" xr:uid="{4AA6839B-070C-48ED-9B5A-C5A1D0155B85}"/>
    <cellStyle name="Entrada 2 6 4 8" xfId="5539" xr:uid="{47AD8F75-638B-4DA1-8B1A-38F2C7459424}"/>
    <cellStyle name="Entrada 2 6 4 8 2" xfId="11267" xr:uid="{C873B1F0-A674-4935-A54D-435DC5486DCE}"/>
    <cellStyle name="Entrada 2 6 4 9" xfId="5557" xr:uid="{759DFF0D-1E4B-4F7F-B146-CDECDA1DC9F2}"/>
    <cellStyle name="Entrada 2 6 4 9 2" xfId="11285" xr:uid="{2EA5FDF0-3EBC-4FC5-96F8-CE5935E3E3F4}"/>
    <cellStyle name="Entrada 2 6 5" xfId="2688" xr:uid="{0BC5AB26-673A-4253-A827-F04C9DE448B5}"/>
    <cellStyle name="Entrada 2 6 5 2" xfId="3152" xr:uid="{5CCC3EB3-E590-459E-ABF7-205693D0CA3B}"/>
    <cellStyle name="Entrada 2 6 5 2 2" xfId="4110" xr:uid="{21D7BAAD-B2C9-4192-B56D-93C2DBC99566}"/>
    <cellStyle name="Entrada 2 6 5 2 2 2" xfId="10206" xr:uid="{D579A7D8-4577-406D-A2A3-98660CE1BF0B}"/>
    <cellStyle name="Entrada 2 6 5 2 3" xfId="7081" xr:uid="{6328CD43-78ED-4FCF-9BB5-5F91D3D8BC9E}"/>
    <cellStyle name="Entrada 2 6 5 2 3 2" xfId="12669" xr:uid="{476E9EB1-5747-49E4-9C6A-2C682059EA50}"/>
    <cellStyle name="Entrada 2 6 5 2 4" xfId="7742" xr:uid="{CA26FEAE-DCCC-4F75-AF29-F0C3CE6CD4B1}"/>
    <cellStyle name="Entrada 2 6 5 2 4 2" xfId="13314" xr:uid="{94141CB3-5408-4BF8-9841-B397E3FA3BBF}"/>
    <cellStyle name="Entrada 2 6 5 2 5" xfId="8234" xr:uid="{2E4FE5AE-35D8-45D5-A5A4-9E8CC07ED8C1}"/>
    <cellStyle name="Entrada 2 6 5 2 5 2" xfId="13806" xr:uid="{D367A90C-3D47-4286-BBD8-7D2CE02E0DE6}"/>
    <cellStyle name="Entrada 2 6 5 2 6" xfId="9486" xr:uid="{6BA14E2B-DBBA-42CE-ADF1-666C3D1FC13B}"/>
    <cellStyle name="Entrada 2 6 5 3" xfId="3630" xr:uid="{8F83798E-03CA-4BF5-B6B4-6A71994CDF2A}"/>
    <cellStyle name="Entrada 2 6 5 3 2" xfId="9846" xr:uid="{775731FF-F24B-47FF-90FE-F7D99FBF359F}"/>
    <cellStyle name="Entrada 2 6 5 4" xfId="6067" xr:uid="{23BC5545-E384-48DB-9462-133557160D67}"/>
    <cellStyle name="Entrada 2 6 5 4 2" xfId="11779" xr:uid="{9EB27081-BB84-413F-BDB2-2206B4849442}"/>
    <cellStyle name="Entrada 2 6 5 5" xfId="6585" xr:uid="{A8611F0B-C8CC-4760-8230-AA2156AB89E3}"/>
    <cellStyle name="Entrada 2 6 5 5 2" xfId="12289" xr:uid="{2F1F7D95-EF13-47EA-940E-F9C246805F6F}"/>
    <cellStyle name="Entrada 2 6 5 6" xfId="7339" xr:uid="{C3B2B743-68AF-4C08-ACD2-E4C5AEB7CA87}"/>
    <cellStyle name="Entrada 2 6 5 6 2" xfId="12911" xr:uid="{AC09E901-222D-4D17-8669-25955B0282D2}"/>
    <cellStyle name="Entrada 2 6 5 7" xfId="7874" xr:uid="{E533F646-8D12-4A66-AEBE-A348A7227779}"/>
    <cellStyle name="Entrada 2 6 5 7 2" xfId="13446" xr:uid="{4B36E314-FFDF-4A64-8E4A-C330CA7E4A03}"/>
    <cellStyle name="Entrada 2 6 5 8" xfId="9126" xr:uid="{A306CC6F-1411-451E-A4CE-FB4844A46050}"/>
    <cellStyle name="Entrada 2 6 6" xfId="2780" xr:uid="{24529BCB-083C-459B-9542-FA5C7F3A68BC}"/>
    <cellStyle name="Entrada 2 6 6 2" xfId="3212" xr:uid="{AFFD056A-AA1A-4643-911D-F9EE498CF87A}"/>
    <cellStyle name="Entrada 2 6 6 2 2" xfId="4170" xr:uid="{3273B7EF-EC2C-4AA4-BCBF-83D3EDAB2EEB}"/>
    <cellStyle name="Entrada 2 6 6 2 2 2" xfId="10266" xr:uid="{E24EC8E9-02AE-4566-8CA6-B46F9C773242}"/>
    <cellStyle name="Entrada 2 6 6 2 3" xfId="7141" xr:uid="{C133C6E9-4D4A-464A-BB4D-9B5074BD982F}"/>
    <cellStyle name="Entrada 2 6 6 2 3 2" xfId="12729" xr:uid="{F1C82367-D330-4E5A-BF4D-9A2AF9432482}"/>
    <cellStyle name="Entrada 2 6 6 2 4" xfId="7802" xr:uid="{379C8EC9-A336-4CEC-A44D-211969FF1BC1}"/>
    <cellStyle name="Entrada 2 6 6 2 4 2" xfId="13374" xr:uid="{7D13192E-0144-4F66-B60D-96AA89B1C8EA}"/>
    <cellStyle name="Entrada 2 6 6 2 5" xfId="8294" xr:uid="{64CAC6B2-06F4-49B2-BA16-DEE51A3C6756}"/>
    <cellStyle name="Entrada 2 6 6 2 5 2" xfId="13866" xr:uid="{9BAF3B7A-B81F-4972-A387-F41635538F55}"/>
    <cellStyle name="Entrada 2 6 6 2 6" xfId="9546" xr:uid="{40207E12-6230-49D5-BEB3-E94D3E8F0476}"/>
    <cellStyle name="Entrada 2 6 6 3" xfId="3690" xr:uid="{F670E774-0E8C-4A26-91E7-F531E1FB9478}"/>
    <cellStyle name="Entrada 2 6 6 3 2" xfId="9906" xr:uid="{22CB2BBE-91FB-4F67-8D37-4C51729F911D}"/>
    <cellStyle name="Entrada 2 6 6 4" xfId="6147" xr:uid="{20DE497F-0021-4A44-BC5B-1B8D4A053EF6}"/>
    <cellStyle name="Entrada 2 6 6 4 2" xfId="11859" xr:uid="{C5714AC0-E09F-41CE-853E-0E2E5579939F}"/>
    <cellStyle name="Entrada 2 6 6 5" xfId="6657" xr:uid="{EC4BEEA4-9589-459A-B53F-CA93846FB20E}"/>
    <cellStyle name="Entrada 2 6 6 5 2" xfId="12361" xr:uid="{7AB249BE-7787-4E5C-9002-A3F9900AD770}"/>
    <cellStyle name="Entrada 2 6 6 6" xfId="7401" xr:uid="{B394A957-4C21-4BDB-B580-8A177344AD37}"/>
    <cellStyle name="Entrada 2 6 6 6 2" xfId="12973" xr:uid="{1EE25364-55DC-457C-B7D3-26A60E78B884}"/>
    <cellStyle name="Entrada 2 6 6 7" xfId="7934" xr:uid="{942BAE74-49BE-4AA8-9279-557F0775EFB9}"/>
    <cellStyle name="Entrada 2 6 6 7 2" xfId="13506" xr:uid="{A09D582C-AF55-46E4-896D-6FCBC12BA75C}"/>
    <cellStyle name="Entrada 2 6 6 8" xfId="9186" xr:uid="{6A7AFE1C-4081-464A-80EF-1D5FAEC17896}"/>
    <cellStyle name="Entrada 2 6 7" xfId="2880" xr:uid="{F90695E3-D3B1-4C99-B542-97B4E28EFFDA}"/>
    <cellStyle name="Entrada 2 6 7 2" xfId="3808" xr:uid="{5361C8E1-F283-48B3-B8B6-13A2D56AF2B7}"/>
    <cellStyle name="Entrada 2 6 7 2 2" xfId="9966" xr:uid="{26BF2A95-AF44-4517-B9F6-DC899AA0938A}"/>
    <cellStyle name="Entrada 2 6 7 3" xfId="6779" xr:uid="{60FD3B0A-9971-4F55-B7B3-BAD483C2B91B}"/>
    <cellStyle name="Entrada 2 6 7 3 2" xfId="12429" xr:uid="{34AAE3F8-94DD-4B0B-B0F2-3CC60B35DE73}"/>
    <cellStyle name="Entrada 2 6 7 4" xfId="7486" xr:uid="{A3A5BAFD-ADB3-4981-86D2-330183C0697E}"/>
    <cellStyle name="Entrada 2 6 7 4 2" xfId="13058" xr:uid="{8E0830C9-A2FF-4EE4-BBB8-8CD738AE0BBB}"/>
    <cellStyle name="Entrada 2 6 7 5" xfId="7994" xr:uid="{D7F14DD4-7E67-4248-86B8-1204D749EE33}"/>
    <cellStyle name="Entrada 2 6 7 5 2" xfId="13566" xr:uid="{C274F01B-EC5A-4AA3-92F8-4B662736A20F}"/>
    <cellStyle name="Entrada 2 6 7 6" xfId="9246" xr:uid="{8B29E516-4412-47A1-B9AA-EE229633982D}"/>
    <cellStyle name="Entrada 2 6 8" xfId="3328" xr:uid="{DFDAF8E3-850B-43AA-B45B-AC4A80E70F27}"/>
    <cellStyle name="Entrada 2 6 8 2" xfId="9606" xr:uid="{DCE7187A-8A03-43AF-928D-C865DD075762}"/>
    <cellStyle name="Entrada 2 6 9" xfId="4495" xr:uid="{D21CEBE3-796C-4D9B-846F-D8ECFEF734AA}"/>
    <cellStyle name="Entrada 2 6 9 2" xfId="10403" xr:uid="{16995A48-6926-4287-8F57-CFFDD9A8E12E}"/>
    <cellStyle name="Entrada 2 7" xfId="1529" xr:uid="{DF6CE30D-ED99-496E-87A3-F516ACA347A5}"/>
    <cellStyle name="Entrada 2 7 2" xfId="4242" xr:uid="{47ADB7B7-8D39-4615-880F-BAA8DD897E18}"/>
    <cellStyle name="Entrada 2 8" xfId="1628" xr:uid="{461EAE0F-32A5-4492-A1B2-F40BEB73FFB0}"/>
    <cellStyle name="Entrada 2 8 2" xfId="2047" xr:uid="{1F30957D-C715-415F-A7A4-65A00242E342}"/>
    <cellStyle name="Entrada 2 9" xfId="1643" xr:uid="{87747B91-BDBD-44A4-BF64-0606F8B65502}"/>
    <cellStyle name="Estilo 1" xfId="268" xr:uid="{B1779177-EA42-4E53-85BE-8B82E4945B27}"/>
    <cellStyle name="Estilo 1 2" xfId="1740" xr:uid="{E1118D8F-67B3-4D97-BDF0-C919F6614CC8}"/>
    <cellStyle name="Estilo 1 2 2" xfId="4243" xr:uid="{D1EC2CF0-2F3F-4BAF-A6B0-FDAA27EBF04D}"/>
    <cellStyle name="Estilo 1 3" xfId="1739" xr:uid="{A62F2B3A-DEDB-4B45-9352-D00A5DA75F62}"/>
    <cellStyle name="Estilo 1_71) Minuta Nº71 de Reunion  09-03-2012" xfId="1741" xr:uid="{C2A46C35-A8EC-4E26-827F-532AFEDA90AA}"/>
    <cellStyle name="Euro" xfId="56" xr:uid="{B0B197BB-3DA5-45C0-9DF0-448799AD47D2}"/>
    <cellStyle name="Euro 2" xfId="270" xr:uid="{A0100826-EBDD-434B-8800-6AE8777E79A9}"/>
    <cellStyle name="Euro 2 2" xfId="376" xr:uid="{3DD6E4B9-DB22-460A-934D-D1F6C7A6EBE1}"/>
    <cellStyle name="Euro 2 2 2" xfId="4245" xr:uid="{D0F34AC5-3FD4-449F-8764-38470B105B3A}"/>
    <cellStyle name="Euro 2 3" xfId="299" xr:uid="{A2747A1E-C27F-43AA-881E-E6E82C98673E}"/>
    <cellStyle name="Euro 2 3 2" xfId="2065" xr:uid="{C3ABEFD0-2375-4511-A642-839B3163134C}"/>
    <cellStyle name="Euro 2 4" xfId="1743" xr:uid="{796FB6C6-3309-4F5E-89AB-FB4FBCDE4CF9}"/>
    <cellStyle name="Euro 3" xfId="271" xr:uid="{46587656-A0C9-4562-814A-4DAFD8F130B3}"/>
    <cellStyle name="Euro 3 2" xfId="375" xr:uid="{D04A1725-26AF-4511-8C10-2178D01D99FF}"/>
    <cellStyle name="Euro 3 2 2" xfId="4246" xr:uid="{4AD02715-AD68-461A-977C-7538D6D4831D}"/>
    <cellStyle name="Euro 3 3" xfId="368" xr:uid="{4C4686F5-EEB9-4A28-B4B2-FB65CE771D26}"/>
    <cellStyle name="Euro 3 3 2" xfId="2063" xr:uid="{6400AB8E-EE00-45AC-ABAD-B3B3B5DCE40E}"/>
    <cellStyle name="Euro 3 4" xfId="1744" xr:uid="{F0EE6973-C1B5-4C2C-8218-924D5BBF31A3}"/>
    <cellStyle name="Euro 4" xfId="297" xr:uid="{FC8A22A7-FEE7-4647-AB8D-BD6B15CD360C}"/>
    <cellStyle name="Euro 4 2" xfId="4279" xr:uid="{6D57C02A-78D1-4275-A143-F5AF9A31B26D}"/>
    <cellStyle name="Euro 4 3" xfId="2076" xr:uid="{EAFFE789-9376-49AF-90CD-C114372E9227}"/>
    <cellStyle name="Euro 4 4" xfId="1742" xr:uid="{E7FD2D73-9862-4831-91B0-2F8737A01050}"/>
    <cellStyle name="Euro 5" xfId="298" xr:uid="{569C69AC-EE27-4A67-83EE-7BEFA194DE94}"/>
    <cellStyle name="Euro 5 2" xfId="4244" xr:uid="{D344CA7F-B8BB-4482-99FA-72899EEFE5A6}"/>
    <cellStyle name="Euro 6" xfId="269" xr:uid="{2D4FC564-26CA-4218-99FC-C425D1157A51}"/>
    <cellStyle name="Explanatory Text" xfId="415" xr:uid="{59C3E9AF-342A-453F-888E-4EF83795870B}"/>
    <cellStyle name="Explanatory Text 2" xfId="1489" xr:uid="{9374B29D-0C8D-4D1B-88B3-81C4414093DE}"/>
    <cellStyle name="F2" xfId="1745" xr:uid="{6F917DBB-418B-4092-80A7-4969D3AAE4DB}"/>
    <cellStyle name="F3" xfId="1746" xr:uid="{3C2B03EA-FA17-4363-AE91-6E0700A75A5A}"/>
    <cellStyle name="F4" xfId="1747" xr:uid="{A9F1299D-8A79-47CD-A10A-1F9DDE2D4437}"/>
    <cellStyle name="F5" xfId="1748" xr:uid="{4F7F49C7-C0C7-44FC-92FB-FF51F6C55416}"/>
    <cellStyle name="F6" xfId="1749" xr:uid="{0D20904B-7C30-404B-A666-B7D7E4283B8B}"/>
    <cellStyle name="F7" xfId="1750" xr:uid="{12EBEB23-B09C-48AC-9E32-B400CB238A8F}"/>
    <cellStyle name="F8" xfId="1751" xr:uid="{D8A12277-CBE4-44E9-A442-D13DE29E4F90}"/>
    <cellStyle name="Fecha" xfId="1752" xr:uid="{557E0C79-084A-4959-8D1B-1A8EFB43A18F}"/>
    <cellStyle name="Fijo" xfId="296" xr:uid="{BABEB75D-8D7D-4A3E-8B61-700E311AEC7A}"/>
    <cellStyle name="Fijo 2" xfId="4278" xr:uid="{21BA6A5B-A0AA-4212-B273-231EC3FF492B}"/>
    <cellStyle name="Fixed" xfId="1753" xr:uid="{40ECA916-EF5E-457E-AAA9-403C647A693D}"/>
    <cellStyle name="Fixed 2" xfId="15681" xr:uid="{308FCF6E-C168-4C6B-AD60-047474453044}"/>
    <cellStyle name="Good" xfId="416" xr:uid="{646A4F47-CCDF-4E5A-83F0-77C5369C63D3}"/>
    <cellStyle name="Good 2" xfId="1490" xr:uid="{F0C3BB19-75EF-41D5-9A70-E86F957E2FE1}"/>
    <cellStyle name="Good 2 2" xfId="1597" xr:uid="{C7FE4E01-519B-4D97-877C-39CB964922C8}"/>
    <cellStyle name="Grey" xfId="15682" xr:uid="{D1B1A6D7-8390-4C52-A0D6-7EE7201F8FB3}"/>
    <cellStyle name="header" xfId="15683" xr:uid="{3843E638-6329-4A15-B99E-289DCBB9EE10}"/>
    <cellStyle name="Header1" xfId="15684" xr:uid="{AC8C07CD-D4D3-41BF-9562-D7312E13CA90}"/>
    <cellStyle name="Header2" xfId="15685" xr:uid="{C1F609F4-415C-428B-AFBE-17D0D237468C}"/>
    <cellStyle name="Heading 1" xfId="417" xr:uid="{40ED5749-4DCE-408A-B438-B4BF3DE44822}"/>
    <cellStyle name="Heading 1 2" xfId="1491" xr:uid="{7C7D9690-F613-46B2-BDF1-574A0C270535}"/>
    <cellStyle name="Heading 2" xfId="418" xr:uid="{EFAF54ED-04DF-44C3-B24E-7BFE22F342FF}"/>
    <cellStyle name="Heading 2 2" xfId="1492" xr:uid="{D47C1866-370E-4FFB-814A-4CA1E718FFCB}"/>
    <cellStyle name="Heading 3" xfId="419" xr:uid="{D3662969-6B94-463B-95D5-FF2EADDA93CC}"/>
    <cellStyle name="Heading 3 2" xfId="1493" xr:uid="{3BE21EFF-33B8-4DE0-A320-ABEAF5184E5D}"/>
    <cellStyle name="Heading 3 3" xfId="1644" xr:uid="{D9A5F4DE-B0E6-4D57-919A-55104B4BA424}"/>
    <cellStyle name="Heading 4" xfId="420" xr:uid="{2F7BF38D-5A9F-43F8-AEA5-86BA14029A66}"/>
    <cellStyle name="Heading 4 2" xfId="1494" xr:uid="{B1F0E2C5-4DB5-4882-8E3D-C4813FE4572A}"/>
    <cellStyle name="Hipervínculo" xfId="5" builtinId="8"/>
    <cellStyle name="Hipervínculo 2" xfId="59" xr:uid="{6AD7AD08-B8C0-4219-BD48-681B32705BFA}"/>
    <cellStyle name="Incorrecto" xfId="12" builtinId="27" customBuiltin="1"/>
    <cellStyle name="Incorrecto 2" xfId="272" xr:uid="{6AE0F7CB-D541-431F-ADD1-597F602134C4}"/>
    <cellStyle name="Incorrecto 2 2" xfId="369" xr:uid="{90286095-8189-4234-8ECB-DC4A0623284F}"/>
    <cellStyle name="Incorrecto 2 2 2" xfId="4247" xr:uid="{3EBB6792-7A52-43F7-88DB-85259BBA7CC8}"/>
    <cellStyle name="Incorrecto 2 3" xfId="333" xr:uid="{ED62EFFA-80E3-4008-8543-255D2FCF7605}"/>
    <cellStyle name="Incorrecto 3" xfId="1754" xr:uid="{72EC7269-52CA-4310-87E1-B15517D76DAB}"/>
    <cellStyle name="Incorrecto 3 2" xfId="4300" xr:uid="{0EAC0F15-F810-44B8-BA30-1D0B3BE71641}"/>
    <cellStyle name="Input" xfId="421" xr:uid="{ADD4B142-D008-44AB-840E-B9850AADC61D}"/>
    <cellStyle name="Input [yellow]" xfId="15686" xr:uid="{EAF403C1-40E7-415A-9C48-52D5E87329F1}"/>
    <cellStyle name="Input 2" xfId="1495" xr:uid="{3D050A76-2181-4CA5-95EC-AC93968679BB}"/>
    <cellStyle name="Input 2 2" xfId="1598" xr:uid="{E42B5B81-2F6D-4BDB-B893-A9222E733ABB}"/>
    <cellStyle name="Input 2 3" xfId="1622" xr:uid="{21AF78D5-AA30-4D68-AF79-958B76EF79B3}"/>
    <cellStyle name="Input 2 4" xfId="1627" xr:uid="{8D3073A4-49AA-4072-8A4E-E07F9E92C160}"/>
    <cellStyle name="Linked Cell" xfId="422" xr:uid="{8B2ECB1E-6854-4F55-B1C4-12CD126CEE22}"/>
    <cellStyle name="Linked Cell 2" xfId="1496" xr:uid="{850F7784-10F5-4A9B-AD36-60323406F054}"/>
    <cellStyle name="Millares [0] 2" xfId="234" xr:uid="{4BF661C1-F3B4-4C1F-8A52-179D56BB97B0}"/>
    <cellStyle name="Millares [0] 2 2" xfId="237" xr:uid="{B190C6DB-DC43-432A-B3F7-AB3827CAB615}"/>
    <cellStyle name="Millares [0] 2 2 2" xfId="1437" xr:uid="{B670BCA1-E3EA-4596-883B-A762BC611DEB}"/>
    <cellStyle name="Millares [0] 2 2 2 2" xfId="1461" xr:uid="{8517404A-2EF5-416E-A3A3-4725DB1B3DF2}"/>
    <cellStyle name="Millares [0] 2 2 2 3" xfId="1550" xr:uid="{DAEEADA7-C95F-4E96-ACD9-B3BA16CC5E07}"/>
    <cellStyle name="Millares [0] 2 2 3" xfId="1458" xr:uid="{41148A00-6155-497F-960D-E486CDDA9B12}"/>
    <cellStyle name="Millares [0] 2 2 4" xfId="1511" xr:uid="{543A96C7-769C-43D2-8349-03DBAB09136B}"/>
    <cellStyle name="Millares [0] 2 3" xfId="1435" xr:uid="{9215B9E1-BAD5-46A6-BF3D-2A4271468778}"/>
    <cellStyle name="Millares [0] 2 3 2" xfId="1459" xr:uid="{B4679A42-CF30-4673-9602-8ED40E3CFAB3}"/>
    <cellStyle name="Millares [0] 2 3 3" xfId="1548" xr:uid="{3FBF56B9-C87F-4C6D-8CEB-1A72CA4666EF}"/>
    <cellStyle name="Millares [0] 2 4" xfId="1456" xr:uid="{DE608B69-B3E2-4C54-B0BB-441412D28597}"/>
    <cellStyle name="Millares [0] 2 5" xfId="1509" xr:uid="{75446A9F-3183-4C6D-91BA-A719F501C585}"/>
    <cellStyle name="Millares [0] 2 6" xfId="2032" xr:uid="{9DBE5C11-4D67-441E-8C23-558812330274}"/>
    <cellStyle name="Millares [0] 2 7" xfId="15711" xr:uid="{9C9E62A0-EF08-40F2-A6E9-8E47313CE0E4}"/>
    <cellStyle name="Millares [0] 2 8" xfId="15715" xr:uid="{B5F4DC74-F0A4-4A48-A6FC-8C54A580C9E7}"/>
    <cellStyle name="Millares [0] 2 9" xfId="15716" xr:uid="{30CEB263-135E-46B9-A69A-978A25730B15}"/>
    <cellStyle name="Millares [0] 3" xfId="236" xr:uid="{D9EF53BD-05EB-4398-B5D6-708C4B5183A7}"/>
    <cellStyle name="Millares [0] 3 2" xfId="1436" xr:uid="{C817F00E-B16D-48FD-B763-C7C2C72D2ECD}"/>
    <cellStyle name="Millares [0] 3 2 2" xfId="1460" xr:uid="{E8FE205E-0410-4C3D-80A7-9E78DB304E45}"/>
    <cellStyle name="Millares [0] 3 2 3" xfId="1549" xr:uid="{DBF4386C-AF5B-49E7-949E-734C2031D070}"/>
    <cellStyle name="Millares [0] 3 3" xfId="1457" xr:uid="{D5FB8FF1-F475-45A0-B0A8-DEF016DC3DEB}"/>
    <cellStyle name="Millares [0] 3 4" xfId="1510" xr:uid="{EF26AB46-EB21-4EAB-81B1-DCB023099B06}"/>
    <cellStyle name="Millares [0] 3 5" xfId="2035" xr:uid="{DE05963B-26D8-4AD7-B93E-B6C2143544B6}"/>
    <cellStyle name="Millares [0] 4" xfId="2041" xr:uid="{B40673ED-B6CE-42C3-9455-1053DECA9AB0}"/>
    <cellStyle name="Millares 2" xfId="58" xr:uid="{E5F55D16-5018-46C4-9F7D-8D7E1F52856C}"/>
    <cellStyle name="Millares 2 2" xfId="67" xr:uid="{3805DE08-FF2D-4B46-AFDF-5F32452923CA}"/>
    <cellStyle name="Millares 2 2 2" xfId="154" xr:uid="{D17C50EC-9973-45B9-8FAA-8C4417090713}"/>
    <cellStyle name="Millares 2 2 3" xfId="922" xr:uid="{8D8ADF38-2E78-47AB-9026-A008ACE881D6}"/>
    <cellStyle name="Millares 2 3" xfId="149" xr:uid="{DB531A19-0C62-4967-BEE6-06E841E17A15}"/>
    <cellStyle name="Millares 2 4" xfId="304" xr:uid="{F6988386-7F2F-4D51-A4E0-4E8959372BBA}"/>
    <cellStyle name="Millares 2 5" xfId="1629" xr:uid="{C437CBC6-190F-423B-897B-EE71816940BE}"/>
    <cellStyle name="Millares 3" xfId="65" xr:uid="{A6AD42DB-EE38-4278-80F5-5EC414D332E1}"/>
    <cellStyle name="Millares 3 2" xfId="153" xr:uid="{1356647A-A4D4-4965-945D-5AF8412056F3}"/>
    <cellStyle name="Millares 3 3" xfId="1755" xr:uid="{437A793B-2F1E-40CA-9A7F-2D75D4F4F070}"/>
    <cellStyle name="Millares 4" xfId="78" xr:uid="{92782D16-0DC8-4FAE-BB41-5FF76F7FC8FE}"/>
    <cellStyle name="Millares 4 2" xfId="166" xr:uid="{0B2D1EF3-1270-4B34-B28D-4F91C2D94B45}"/>
    <cellStyle name="Millares 4 3" xfId="1756" xr:uid="{502FC04F-BCAF-4029-AAB8-22CAFC3D97E6}"/>
    <cellStyle name="Millares 5" xfId="144" xr:uid="{BE258056-776B-4B02-A74E-65EC467BCBC6}"/>
    <cellStyle name="Millares 6" xfId="15714" xr:uid="{E96C9782-8240-4258-9DEC-6F82ED08FD17}"/>
    <cellStyle name="MODELO-1" xfId="1757" xr:uid="{BD648506-9682-41ED-8858-C762B490593F}"/>
    <cellStyle name="Moeda_Impostos IV" xfId="1758" xr:uid="{1AE2AE50-AD5D-4A0F-BB20-BB97AA86D066}"/>
    <cellStyle name="Moneda 2" xfId="60" xr:uid="{AD83FA93-3826-47A1-9B61-979EA0C5EB71}"/>
    <cellStyle name="Moneda 2 2" xfId="150" xr:uid="{83070CB8-9797-4227-B99F-EB479A2B9B8D}"/>
    <cellStyle name="Moneda 2 2 2" xfId="15267" xr:uid="{BFE6E08A-3D51-4D04-A794-BD1518CC1BAD}"/>
    <cellStyle name="Moneda 2 3" xfId="4283" xr:uid="{B178AE73-521A-4662-8C33-2AEDB56EBE07}"/>
    <cellStyle name="Moneda0" xfId="1759" xr:uid="{60882703-C24F-45DD-A8B8-21A2EA4AA0C8}"/>
    <cellStyle name="Monetario" xfId="1760" xr:uid="{6C26C484-B6BF-4206-AE4F-0767D701BB7B}"/>
    <cellStyle name="Monetario0" xfId="1761" xr:uid="{C270D500-68D7-4991-A701-734652BF03F4}"/>
    <cellStyle name="Neutral" xfId="13" builtinId="28" customBuiltin="1"/>
    <cellStyle name="Neutral 2" xfId="273" xr:uid="{61C41026-092A-4E07-BD60-EACBAAF825D7}"/>
    <cellStyle name="Neutral 2 2" xfId="370" xr:uid="{F88F5074-620C-4328-B732-AED47C40F508}"/>
    <cellStyle name="Neutral 2 3" xfId="383" xr:uid="{CD749974-6ADC-4828-857C-468C2394D390}"/>
    <cellStyle name="Neutral 2 3 2" xfId="4248" xr:uid="{F95CA50C-F9D8-4B71-83FD-5404BD7792BD}"/>
    <cellStyle name="Neutral 2 4" xfId="334" xr:uid="{E1B92FC7-829A-48F6-BB16-0AE755D16F56}"/>
    <cellStyle name="Neutral 2 4 2" xfId="2054" xr:uid="{883F610D-AD3F-45EC-A2AE-A415AB7F3475}"/>
    <cellStyle name="Neutral 3" xfId="1508" xr:uid="{B3C677C6-396D-4116-A618-2B89508E3692}"/>
    <cellStyle name="No-definido" xfId="1762" xr:uid="{FF5AF2CA-63D8-4FA4-A167-9C927A325B93}"/>
    <cellStyle name="Normal" xfId="0" builtinId="0"/>
    <cellStyle name="Normal - Estilo1" xfId="1763" xr:uid="{B6CB0C4F-57E2-449B-9E6F-DF30999BEC19}"/>
    <cellStyle name="Normal - Estilo2" xfId="1764" xr:uid="{0DC9298C-D1D8-4FAE-89B8-0D57E33E86EE}"/>
    <cellStyle name="Normal - Estilo3" xfId="1765" xr:uid="{26517FBE-8C77-4199-93A3-2F86DC7A0BF3}"/>
    <cellStyle name="Normal - Estilo4" xfId="1766" xr:uid="{5521EAE2-B5CB-4C91-AEC9-2F7E52AF8FCC}"/>
    <cellStyle name="Normal - Estilo5" xfId="1767" xr:uid="{C231B971-DB6C-448F-9069-A4879F426104}"/>
    <cellStyle name="Normal - Estilo6" xfId="1768" xr:uid="{6C48FADF-8FDF-4771-AC29-56A9F0B50369}"/>
    <cellStyle name="Normal - Estilo7" xfId="1769" xr:uid="{FD9B589D-6173-4390-BE0D-F79EAEB75DD7}"/>
    <cellStyle name="Normal - Estilo8" xfId="1770" xr:uid="{C74B4B7E-7704-4182-A1C0-08FB402FE5BA}"/>
    <cellStyle name="Normal - Modelo1" xfId="1771" xr:uid="{AE9E1E1A-8E33-4777-94B6-93F0DEA1D0D0}"/>
    <cellStyle name="Normal - Modelo2" xfId="1772" xr:uid="{4FB28589-4F84-4A41-A407-213E3620C767}"/>
    <cellStyle name="Normal - Modelo3" xfId="1773" xr:uid="{0A0024CA-10EE-419E-BB5B-090D4B0EFCDC}"/>
    <cellStyle name="Normal - Modelo4" xfId="1774" xr:uid="{156C4A65-5791-47BB-B9C6-AECA94FA8E83}"/>
    <cellStyle name="Normal - Modelo5" xfId="1775" xr:uid="{A15FCC02-A40D-4EFA-93CE-97C56C1E131D}"/>
    <cellStyle name="Normal - Modelo6" xfId="1776" xr:uid="{140932A6-61D2-4CC6-94E1-5E879BC773E1}"/>
    <cellStyle name="Normal - Modelo7" xfId="1777" xr:uid="{9329F7A9-22F8-468E-BC89-6A1F61FA2725}"/>
    <cellStyle name="Normal - Modelo8" xfId="1778" xr:uid="{284851D6-DED0-48CA-B54C-B70DB377AE5B}"/>
    <cellStyle name="Normal - Style1" xfId="15677" xr:uid="{F8F14259-AF7D-4D7F-A919-91810DCC8925}"/>
    <cellStyle name="Normal 10" xfId="55" xr:uid="{4B55BB6C-D440-4336-A9D5-AAD825A91648}"/>
    <cellStyle name="Normal 10 2" xfId="165" xr:uid="{47A78D86-E45F-41E6-A1C7-D29D2862E99C}"/>
    <cellStyle name="Normal 10 2 2" xfId="295" xr:uid="{C1D189A8-2CE2-497B-AF08-0E33732C36E0}"/>
    <cellStyle name="Normal 10 2 2 2" xfId="4276" xr:uid="{7AFF4EA8-AC04-49EB-96D8-215B1904BF4C}"/>
    <cellStyle name="Normal 10 2 3" xfId="2075" xr:uid="{5AB2A84C-FBAF-4DAD-ADED-92B5F87EC9ED}"/>
    <cellStyle name="Normal 10 2 4" xfId="1779" xr:uid="{420655A4-E353-4680-95FA-A6391693C6C8}"/>
    <cellStyle name="Normal 10 3" xfId="76" xr:uid="{DC2D493E-83A9-4F5F-B8E9-3DB5792D6700}"/>
    <cellStyle name="Normal 10 3 2" xfId="4277" xr:uid="{8991B6CE-EF94-4425-BF5C-243E227AA193}"/>
    <cellStyle name="Normal 100" xfId="2013" xr:uid="{30E8B315-57CD-47F3-8163-FB6AF1587B32}"/>
    <cellStyle name="Normal 101" xfId="2014" xr:uid="{FBDE44C3-259E-48EF-91B6-5FEE1310C423}"/>
    <cellStyle name="Normal 102" xfId="2015" xr:uid="{DAB95CB0-AB05-41C2-922E-1B2DEF8AA856}"/>
    <cellStyle name="Normal 103" xfId="2016" xr:uid="{B84A0933-4B16-4453-B0F6-8530D29E8B0F}"/>
    <cellStyle name="Normal 104" xfId="2017" xr:uid="{C4CAECFA-2880-44DD-9D7F-BC1C9415C09E}"/>
    <cellStyle name="Normal 105" xfId="2018" xr:uid="{4D6F543A-F597-4AB3-91A8-2CAC09C13D62}"/>
    <cellStyle name="Normal 106" xfId="2019" xr:uid="{05CFA479-D690-4577-A6C1-E9EFE93D2EDF}"/>
    <cellStyle name="Normal 107" xfId="2020" xr:uid="{1C0764CE-590B-4F76-A136-0EEBA3292BDE}"/>
    <cellStyle name="Normal 108" xfId="2021" xr:uid="{7707E2AA-4450-419B-8610-CA8B97068A58}"/>
    <cellStyle name="Normal 109" xfId="2022" xr:uid="{52318B31-BF8E-4AC3-9F18-93E5BDFA9F4D}"/>
    <cellStyle name="Normal 109 2" xfId="4281" xr:uid="{161159B5-72CB-4E4D-B5CE-C650D66C905F}"/>
    <cellStyle name="Normal 109 3" xfId="2043" xr:uid="{5C07E709-99C1-4DC9-8F54-E12DDB7EB5C2}"/>
    <cellStyle name="Normal 109 3 2" xfId="2166" xr:uid="{E1ABAABB-F237-4023-A815-E945E6DC8C91}"/>
    <cellStyle name="Normal 11" xfId="61" xr:uid="{6D6E663B-B0DD-4104-9F0A-62BA019FA0A5}"/>
    <cellStyle name="Normal 11 2" xfId="339" xr:uid="{7B83F794-A0CB-4B46-B4FC-DBAAE08F61DC}"/>
    <cellStyle name="Normal 11 2 2" xfId="4284" xr:uid="{6FC1B03B-BFAE-4DFC-9A3F-E1F0A61ED8FA}"/>
    <cellStyle name="Normal 11 2 3" xfId="1780" xr:uid="{1AA25361-4B23-4708-930A-52FFBE1CE786}"/>
    <cellStyle name="Normal 110" xfId="2023" xr:uid="{8B1657A1-91F7-44E5-86A3-13CF38085EEF}"/>
    <cellStyle name="Normal 111" xfId="2024" xr:uid="{D862EC41-621D-4039-9346-EADD146ABE9C}"/>
    <cellStyle name="Normal 112" xfId="2025" xr:uid="{2BB31BC2-9217-4B08-9354-0282C15E081F}"/>
    <cellStyle name="Normal 113" xfId="2026" xr:uid="{DCB01142-2BEA-42DE-861D-90F90A708E6C}"/>
    <cellStyle name="Normal 114" xfId="2027" xr:uid="{A63304EA-64B6-47DE-B334-46982061BD28}"/>
    <cellStyle name="Normal 115" xfId="2028" xr:uid="{CC3C0600-9F59-4CED-B814-FDD1ECC0C4AF}"/>
    <cellStyle name="Normal 116" xfId="2029" xr:uid="{CD19D4DD-9CBF-4D93-B9F8-52FFD0D0813C}"/>
    <cellStyle name="Normal 117" xfId="2036" xr:uid="{9D812A22-10E0-442D-91C6-49098CB313D1}"/>
    <cellStyle name="Normal 118" xfId="2038" xr:uid="{71E93E5C-0291-457D-B95C-1E9A21580D56}"/>
    <cellStyle name="Normal 119" xfId="2039" xr:uid="{07E998B4-95D1-4EDF-A31F-1B9CAD972B8E}"/>
    <cellStyle name="Normal 12" xfId="92" xr:uid="{BA0BB954-CF51-4F23-BA81-AEB3B4F8D6F9}"/>
    <cellStyle name="Normal 12 2" xfId="179" xr:uid="{76322266-CCB5-4523-83C1-3F299830FCE9}"/>
    <cellStyle name="Normal 12 2 2" xfId="1497" xr:uid="{89BF34EE-33ED-4603-B534-CC12BCCC0B3A}"/>
    <cellStyle name="Normal 12 2 3" xfId="4249" xr:uid="{47D63DB9-964C-4FD0-8ADB-2A75B318E1FE}"/>
    <cellStyle name="Normal 12 3" xfId="274" xr:uid="{F4A15ABD-5064-489B-AE2A-F782CBB08F6B}"/>
    <cellStyle name="Normal 12 3 2" xfId="2164" xr:uid="{D8E4D77A-43AE-4410-8E86-3CF342901F18}"/>
    <cellStyle name="Normal 12 3 3" xfId="1665" xr:uid="{0DC6DF3A-ABCA-4CE0-BF52-2633F3DAB1E4}"/>
    <cellStyle name="Normal 120" xfId="2042" xr:uid="{3300DB38-18AC-4E64-B992-B1FE1B0A3C65}"/>
    <cellStyle name="Normal 121" xfId="15676" xr:uid="{7D938CE9-F02A-42ED-961E-A125B8EF8683}"/>
    <cellStyle name="Normal 13" xfId="105" xr:uid="{D194A00F-4DEB-4DDA-9C6A-5BAF4A39515E}"/>
    <cellStyle name="Normal 13 2" xfId="192" xr:uid="{25E4BDF7-9806-4536-991A-22C3504D57F3}"/>
    <cellStyle name="Normal 13 2 2" xfId="464" xr:uid="{993A9770-9489-4BC6-8796-D581790ED76E}"/>
    <cellStyle name="Normal 13 3" xfId="427" xr:uid="{CDFC7DFD-61EB-4B83-A22C-6C0D4CB68DC2}"/>
    <cellStyle name="Normal 13 4" xfId="1781" xr:uid="{65D7DE9C-72A8-494A-A9B4-2DF553F36AEC}"/>
    <cellStyle name="Normal 13 5" xfId="15691" xr:uid="{618B25A9-C35A-446C-95F1-F3FAFD085746}"/>
    <cellStyle name="Normal 14" xfId="118" xr:uid="{5DED0C3A-7132-4FE8-A368-AE9AF02D692B}"/>
    <cellStyle name="Normal 14 2" xfId="205" xr:uid="{F2E06DD4-6F3A-4F68-8D92-4B79ED39472C}"/>
    <cellStyle name="Normal 14 2 2" xfId="4322" xr:uid="{4AE35A5D-504F-47D4-9E8C-FB38D4E020B2}"/>
    <cellStyle name="Normal 14 3" xfId="1782" xr:uid="{EF0207D7-8BC1-463E-9DF2-7D64691E2640}"/>
    <cellStyle name="Normal 14 4" xfId="15693" xr:uid="{821718D6-6B35-4D26-8924-5751517158F9}"/>
    <cellStyle name="Normal 15" xfId="131" xr:uid="{3D465B6C-3803-4163-9511-21E405EE92A4}"/>
    <cellStyle name="Normal 15 2" xfId="218" xr:uid="{CB153E1F-7505-418A-83DB-6F0143A3BD51}"/>
    <cellStyle name="Normal 15 2 2" xfId="4327" xr:uid="{3C8EFBE2-ABF3-45CB-8F1A-D54B755092A3}"/>
    <cellStyle name="Normal 15 3" xfId="1783" xr:uid="{6E4C1CD9-D276-4216-B63A-815C78F3F5F5}"/>
    <cellStyle name="Normal 15 4" xfId="15694" xr:uid="{EBFCB188-9D98-4BC7-9239-B89EAEE5AD51}"/>
    <cellStyle name="Normal 16" xfId="147" xr:uid="{BF1BB4ED-5B33-4F97-94F8-E05C4042DB83}"/>
    <cellStyle name="Normal 16 2" xfId="231" xr:uid="{8CD8E7C9-D7E3-4155-BE7F-6EACA91528D2}"/>
    <cellStyle name="Normal 16 2 2" xfId="4280" xr:uid="{A4F25A72-9E65-421D-951C-BCF7ED70D0B2}"/>
    <cellStyle name="Normal 16 2 3" xfId="1946" xr:uid="{84F0FC5C-9FD0-4680-A143-4E0FF3FA3EF0}"/>
    <cellStyle name="Normal 16 3" xfId="1784" xr:uid="{BE119E71-2DCA-4399-8A76-6CF08C75798A}"/>
    <cellStyle name="Normal 16 3 2" xfId="2165" xr:uid="{619971A1-3E6A-4EC6-BFB1-8DC95DB57546}"/>
    <cellStyle name="Normal 16 4" xfId="15695" xr:uid="{8166AA18-2D2B-4F19-9CAD-61A9A6855006}"/>
    <cellStyle name="Normal 17" xfId="145" xr:uid="{B121DFFD-2D9D-4078-8EFE-2E2D6241A7B2}"/>
    <cellStyle name="Normal 17 2" xfId="4328" xr:uid="{75F47EEB-A31C-44CF-B746-883696E589E5}"/>
    <cellStyle name="Normal 17 3" xfId="1785" xr:uid="{1E0FEAAA-A5DB-4201-8AB3-8A5D05DCF45E}"/>
    <cellStyle name="Normal 17 4" xfId="15696" xr:uid="{C4CAE27D-BA86-4BC8-8A34-A8B8341BF924}"/>
    <cellStyle name="Normal 18" xfId="146" xr:uid="{7F9A17A1-FF09-43F7-8151-F497BB40C012}"/>
    <cellStyle name="Normal 18 2" xfId="4329" xr:uid="{B8F86660-E345-4B6B-8820-15A5D078E4E2}"/>
    <cellStyle name="Normal 18 3" xfId="1786" xr:uid="{D2CA9D6A-39E9-46CD-BC09-D6747679853C}"/>
    <cellStyle name="Normal 18 4" xfId="15697" xr:uid="{05CD584D-86C2-4746-B29D-48AC3C4ED798}"/>
    <cellStyle name="Normal 19" xfId="232" xr:uid="{3F5A8239-7BE6-4400-8440-4A7C3D2474A4}"/>
    <cellStyle name="Normal 19 2" xfId="4330" xr:uid="{F03ED8D8-416F-4A01-820B-CC60FBE23B9A}"/>
    <cellStyle name="Normal 19 3" xfId="1787" xr:uid="{7C2CB40E-0357-42C4-B00C-AF09C733BC40}"/>
    <cellStyle name="Normal 19 4" xfId="15698" xr:uid="{E8F9B6CD-1470-4537-B2B0-FF4B70B32AA4}"/>
    <cellStyle name="Normal 2" xfId="2" xr:uid="{CDFF3BB2-BB71-4876-BA3E-68547A75D432}"/>
    <cellStyle name="Normal 2 10" xfId="15712" xr:uid="{2E3E1050-413D-4975-95D1-1148CC7CAB82}"/>
    <cellStyle name="Normal 2 2" xfId="47" xr:uid="{BCFE43C8-912C-4C7F-AC71-DA44782ED68F}"/>
    <cellStyle name="Normal 2 2 2" xfId="48" xr:uid="{EFA78EFA-C529-482F-843C-3351C8960564}"/>
    <cellStyle name="Normal 2 2 2 2" xfId="1934" xr:uid="{BA574775-F1EF-4C42-8CD4-18C0998338BA}"/>
    <cellStyle name="Normal 2 2 2 3" xfId="4251" xr:uid="{CD4B79A6-BC3D-403C-B672-4C4ED05D6429}"/>
    <cellStyle name="Normal 2 2 2 4" xfId="1645" xr:uid="{5996E3E8-85CA-4E64-9940-013E43167DE3}"/>
    <cellStyle name="Normal 2 2 3" xfId="302" xr:uid="{F062FB5A-A318-471E-A1E7-9AB93C8BFB03}"/>
    <cellStyle name="Normal 2 2 3 2" xfId="4209" xr:uid="{41E6E814-F999-4740-9B13-5D2D5D6D507C}"/>
    <cellStyle name="Normal 2 2 3 3" xfId="1789" xr:uid="{6CD51FFA-CEE9-4365-BAD2-1E4AE6B1EDF9}"/>
    <cellStyle name="Normal 2 2 4" xfId="1602" xr:uid="{7912092A-55E8-42A0-80D3-12A3CC2D2F89}"/>
    <cellStyle name="Normal 2 3" xfId="303" xr:uid="{BF704367-3561-4580-BCAC-987DED54EE5D}"/>
    <cellStyle name="Normal 2 3 2" xfId="1791" xr:uid="{0A9764C9-E007-4E83-8E33-11A4B1DBC086}"/>
    <cellStyle name="Normal 2 3 3" xfId="2056" xr:uid="{2A7922D4-41FA-4DF1-94B6-271B31098395}"/>
    <cellStyle name="Normal 2 3 4" xfId="1790" xr:uid="{626E5369-3327-40CD-A03B-C87634825C78}"/>
    <cellStyle name="Normal 2 3 5" xfId="15692" xr:uid="{6218D1C0-0C5C-44F2-9A2D-67E0419E3132}"/>
    <cellStyle name="Normal 2 3_PPC3 Pilotaje Caracoles" xfId="1792" xr:uid="{04CB68FE-249E-4812-8B51-5D0F4BFEC2CB}"/>
    <cellStyle name="Normal 2 4" xfId="301" xr:uid="{7216F139-D00F-4D65-89E8-DC02FB25E983}"/>
    <cellStyle name="Normal 2 4 2" xfId="4250" xr:uid="{0FB592AD-12D3-49EB-B4F8-16D7516B8188}"/>
    <cellStyle name="Normal 2 4 3" xfId="1947" xr:uid="{1D461D68-E0F5-4A9A-BE44-1069A6CD4393}"/>
    <cellStyle name="Normal 2 5" xfId="658" xr:uid="{62D23DE2-D5B5-406C-B8E5-24A2CFCBB23D}"/>
    <cellStyle name="Normal 2 5 2" xfId="1788" xr:uid="{206A26C7-9ED9-4090-AE9C-2981B9F54657}"/>
    <cellStyle name="Normal 2 6" xfId="51" xr:uid="{E0667DD4-99E7-4786-A5BC-54135CAF9D16}"/>
    <cellStyle name="Normal 2 6 2" xfId="2037" xr:uid="{232097CF-E954-4A74-9837-AEC2EA463B23}"/>
    <cellStyle name="Normal 2 7" xfId="2040" xr:uid="{6186135B-4F83-49F7-AEE2-0F511E88072E}"/>
    <cellStyle name="Normal 2 8" xfId="15710" xr:uid="{C16AF0EF-E089-416E-BF39-F58AE87D1CC0}"/>
    <cellStyle name="Normal 2 9" xfId="15713" xr:uid="{0826C486-941F-4590-9875-3FD2723A78C3}"/>
    <cellStyle name="Normal 2_70) Minuta Nº70 de Reunion  29-02-2012" xfId="1793" xr:uid="{087A65E5-36B4-41A6-A08E-B9369EC34CCF}"/>
    <cellStyle name="Normal 20" xfId="233" xr:uid="{A5AFDDB0-6BAF-4A63-8F3E-F19139FE5F16}"/>
    <cellStyle name="Normal 20 2" xfId="4331" xr:uid="{A14108FE-C86B-4EB6-92A0-5EBE3B439D67}"/>
    <cellStyle name="Normal 20 3" xfId="1794" xr:uid="{13E9030B-E14F-4E3A-A551-E567F3CA0FE7}"/>
    <cellStyle name="Normal 20 4" xfId="15699" xr:uid="{D6997017-9946-4BF4-93B9-CB36892B7468}"/>
    <cellStyle name="Normal 21" xfId="1795" xr:uid="{A383D202-9E1D-4D34-A44F-48FF59596457}"/>
    <cellStyle name="Normal 21 2" xfId="4332" xr:uid="{7DB8330F-3505-4BA5-BC72-41B15B229CC7}"/>
    <cellStyle name="Normal 21 3" xfId="15700" xr:uid="{C5F88D10-F4FF-4927-9D64-ABE0532746AB}"/>
    <cellStyle name="Normal 22" xfId="1796" xr:uid="{470EA0DF-424A-4110-9F23-44FFBB870AE7}"/>
    <cellStyle name="Normal 22 2" xfId="4333" xr:uid="{2ED5B5FC-F64B-40FD-8C55-86C2236B63C1}"/>
    <cellStyle name="Normal 22 3" xfId="15701" xr:uid="{36110A07-ED23-49A3-ACF6-0CABAE249504}"/>
    <cellStyle name="Normal 23" xfId="1797" xr:uid="{9B24C840-190F-4594-8C53-9934DEDED7DB}"/>
    <cellStyle name="Normal 23 2" xfId="15702" xr:uid="{200D0715-454E-4753-B47C-84A0D309E663}"/>
    <cellStyle name="Normal 24" xfId="1798" xr:uid="{D01F8822-AD14-44B6-8528-711673E775A4}"/>
    <cellStyle name="Normal 24 2" xfId="15703" xr:uid="{7C06F95D-FC88-42ED-9B30-F097F9812082}"/>
    <cellStyle name="Normal 25" xfId="1799" xr:uid="{72566077-9643-4C80-A0B0-336BB5D06B92}"/>
    <cellStyle name="Normal 25 2" xfId="15704" xr:uid="{5D35F25D-E3F1-4D52-826F-90136186B5F3}"/>
    <cellStyle name="Normal 26" xfId="1800" xr:uid="{FD225668-3808-4FBE-BA23-78434F5A2ECA}"/>
    <cellStyle name="Normal 26 2" xfId="15705" xr:uid="{077383BC-6F42-49B7-838C-9B62910ABB24}"/>
    <cellStyle name="Normal 27" xfId="1801" xr:uid="{FE02EE2F-8246-4A0B-9141-332A2B91A01F}"/>
    <cellStyle name="Normal 27 2" xfId="15706" xr:uid="{6450CD38-2C3E-474B-AF29-72628490AF09}"/>
    <cellStyle name="Normal 28" xfId="1802" xr:uid="{9931D3BF-22CE-426E-86E6-BA1B25CD0C8F}"/>
    <cellStyle name="Normal 28 2" xfId="15707" xr:uid="{71A0E3BE-7A05-491A-AB51-43863CA4B3DE}"/>
    <cellStyle name="Normal 29" xfId="1803" xr:uid="{A90E92B3-91E8-49F5-8CDB-7306A05A794F}"/>
    <cellStyle name="Normal 29 2" xfId="15708" xr:uid="{A67770F1-463F-4BD8-AF99-9F778E2D6C2D}"/>
    <cellStyle name="Normal 3" xfId="4" xr:uid="{E04DAEA4-138E-4615-8495-3C19802C62EC}"/>
    <cellStyle name="Normal 3 10" xfId="132" xr:uid="{8265CFF9-A96F-4F8E-B5E0-E718AAD587F7}"/>
    <cellStyle name="Normal 3 10 2" xfId="219" xr:uid="{A14074D4-6AA7-4486-8E9F-7E44BDE4C65B}"/>
    <cellStyle name="Normal 3 11" xfId="151" xr:uid="{9D7DA116-66F9-4ED0-909B-E02E7724B1D0}"/>
    <cellStyle name="Normal 3 12" xfId="62" xr:uid="{3972FBE6-B0E7-45E4-91D5-18A5973AD936}"/>
    <cellStyle name="Normal 3 13" xfId="1624" xr:uid="{6BFDB7AB-6F5E-4D16-B7C2-7376973532C9}"/>
    <cellStyle name="Normal 3 2" xfId="68" xr:uid="{AE2C2C6C-1EDD-441E-9ACF-D7785275CF22}"/>
    <cellStyle name="Normal 3 2 2" xfId="82" xr:uid="{91361F67-5C82-4820-BD64-59621F619DF4}"/>
    <cellStyle name="Normal 3 2 2 2" xfId="169" xr:uid="{3CD4B797-20C0-4E2E-BEB0-13BD95C49BC9}"/>
    <cellStyle name="Normal 3 2 2 3" xfId="2066" xr:uid="{2EFE42DB-74B4-4EC2-A3AD-4F4CF122F0CA}"/>
    <cellStyle name="Normal 3 2 3" xfId="95" xr:uid="{E24FBC4B-1A61-46C1-9C89-605A9F9EF4C9}"/>
    <cellStyle name="Normal 3 2 3 2" xfId="182" xr:uid="{8E75CD3C-8E6F-4676-B296-0F11335F47DF}"/>
    <cellStyle name="Normal 3 2 3 3" xfId="4252" xr:uid="{EDD31C17-1AE3-4024-B720-BABF47662D8C}"/>
    <cellStyle name="Normal 3 2 4" xfId="108" xr:uid="{6322C959-F90F-44B8-A5C0-8503025830E7}"/>
    <cellStyle name="Normal 3 2 4 2" xfId="195" xr:uid="{38BAB345-3159-4320-9E39-D6E8BFEC9141}"/>
    <cellStyle name="Normal 3 2 4 3" xfId="2044" xr:uid="{92CEE600-2D5F-4FF2-A1C0-C1ABC1EDAB13}"/>
    <cellStyle name="Normal 3 2 5" xfId="121" xr:uid="{2475D5B6-54F2-4420-AD4E-8502E23A1FE3}"/>
    <cellStyle name="Normal 3 2 5 2" xfId="208" xr:uid="{09C484CA-870B-49BE-83A4-CEF9A4C9BD97}"/>
    <cellStyle name="Normal 3 2 6" xfId="134" xr:uid="{1AB0DB46-E778-4790-BB3D-B11F1A88EBA1}"/>
    <cellStyle name="Normal 3 2 6 2" xfId="221" xr:uid="{E555333F-3A49-4F06-A09C-1ED410B08DA9}"/>
    <cellStyle name="Normal 3 2 7" xfId="155" xr:uid="{2EB8045E-D280-4CA6-89F6-BB1430520D06}"/>
    <cellStyle name="Normal 3 2 8" xfId="275" xr:uid="{7E27BD72-ECE4-4A5F-8B62-32C67FB85632}"/>
    <cellStyle name="Normal 3 2 9" xfId="1623" xr:uid="{C365ACF7-C89A-4CA1-8F88-4EF53EAAF3F4}"/>
    <cellStyle name="Normal 3 3" xfId="69" xr:uid="{87876AA7-C92B-4601-920A-481880BB63F6}"/>
    <cellStyle name="Normal 3 3 2" xfId="84" xr:uid="{30AC353E-0AF8-499A-B196-44B17209AD8C}"/>
    <cellStyle name="Normal 3 3 2 2" xfId="171" xr:uid="{911C40B2-BFAB-4F57-9BDB-B2CF512BD1DC}"/>
    <cellStyle name="Normal 3 3 2 3" xfId="4253" xr:uid="{5ACCD534-3EE3-416B-A855-4389B577CCF2}"/>
    <cellStyle name="Normal 3 3 3" xfId="97" xr:uid="{0474C530-5468-4EBB-A319-C4B4D87FFB8F}"/>
    <cellStyle name="Normal 3 3 3 2" xfId="184" xr:uid="{09203712-2E0F-4B22-A958-E5768D59D141}"/>
    <cellStyle name="Normal 3 3 3 3" xfId="335" xr:uid="{B172EF91-AB93-4D73-92CC-70F787A6361B}"/>
    <cellStyle name="Normal 3 3 4" xfId="110" xr:uid="{B2F00A86-3A3D-4A79-A3CE-4FE0AF2CAE8E}"/>
    <cellStyle name="Normal 3 3 4 2" xfId="197" xr:uid="{3831693C-AAED-4EDC-913C-6A70B5694AB9}"/>
    <cellStyle name="Normal 3 3 5" xfId="123" xr:uid="{20AA8AF5-06BB-4232-AC39-30A5C88B0168}"/>
    <cellStyle name="Normal 3 3 5 2" xfId="210" xr:uid="{467C8844-C605-4397-90A9-A317F80F3DB7}"/>
    <cellStyle name="Normal 3 3 6" xfId="136" xr:uid="{4A93AB6C-0346-4CE9-8AB2-7A243286AECF}"/>
    <cellStyle name="Normal 3 3 6 2" xfId="223" xr:uid="{006B4E1E-AEE8-4376-A4A9-DB282846CC71}"/>
    <cellStyle name="Normal 3 3 7" xfId="157" xr:uid="{197DD4D4-5351-464E-9661-55F58DC282B1}"/>
    <cellStyle name="Normal 3 3 8" xfId="1646" xr:uid="{A48861B9-3148-42D6-BCC1-1EFAB5CF8351}"/>
    <cellStyle name="Normal 3 4" xfId="72" xr:uid="{F6461A5D-10D3-4B0B-8A69-FD0DDFBDAA63}"/>
    <cellStyle name="Normal 3 4 2" xfId="87" xr:uid="{B25281B0-420D-4746-953E-579187A52D7B}"/>
    <cellStyle name="Normal 3 4 2 2" xfId="174" xr:uid="{D43E4AE5-979D-4822-835E-4D6593226AEF}"/>
    <cellStyle name="Normal 3 4 2 3" xfId="4211" xr:uid="{8166404E-3658-44BB-8610-823B1FD5E542}"/>
    <cellStyle name="Normal 3 4 3" xfId="100" xr:uid="{FA5D1553-4A6A-4445-B906-C240060935BD}"/>
    <cellStyle name="Normal 3 4 3 2" xfId="187" xr:uid="{0AF1B0BB-CD62-4717-BD82-694809EA8B44}"/>
    <cellStyle name="Normal 3 4 4" xfId="113" xr:uid="{3218DBBF-D467-4B59-AE5D-74FD26451DFE}"/>
    <cellStyle name="Normal 3 4 4 2" xfId="200" xr:uid="{B73AFD19-1FC2-435E-B0EB-85F40B527445}"/>
    <cellStyle name="Normal 3 4 5" xfId="126" xr:uid="{9148D030-2A26-407E-91F5-D9E2A22EA5DB}"/>
    <cellStyle name="Normal 3 4 5 2" xfId="213" xr:uid="{76486293-F328-4C8F-882B-566E42CCCFFC}"/>
    <cellStyle name="Normal 3 4 6" xfId="139" xr:uid="{04A3C8A0-FFDC-4E63-B2E4-3729EDAAA25C}"/>
    <cellStyle name="Normal 3 4 6 2" xfId="226" xr:uid="{E0127F2A-75CA-4BFE-80C7-C89CF4AEFC64}"/>
    <cellStyle name="Normal 3 4 7" xfId="160" xr:uid="{A4DDC6B3-EF89-4F22-8E23-2FA9B573E5BF}"/>
    <cellStyle name="Normal 3 4 8" xfId="300" xr:uid="{67591463-0DBA-40DA-988B-860FC898C80B}"/>
    <cellStyle name="Normal 3 5" xfId="74" xr:uid="{F818BB18-C323-494F-A1DA-8305127FF58E}"/>
    <cellStyle name="Normal 3 5 2" xfId="90" xr:uid="{E458027E-396F-4F38-A517-41192A2A7C25}"/>
    <cellStyle name="Normal 3 5 2 2" xfId="177" xr:uid="{A1E12DBE-0D1B-46F8-94E0-539B4FD9CE8B}"/>
    <cellStyle name="Normal 3 5 2 3" xfId="4308" xr:uid="{C1B48320-5726-424A-B1ED-DBCEDB06FB26}"/>
    <cellStyle name="Normal 3 5 3" xfId="103" xr:uid="{6332069D-573E-4EC0-BD8A-38A4B505EE26}"/>
    <cellStyle name="Normal 3 5 3 2" xfId="190" xr:uid="{4EF12CE0-C5BF-4570-8454-84C1ED0D6F0F}"/>
    <cellStyle name="Normal 3 5 4" xfId="116" xr:uid="{5FACE1DB-72D1-4C67-8FB1-62E05958B972}"/>
    <cellStyle name="Normal 3 5 4 2" xfId="203" xr:uid="{BF863AEB-F67A-4045-89A7-8B8B1E8DC533}"/>
    <cellStyle name="Normal 3 5 5" xfId="129" xr:uid="{51D696CB-C95B-4206-8583-3D9FAFADBF87}"/>
    <cellStyle name="Normal 3 5 5 2" xfId="216" xr:uid="{6813B402-3EB9-45AA-9081-86DA82E90BF3}"/>
    <cellStyle name="Normal 3 5 6" xfId="142" xr:uid="{0C646CD2-DF1E-4501-98C8-4055035C0870}"/>
    <cellStyle name="Normal 3 5 6 2" xfId="229" xr:uid="{601FA861-9BB6-413C-8B91-1841C8BA2598}"/>
    <cellStyle name="Normal 3 5 7" xfId="163" xr:uid="{399EBCE8-BC2A-43C2-B5A4-91FFB7930B2C}"/>
    <cellStyle name="Normal 3 5 8" xfId="1804" xr:uid="{6C9A47BA-9D49-436F-9341-51FA972D465D}"/>
    <cellStyle name="Normal 3 6" xfId="80" xr:uid="{3CF3D723-A5D3-4848-9092-615B62349C3B}"/>
    <cellStyle name="Normal 3 6 2" xfId="167" xr:uid="{7B08EE63-4247-44D5-BD4E-23CE2A9F8A5B}"/>
    <cellStyle name="Normal 3 6 2 2" xfId="4207" xr:uid="{035B7281-A54C-496E-9A07-7727B8E93B36}"/>
    <cellStyle name="Normal 3 6 3" xfId="2030" xr:uid="{DA18BA6D-95E2-4EFD-B701-7C0595FB79A9}"/>
    <cellStyle name="Normal 3 7" xfId="93" xr:uid="{CD80D654-1BCA-423C-8A5A-442C6267BD7E}"/>
    <cellStyle name="Normal 3 7 2" xfId="180" xr:uid="{57F08B61-C5F7-4A49-9FF5-F528339B94C8}"/>
    <cellStyle name="Normal 3 8" xfId="106" xr:uid="{B6A17F8D-94CA-46D3-A75A-094584B52AA4}"/>
    <cellStyle name="Normal 3 8 2" xfId="193" xr:uid="{B2BBB10F-67DB-41AC-94EC-B6EC287733F5}"/>
    <cellStyle name="Normal 3 9" xfId="119" xr:uid="{AA61B2C2-1962-4394-A2DC-C62EAFAC27A7}"/>
    <cellStyle name="Normal 3 9 2" xfId="206" xr:uid="{77CD4F2D-C737-40D4-830D-D98ABDB2B026}"/>
    <cellStyle name="Normal 3_muestvar_ver_SGS@03_08_2012_1100 (2)" xfId="1647" xr:uid="{7B98BFF4-6AE4-4647-87E9-22AA9856FE35}"/>
    <cellStyle name="Normal 30" xfId="336" xr:uid="{F9B0064C-E34A-4D2B-8ED6-64039BA892A9}"/>
    <cellStyle name="Normal 30 2" xfId="2163" xr:uid="{95C86454-5F5F-4971-BFFE-68B83BF3E950}"/>
    <cellStyle name="Normal 30 3" xfId="1805" xr:uid="{55F391C7-04FE-402D-9F20-0C704E6FB901}"/>
    <cellStyle name="Normal 30 4" xfId="15709" xr:uid="{B8A1DE5E-653C-4566-9987-571E8F32FF12}"/>
    <cellStyle name="Normal 31" xfId="1806" xr:uid="{3BECA57C-3778-4927-99EA-EAA0FC220933}"/>
    <cellStyle name="Normal 32" xfId="1807" xr:uid="{BC1EEA2A-B2F0-4D24-99FF-48AEEE269E6F}"/>
    <cellStyle name="Normal 33" xfId="1808" xr:uid="{56A6485D-51B7-4F9D-84A0-ACA1C206FB48}"/>
    <cellStyle name="Normal 34" xfId="1809" xr:uid="{57BB5B0F-20FB-4A5C-80AD-6A008B0D7136}"/>
    <cellStyle name="Normal 35" xfId="1810" xr:uid="{421F732F-0868-4C5A-B4D5-5678C4C7D319}"/>
    <cellStyle name="Normal 36" xfId="1811" xr:uid="{83626860-1B18-4EC2-AF19-EE80C9E346F3}"/>
    <cellStyle name="Normal 37" xfId="1812" xr:uid="{90F4D669-361A-43EE-B673-B58ED7033225}"/>
    <cellStyle name="Normal 38" xfId="1813" xr:uid="{3A76ABF2-930A-4A29-99CE-4A99F5C9020E}"/>
    <cellStyle name="Normal 388" xfId="1569" xr:uid="{FA5A1B02-AACA-488F-8BC8-D5C055C9AC46}"/>
    <cellStyle name="Normal 39" xfId="1814" xr:uid="{98969EB4-06FA-449F-BAE6-43740FE9F2C0}"/>
    <cellStyle name="Normal 4" xfId="63" xr:uid="{6DA619F0-ADC1-4428-A10F-ADC53EFB83A3}"/>
    <cellStyle name="Normal 4 10" xfId="152" xr:uid="{0140BA52-5534-4F24-A156-045E8286E577}"/>
    <cellStyle name="Normal 4 11" xfId="276" xr:uid="{6AD18AC0-C0E7-44D1-B8F8-281DB18A6FAC}"/>
    <cellStyle name="Normal 4 2" xfId="70" xr:uid="{AB7DCF48-02C2-4246-8349-DD993CE7F43C}"/>
    <cellStyle name="Normal 4 2 2" xfId="85" xr:uid="{93F346A0-0F81-495F-A26E-B10D76675598}"/>
    <cellStyle name="Normal 4 2 2 2" xfId="172" xr:uid="{2E1861CD-ECEA-4B36-99EE-F440466A43E3}"/>
    <cellStyle name="Normal 4 2 2 3" xfId="4255" xr:uid="{F3138950-8D92-4318-9D8A-FF081B47BC8B}"/>
    <cellStyle name="Normal 4 2 3" xfId="98" xr:uid="{03808311-55F5-467E-A480-C1A31FC086C3}"/>
    <cellStyle name="Normal 4 2 3 2" xfId="185" xr:uid="{FEE5CBE3-BAE0-4E2C-8C56-D036DF50976B}"/>
    <cellStyle name="Normal 4 2 3 3" xfId="2062" xr:uid="{82235CC4-720F-41CC-A630-48A74A0A377E}"/>
    <cellStyle name="Normal 4 2 4" xfId="111" xr:uid="{462CF772-D85C-4A01-83D4-B651DF257232}"/>
    <cellStyle name="Normal 4 2 4 2" xfId="198" xr:uid="{4CD849C4-B756-49C7-BBD9-8F1105D36C42}"/>
    <cellStyle name="Normal 4 2 5" xfId="124" xr:uid="{3E16F769-234C-4A25-9295-D5ECCAE5F58C}"/>
    <cellStyle name="Normal 4 2 5 2" xfId="211" xr:uid="{642F4EDF-E400-472D-AB08-F633975F2C1D}"/>
    <cellStyle name="Normal 4 2 6" xfId="137" xr:uid="{2AADD806-6183-41A9-99F3-01CFF0CCB247}"/>
    <cellStyle name="Normal 4 2 6 2" xfId="224" xr:uid="{EFF3FB4C-CBFF-488F-90BB-62F6DA2F0F14}"/>
    <cellStyle name="Normal 4 2 7" xfId="158" xr:uid="{1502B2FE-C0B3-4B52-B1AB-1512BC197D87}"/>
    <cellStyle name="Normal 4 2 8" xfId="277" xr:uid="{560E708D-128F-4098-BC12-0B56450ADC33}"/>
    <cellStyle name="Normal 4 2 9" xfId="1815" xr:uid="{4D671001-CC35-40EF-B2BB-40B9E73E7117}"/>
    <cellStyle name="Normal 4 3" xfId="73" xr:uid="{665601B9-64BA-4E22-BE5A-8683CDAB898B}"/>
    <cellStyle name="Normal 4 3 2" xfId="88" xr:uid="{0AA3FEC3-08CB-43C2-9BD3-178681E4B91B}"/>
    <cellStyle name="Normal 4 3 2 2" xfId="175" xr:uid="{3DFC762F-BCE9-4F8C-B7E6-B41C07E2A72F}"/>
    <cellStyle name="Normal 4 3 2 3" xfId="4256" xr:uid="{BB6AA6FC-F873-4ECB-974D-4FB915F4C212}"/>
    <cellStyle name="Normal 4 3 3" xfId="101" xr:uid="{71EFC584-78F0-407A-95D1-4D7B38F28693}"/>
    <cellStyle name="Normal 4 3 3 2" xfId="188" xr:uid="{78EB511C-0812-4794-B4A4-73D655E4CB4E}"/>
    <cellStyle name="Normal 4 3 4" xfId="114" xr:uid="{4843A013-67B3-4ED7-8539-F4DF9601CC7A}"/>
    <cellStyle name="Normal 4 3 4 2" xfId="201" xr:uid="{9B7C10E8-9D34-4938-81BF-034E8EB676CD}"/>
    <cellStyle name="Normal 4 3 5" xfId="127" xr:uid="{0F3A21E9-4EE4-4EC5-9857-0351D57BFA5C}"/>
    <cellStyle name="Normal 4 3 5 2" xfId="214" xr:uid="{F56D5775-12F7-4F04-81B5-CF8D01E036C3}"/>
    <cellStyle name="Normal 4 3 6" xfId="140" xr:uid="{98265C80-4518-4EAD-BC9C-E7C4D80CF0F4}"/>
    <cellStyle name="Normal 4 3 6 2" xfId="227" xr:uid="{4D70AE98-D2B0-4DA1-AEF4-F44EA6092774}"/>
    <cellStyle name="Normal 4 3 7" xfId="161" xr:uid="{6492325B-7EDC-4861-9F1A-7D8EB983DAFC}"/>
    <cellStyle name="Normal 4 3 8" xfId="278" xr:uid="{E822BC64-2C61-431D-AF77-3AC72B916609}"/>
    <cellStyle name="Normal 4 4" xfId="75" xr:uid="{ADEE394E-7399-43F9-88EE-1C2DA8609A5E}"/>
    <cellStyle name="Normal 4 4 2" xfId="91" xr:uid="{C4CC1C5B-D48A-4E4F-84A1-10BF557C49ED}"/>
    <cellStyle name="Normal 4 4 2 2" xfId="178" xr:uid="{EE713FF4-0C9D-474A-8CCA-34EA3AA749A9}"/>
    <cellStyle name="Normal 4 4 3" xfId="104" xr:uid="{9CD3B2B2-D1CC-4D92-906F-442FD752B096}"/>
    <cellStyle name="Normal 4 4 3 2" xfId="191" xr:uid="{C3594B0A-534F-4E24-BF18-0427E2621DE1}"/>
    <cellStyle name="Normal 4 4 4" xfId="117" xr:uid="{8A969C4B-6B2F-4D31-B44B-46519E19AE6B}"/>
    <cellStyle name="Normal 4 4 4 2" xfId="204" xr:uid="{FACB6CCF-C6D6-40D9-8A6E-1B6911C12AB4}"/>
    <cellStyle name="Normal 4 4 5" xfId="130" xr:uid="{D6FBB1E4-B35D-4251-9138-A1F0F2A4CB09}"/>
    <cellStyle name="Normal 4 4 5 2" xfId="217" xr:uid="{B8D6DD4B-48B8-41A2-9529-21C81377E9DF}"/>
    <cellStyle name="Normal 4 4 6" xfId="143" xr:uid="{B82E24BE-7E55-483A-8CAC-D686B89AECC9}"/>
    <cellStyle name="Normal 4 4 6 2" xfId="230" xr:uid="{1F7A7A07-E050-47D7-9B70-08E26E282E88}"/>
    <cellStyle name="Normal 4 4 7" xfId="164" xr:uid="{00FB3210-E640-440A-8C02-0FFB8462B903}"/>
    <cellStyle name="Normal 4 4 8" xfId="4254" xr:uid="{520F888D-52B9-4F32-88A8-C772B7271CA3}"/>
    <cellStyle name="Normal 4 5" xfId="81" xr:uid="{AA3EF842-5A99-4F8B-8BCC-392318981B39}"/>
    <cellStyle name="Normal 4 5 2" xfId="168" xr:uid="{C55175DB-06F4-4FF9-8D69-77210EB7A586}"/>
    <cellStyle name="Normal 4 6" xfId="94" xr:uid="{BD5DEE64-97EE-4B68-88A4-D36D71C707D1}"/>
    <cellStyle name="Normal 4 6 2" xfId="181" xr:uid="{81718CEA-B9F7-43FC-9062-F0C2CBFF2F41}"/>
    <cellStyle name="Normal 4 7" xfId="107" xr:uid="{596B1F0A-5B58-4AB3-A78F-EA1CD356C6EC}"/>
    <cellStyle name="Normal 4 7 2" xfId="194" xr:uid="{2B077660-A08D-48C9-B57F-15A3BC632AF2}"/>
    <cellStyle name="Normal 4 8" xfId="120" xr:uid="{C38C2294-BD49-4CF9-8BED-8240E73E210A}"/>
    <cellStyle name="Normal 4 8 2" xfId="207" xr:uid="{77E05C82-E0A3-4707-9B72-819E983DF629}"/>
    <cellStyle name="Normal 4 9" xfId="133" xr:uid="{66E73028-4A9C-44F1-A56D-8B48ECE80DE2}"/>
    <cellStyle name="Normal 4 9 2" xfId="220" xr:uid="{47D7B1FB-913C-46AB-9E7F-74E41627B77C}"/>
    <cellStyle name="Normal 40" xfId="1816" xr:uid="{4E945203-6D8B-45E5-AC59-840A04676923}"/>
    <cellStyle name="Normal 41" xfId="1817" xr:uid="{CD609B93-4953-4ECC-951C-FA8D96FE6361}"/>
    <cellStyle name="Normal 42" xfId="1818" xr:uid="{B5E552E9-C218-42B0-A846-76B78F642406}"/>
    <cellStyle name="Normal 43" xfId="1819" xr:uid="{B276001B-F776-437D-84EC-C7A4A6325E2F}"/>
    <cellStyle name="Normal 44" xfId="1820" xr:uid="{F2C040BA-5199-48F1-850C-015E9CAFFCDE}"/>
    <cellStyle name="Normal 45" xfId="1821" xr:uid="{1325FEF2-351B-4263-B3F7-A6A9C8158E9A}"/>
    <cellStyle name="Normal 46" xfId="1822" xr:uid="{D32C7A09-C048-4988-84AB-C20244BEE056}"/>
    <cellStyle name="Normal 47" xfId="1823" xr:uid="{E9887B18-B098-4E7C-B4AE-5340C852E19F}"/>
    <cellStyle name="Normal 48" xfId="1824" xr:uid="{FE3AE791-B305-48D7-9698-BBEAFD6E48EF}"/>
    <cellStyle name="Normal 49" xfId="1825" xr:uid="{21612605-50B1-4644-AC10-9A1A553F0B0E}"/>
    <cellStyle name="Normal 5" xfId="64" xr:uid="{A9729615-686A-474C-94E2-E70C63D6D4B6}"/>
    <cellStyle name="Normal 5 2" xfId="279" xr:uid="{07001F04-7B45-4F31-A437-8618324A5F9B}"/>
    <cellStyle name="Normal 5 2 2" xfId="1505" xr:uid="{41879998-86BB-4AF6-B838-FE7417DB6E64}"/>
    <cellStyle name="Normal 5 2 2 2" xfId="4258" xr:uid="{53143025-371F-4DFB-9C27-B631ADDB479D}"/>
    <cellStyle name="Normal 5 2 3" xfId="2069" xr:uid="{9446A13C-5D6F-4794-A470-69DF141083CB}"/>
    <cellStyle name="Normal 5 2 4" xfId="1826" xr:uid="{E759D378-7189-4C5D-934D-B08D125A2B0D}"/>
    <cellStyle name="Normal 5 3" xfId="280" xr:uid="{DFD9B5EA-E537-441C-9863-A2A7C0B84D3B}"/>
    <cellStyle name="Normal 5 3 2" xfId="4259" xr:uid="{77D5708D-73BB-454E-8D0C-B935F70448A6}"/>
    <cellStyle name="Normal 5 3 3" xfId="2070" xr:uid="{646BAAD6-0699-4678-A040-2833F4814E2D}"/>
    <cellStyle name="Normal 5 3 4" xfId="2031" xr:uid="{850D9262-5D9D-4BD1-8E58-3A9C74A58F93}"/>
    <cellStyle name="Normal 5 4" xfId="1498" xr:uid="{0372AEB6-3AAF-4CE0-8DAF-4CD91A94C349}"/>
    <cellStyle name="Normal 5 4 2" xfId="4309" xr:uid="{3EEB6992-B83C-454F-BBE8-F3B3267AEF42}"/>
    <cellStyle name="Normal 5 4 3" xfId="2068" xr:uid="{120BDC70-4C1E-4295-95DE-3E186F8FEBB9}"/>
    <cellStyle name="Normal 5 5" xfId="4257" xr:uid="{EEC4AA00-086B-411B-81EC-6017E8A5FFED}"/>
    <cellStyle name="Normal 5 6" xfId="2045" xr:uid="{B7B89A12-7DFB-46CD-ABCE-5D3A0CACA0B9}"/>
    <cellStyle name="Normal 50" xfId="1827" xr:uid="{E15CD46F-FEB5-48BB-B6C3-10D42BE98EAA}"/>
    <cellStyle name="Normal 51" xfId="1828" xr:uid="{03634531-D1B1-4F2B-ADEA-D75CB9C409EA}"/>
    <cellStyle name="Normal 52" xfId="1829" xr:uid="{499AD9B0-A6BE-4FFA-A858-5AA483A1A7AA}"/>
    <cellStyle name="Normal 53" xfId="1830" xr:uid="{1717D8B8-0789-42F1-988E-C7731C2A0F89}"/>
    <cellStyle name="Normal 54" xfId="1831" xr:uid="{19B5233D-6D09-4CB1-A7D3-8938D4B94E30}"/>
    <cellStyle name="Normal 55" xfId="1832" xr:uid="{743D2A70-F636-4B77-AA83-13B9DB3E8ADC}"/>
    <cellStyle name="Normal 55 2" xfId="1948" xr:uid="{08433B58-292E-41EE-AA52-507C20F094C6}"/>
    <cellStyle name="Normal 55 3" xfId="1949" xr:uid="{1392AA2B-4185-4DC0-BA25-89E289DCE0E9}"/>
    <cellStyle name="Normal 56" xfId="1833" xr:uid="{F7C8396B-8D66-48B3-B0CF-8F027DC4707B}"/>
    <cellStyle name="Normal 56 2" xfId="1834" xr:uid="{54003E1D-A455-4546-AA58-CD586E257A99}"/>
    <cellStyle name="Normal 56 2 2" xfId="1950" xr:uid="{024EF09F-954B-42E3-9BDB-94DA5ACD8C94}"/>
    <cellStyle name="Normal 56 2 3" xfId="1951" xr:uid="{29CFE245-1AB4-4FC1-91A8-B11B0B10E91A}"/>
    <cellStyle name="Normal 56 3" xfId="1835" xr:uid="{8A3EEED7-D47E-43CB-9318-6246DD81F988}"/>
    <cellStyle name="Normal 56 3 2" xfId="1952" xr:uid="{5CB7E941-93F4-4FA0-814E-006E8C18BE6E}"/>
    <cellStyle name="Normal 56 4" xfId="1836" xr:uid="{68A53ECB-4064-4FCF-B4F9-2FAAD15E124C}"/>
    <cellStyle name="Normal 56 4 2" xfId="1953" xr:uid="{F6FBF94F-3D98-4426-B64A-5AF0FC8DFC80}"/>
    <cellStyle name="Normal 56 4 3" xfId="1954" xr:uid="{985CB2D4-D4C8-462E-AA9C-B6C2BA0010F1}"/>
    <cellStyle name="Normal 56 5" xfId="1955" xr:uid="{98EEEF3E-5C32-49D6-8918-9EA8C46D348D}"/>
    <cellStyle name="Normal 56 6" xfId="1956" xr:uid="{B85DF8CC-9AA7-4745-9C16-5816E9CE74DE}"/>
    <cellStyle name="Normal 57" xfId="1837" xr:uid="{56747858-8C71-43C7-97DD-BAB02F57986C}"/>
    <cellStyle name="Normal 58" xfId="1838" xr:uid="{F11DA741-58F9-4482-B15A-44B6AFB50C42}"/>
    <cellStyle name="Normal 59" xfId="1839" xr:uid="{89AE9044-5C1E-46A2-A973-1F73F0947957}"/>
    <cellStyle name="Normal 6" xfId="50" xr:uid="{6462CE45-588A-424F-959F-249E4FF5B0FE}"/>
    <cellStyle name="Normal 6 2" xfId="83" xr:uid="{92EC3AF5-A446-4296-9606-DF8FFE617F7B}"/>
    <cellStyle name="Normal 6 2 2" xfId="170" xr:uid="{0BFFF648-2A05-4606-89DC-276F923D3337}"/>
    <cellStyle name="Normal 6 2 2 2" xfId="4260" xr:uid="{B906B95A-C315-406E-B155-E324021868F9}"/>
    <cellStyle name="Normal 6 2 3" xfId="371" xr:uid="{17777F63-ABA0-47BF-BFB8-A360D6633E67}"/>
    <cellStyle name="Normal 6 2 4" xfId="1840" xr:uid="{31E24683-2781-4372-8E3F-4D86CF30ACAF}"/>
    <cellStyle name="Normal 6 3" xfId="96" xr:uid="{B5BA37B7-DDD0-4726-83E3-6C7C33AF051B}"/>
    <cellStyle name="Normal 6 3 2" xfId="183" xr:uid="{91C911AB-B78A-4DE4-8121-AEFB1A31F431}"/>
    <cellStyle name="Normal 6 3 3" xfId="2071" xr:uid="{A1608709-84B8-49AA-89C5-C668C97DE7E5}"/>
    <cellStyle name="Normal 6 4" xfId="109" xr:uid="{41711632-A255-41F5-970B-BFA1B2576B6E}"/>
    <cellStyle name="Normal 6 4 2" xfId="196" xr:uid="{540AC071-8370-4557-9E86-71FF49CFF018}"/>
    <cellStyle name="Normal 6 5" xfId="122" xr:uid="{86BFE364-CFE9-4C13-B0D0-C1E4F49ED01E}"/>
    <cellStyle name="Normal 6 5 2" xfId="209" xr:uid="{B1074375-2732-4850-A193-F208A897B65D}"/>
    <cellStyle name="Normal 6 6" xfId="135" xr:uid="{7AF5F9F1-E901-46B4-983D-8ABC63CB08FB}"/>
    <cellStyle name="Normal 6 6 2" xfId="222" xr:uid="{ACE00DBD-E214-4ED0-BB49-58538F1457CB}"/>
    <cellStyle name="Normal 6 7" xfId="156" xr:uid="{67B09C66-0855-41D1-A812-1CB59FB0663F}"/>
    <cellStyle name="Normal 6 8" xfId="281" xr:uid="{284F5002-05B5-4B75-8937-CC33F21C67A7}"/>
    <cellStyle name="Normal 60" xfId="1841" xr:uid="{4E472832-EE7A-473F-8E03-825B682699C2}"/>
    <cellStyle name="Normal 61" xfId="1842" xr:uid="{2BD2F8E8-3C11-43C2-B5A3-1B2005C0A069}"/>
    <cellStyle name="Normal 62" xfId="1843" xr:uid="{6788E506-32FC-42BE-A8D5-E7029705740A}"/>
    <cellStyle name="Normal 63" xfId="1844" xr:uid="{818C0927-A486-4B2C-AD89-3B8F3D4FB256}"/>
    <cellStyle name="Normal 64" xfId="1845" xr:uid="{34047036-985E-40D5-ADDA-4695217F4D64}"/>
    <cellStyle name="Normal 65" xfId="1846" xr:uid="{C13A8DC4-549F-4A71-BEAF-1237DC9B1A26}"/>
    <cellStyle name="Normal 66" xfId="1847" xr:uid="{C39E8EBE-8DF8-46D7-BA0F-A3AFF97EAC16}"/>
    <cellStyle name="Normal 67" xfId="1848" xr:uid="{0049D6BD-3862-4005-A6B3-ED414A8B958C}"/>
    <cellStyle name="Normal 68" xfId="1849" xr:uid="{ED04AA92-4435-4BA0-9624-ED0ED4232491}"/>
    <cellStyle name="Normal 69" xfId="1931" xr:uid="{2CB7033B-3FE4-4E78-825A-FAD7BE89349E}"/>
    <cellStyle name="Normal 7" xfId="71" xr:uid="{E57BA6BA-6E69-47D1-8C7C-DA3D50E370AE}"/>
    <cellStyle name="Normal 7 2" xfId="86" xr:uid="{C15F0EEC-8C2C-445C-A410-DB777EE7F6B5}"/>
    <cellStyle name="Normal 7 2 2" xfId="173" xr:uid="{1CCCA697-0859-4470-A831-660592BD5573}"/>
    <cellStyle name="Normal 7 2 2 2" xfId="4261" xr:uid="{8826C419-1145-40BB-A1A7-65A5FBBED6A6}"/>
    <cellStyle name="Normal 7 2 3" xfId="1850" xr:uid="{2E10A7DF-F79D-4E0E-9766-675B77F99FC2}"/>
    <cellStyle name="Normal 7 3" xfId="99" xr:uid="{10B25A5D-22AA-4F00-A0C9-E0E00D3A4CC7}"/>
    <cellStyle name="Normal 7 3 2" xfId="186" xr:uid="{9EE35D3C-D889-4D9A-BB0F-6968645BD386}"/>
    <cellStyle name="Normal 7 4" xfId="112" xr:uid="{EF704D03-71AC-4C1E-9389-81968DB55485}"/>
    <cellStyle name="Normal 7 4 2" xfId="199" xr:uid="{2B723748-5C8A-4555-B5E9-23B808993698}"/>
    <cellStyle name="Normal 7 5" xfId="125" xr:uid="{35E454CF-C9BE-4188-BE87-29133E9EC213}"/>
    <cellStyle name="Normal 7 5 2" xfId="212" xr:uid="{04D0B22B-8137-4E7E-8298-375057795B90}"/>
    <cellStyle name="Normal 7 6" xfId="138" xr:uid="{9D8B2D9D-A3AA-480B-9A62-77FEF1FC6ECD}"/>
    <cellStyle name="Normal 7 6 2" xfId="225" xr:uid="{405FFFBD-47CA-4A32-A810-1CB45A996497}"/>
    <cellStyle name="Normal 7 7" xfId="159" xr:uid="{E7013BA8-8F25-496D-A0AE-E9EBAC0FC1FE}"/>
    <cellStyle name="Normal 7 8" xfId="282" xr:uid="{97E89EE1-5AD6-4FFD-87CD-2FFFE7526720}"/>
    <cellStyle name="Normal 70" xfId="1932" xr:uid="{32E4A9DE-1880-4C14-A710-2DD0BD544E06}"/>
    <cellStyle name="Normal 71" xfId="1933" xr:uid="{9F4E5069-9411-40C6-A1FC-657C7230AE59}"/>
    <cellStyle name="Normal 72" xfId="1957" xr:uid="{27FF8AF4-E7E2-4D95-8314-84CD2143CE7F}"/>
    <cellStyle name="Normal 73" xfId="1958" xr:uid="{E50FFE6A-9024-4596-AB26-685BBF436343}"/>
    <cellStyle name="Normal 74" xfId="1959" xr:uid="{81631AA1-0C45-442E-A4E8-5ADD8E9E9389}"/>
    <cellStyle name="Normal 75" xfId="1960" xr:uid="{B5ECA85B-8065-4C97-8E99-029030F2D5C1}"/>
    <cellStyle name="Normal 76" xfId="1961" xr:uid="{4A3B8A29-2D8B-49D4-B60D-04EC63AA16EF}"/>
    <cellStyle name="Normal 77" xfId="1962" xr:uid="{CC62C644-C731-4447-9AC0-B84D14B4A78E}"/>
    <cellStyle name="Normal 78" xfId="1963" xr:uid="{2136C39D-16AC-4FB0-8FEC-0487CF0D1894}"/>
    <cellStyle name="Normal 79" xfId="1992" xr:uid="{016B0E84-1192-418D-86AD-FEF8D66D1298}"/>
    <cellStyle name="Normal 8" xfId="52" xr:uid="{3178AFF7-84EA-4312-B66D-0042E4653B89}"/>
    <cellStyle name="Normal 8 2" xfId="89" xr:uid="{0816F47C-CA89-45BC-944F-31FAEEBC8A28}"/>
    <cellStyle name="Normal 8 2 2" xfId="176" xr:uid="{3BAE8300-B121-4E14-AA8E-9F411B6DB669}"/>
    <cellStyle name="Normal 8 2 2 2" xfId="4282" xr:uid="{E0A8AD94-ABB9-4553-8513-F3C6A3161CB1}"/>
    <cellStyle name="Normal 8 3" xfId="102" xr:uid="{5D7ABD48-A688-4FF6-8D59-906948C607B2}"/>
    <cellStyle name="Normal 8 3 2" xfId="189" xr:uid="{7D2EEDE6-D61C-4C27-97CF-8E199EF17845}"/>
    <cellStyle name="Normal 8 3 3" xfId="1851" xr:uid="{82535BDB-6675-4A30-A24F-95E881728318}"/>
    <cellStyle name="Normal 8 4" xfId="115" xr:uid="{633A7B19-4D46-44A8-ADCB-982DF545EEAD}"/>
    <cellStyle name="Normal 8 4 2" xfId="202" xr:uid="{D99ACC57-F6B2-40E2-807C-46ADE56C2D7C}"/>
    <cellStyle name="Normal 8 5" xfId="128" xr:uid="{879A80E4-11A2-47EE-A49E-BE32A146428D}"/>
    <cellStyle name="Normal 8 5 2" xfId="215" xr:uid="{899EE39E-7238-47A4-9DC7-755E3F1C6A1C}"/>
    <cellStyle name="Normal 8 6" xfId="141" xr:uid="{CF6373C7-372E-42C3-98D6-15C5A47CF667}"/>
    <cellStyle name="Normal 8 6 2" xfId="228" xr:uid="{668B72C7-6EE6-4008-8866-9BB4D3E135A7}"/>
    <cellStyle name="Normal 8 7" xfId="162" xr:uid="{8E84D242-71B4-42BC-BD16-94B9D5830C10}"/>
    <cellStyle name="Normal 8 8" xfId="1648" xr:uid="{BE7A6568-7E1E-42E9-A774-0DD5287365B5}"/>
    <cellStyle name="Normal 8_FL13-00086" xfId="1964" xr:uid="{A6FC7767-8405-493F-A9E1-924D1371E35D}"/>
    <cellStyle name="Normal 80" xfId="1993" xr:uid="{FAF6416B-FCA6-4965-8DF0-AAE3BFD332F7}"/>
    <cellStyle name="Normal 81" xfId="1994" xr:uid="{3B1448E4-829B-47A0-9A86-6F721E70C1F1}"/>
    <cellStyle name="Normal 82" xfId="1995" xr:uid="{0CD291CC-2AA1-46F6-ADD4-4344526D1605}"/>
    <cellStyle name="Normal 83" xfId="1996" xr:uid="{9A8868D5-12C1-45A3-872C-08E09662B612}"/>
    <cellStyle name="Normal 84" xfId="1997" xr:uid="{C742F0DD-F16E-4322-B35C-B5CE2062594A}"/>
    <cellStyle name="Normal 85" xfId="1998" xr:uid="{2D4264CC-178C-47CB-A40C-B48E50403853}"/>
    <cellStyle name="Normal 86" xfId="1999" xr:uid="{E4E3D97E-2CBB-49DD-BC1A-AAFA6D810DF6}"/>
    <cellStyle name="Normal 87" xfId="2000" xr:uid="{421B9607-151F-4DA1-9F2A-EC1333A90263}"/>
    <cellStyle name="Normal 88" xfId="2001" xr:uid="{601C3C22-3A53-43B7-A304-390BF50EE383}"/>
    <cellStyle name="Normal 89" xfId="2002" xr:uid="{2A4E1181-25F8-4EE8-B0C8-6084A9CE6696}"/>
    <cellStyle name="Normal 9" xfId="53" xr:uid="{18699AA2-46A5-4DC7-B930-A4C0B25FA8E2}"/>
    <cellStyle name="Normal 9 2" xfId="77" xr:uid="{7CA88C71-DD09-4B44-840F-41D3FB8A2740}"/>
    <cellStyle name="Normal 9 2 2" xfId="4210" xr:uid="{983A8D87-883F-4388-B786-C4BC4489D47F}"/>
    <cellStyle name="Normal 9 2 3" xfId="1965" xr:uid="{85E78243-E8DA-4FC4-BA6F-024A90141B89}"/>
    <cellStyle name="Normal 9 3" xfId="1506" xr:uid="{3CF04B1D-B319-447F-937E-585E5557DDF7}"/>
    <cellStyle name="Normal 9 3 2" xfId="1852" xr:uid="{87FDC19F-8383-452D-AD6A-5BFFF8EA987D}"/>
    <cellStyle name="Normal 9 4" xfId="15688" xr:uid="{10943379-31AD-4CC7-84C7-AF3B5AB55E4E}"/>
    <cellStyle name="Normal 90" xfId="2003" xr:uid="{64B130F1-7E2F-4832-9F1C-CD528310844D}"/>
    <cellStyle name="Normal 91" xfId="2004" xr:uid="{BD9976ED-5DCE-4AF4-86AB-7A7D0E6AF118}"/>
    <cellStyle name="Normal 92" xfId="2005" xr:uid="{DC97A05C-7351-42EA-8554-AED45140723C}"/>
    <cellStyle name="Normal 93" xfId="2006" xr:uid="{E6221E52-1F67-4222-9F45-0804221E8E1C}"/>
    <cellStyle name="Normal 94" xfId="2007" xr:uid="{D7F63234-F6F2-4574-9D03-F8AEB90CBDB0}"/>
    <cellStyle name="Normal 95" xfId="2008" xr:uid="{B6481455-106D-4D01-B24E-E7B05492A294}"/>
    <cellStyle name="Normal 96" xfId="2009" xr:uid="{FE340485-490A-4698-8D8A-A5F52981ABE9}"/>
    <cellStyle name="Normal 97" xfId="2010" xr:uid="{7DFEAFF1-412D-468B-AFEB-9DA638300419}"/>
    <cellStyle name="Normal 98" xfId="2011" xr:uid="{114A713A-724D-4E09-B9FC-313EBB773A90}"/>
    <cellStyle name="Normal 99" xfId="2012" xr:uid="{D13D7BA0-AE13-4D87-9200-0D5BC4D3D4F9}"/>
    <cellStyle name="Normal_Cu-Zn Comp" xfId="1626" xr:uid="{86BCB835-F7CB-43B7-A96A-4F04C2B04093}"/>
    <cellStyle name="Notas" xfId="20" builtinId="10" customBuiltin="1"/>
    <cellStyle name="Notas 2" xfId="283" xr:uid="{0FBEEA29-002E-4F12-ACEC-1921686A9A84}"/>
    <cellStyle name="Notas 2 10" xfId="1649" xr:uid="{37A0757E-E064-4508-BE4F-D046AB52B606}"/>
    <cellStyle name="Notas 2 2" xfId="372" xr:uid="{406EBD89-78EC-4CC2-BBFF-378BBC9EC5C3}"/>
    <cellStyle name="Notas 2 2 2" xfId="1449" xr:uid="{93B2D2C1-6FFF-47E2-9E38-933DCCF3DD79}"/>
    <cellStyle name="Notas 2 2 2 2" xfId="1562" xr:uid="{E8A79B5F-12FA-40F0-BB08-BE617509575B}"/>
    <cellStyle name="Notas 2 2 2 2 10" xfId="4367" xr:uid="{13027753-F1CD-4F3B-B36F-DA197DA6F68B}"/>
    <cellStyle name="Notas 2 2 2 2 10 2" xfId="10327" xr:uid="{357E1E58-6C61-43F6-BA9F-08294B670E2F}"/>
    <cellStyle name="Notas 2 2 2 2 11" xfId="4612" xr:uid="{93350DAC-BEAE-4721-BEC2-07622BAAB5F2}"/>
    <cellStyle name="Notas 2 2 2 2 11 2" xfId="10476" xr:uid="{72117F34-39AF-4B50-8502-5C495839E9DA}"/>
    <cellStyle name="Notas 2 2 2 2 12" xfId="5442" xr:uid="{DB62D2A6-C239-4B4B-A695-78DC85806B15}"/>
    <cellStyle name="Notas 2 2 2 2 12 2" xfId="11236" xr:uid="{28483907-D057-41B8-8C52-EBF98F688624}"/>
    <cellStyle name="Notas 2 2 2 2 13" xfId="5610" xr:uid="{2C89863B-750F-48A6-AB4E-80F941935613}"/>
    <cellStyle name="Notas 2 2 2 2 13 2" xfId="11338" xr:uid="{BC22DD4F-3D96-44AB-B7B3-F4AAA52E588C}"/>
    <cellStyle name="Notas 2 2 2 2 14" xfId="5190" xr:uid="{32A71D5A-87E8-445E-8FA7-4FADA8414B3C}"/>
    <cellStyle name="Notas 2 2 2 2 14 2" xfId="11036" xr:uid="{46739CD6-40A8-407D-84A9-52840A62573A}"/>
    <cellStyle name="Notas 2 2 2 2 15" xfId="6109" xr:uid="{B989CB2D-DDAD-4A78-9997-172E4F6CF0D6}"/>
    <cellStyle name="Notas 2 2 2 2 15 2" xfId="11821" xr:uid="{B9648185-4FA9-49F8-902C-95356B9133F2}"/>
    <cellStyle name="Notas 2 2 2 2 16" xfId="5991" xr:uid="{BF370546-2E65-4C47-9404-7ACBC629AC0F}"/>
    <cellStyle name="Notas 2 2 2 2 16 2" xfId="11703" xr:uid="{B49726B4-FE10-48E8-BD97-7858289EF6E8}"/>
    <cellStyle name="Notas 2 2 2 2 17" xfId="5773" xr:uid="{7599B051-608D-4DC7-9447-6B68C9C3D924}"/>
    <cellStyle name="Notas 2 2 2 2 17 2" xfId="11501" xr:uid="{3EFC595E-D497-4AAC-86ED-E9711CDF8647}"/>
    <cellStyle name="Notas 2 2 2 2 18" xfId="6006" xr:uid="{1C85B93C-4EC8-42DE-AC67-5050714650DB}"/>
    <cellStyle name="Notas 2 2 2 2 18 2" xfId="11718" xr:uid="{C89A6159-997F-48D6-A090-394974BFF95C}"/>
    <cellStyle name="Notas 2 2 2 2 19" xfId="8458" xr:uid="{A1CE5E76-1A94-4F97-84CF-5B0C3B8788A6}"/>
    <cellStyle name="Notas 2 2 2 2 19 2" xfId="13938" xr:uid="{18B37EB4-C175-4E98-9E07-DAC986F2C409}"/>
    <cellStyle name="Notas 2 2 2 2 2" xfId="2438" xr:uid="{BF95B8A8-936D-4515-A4D7-838374C6E7D6}"/>
    <cellStyle name="Notas 2 2 2 2 2 10" xfId="6214" xr:uid="{EC5D0829-9CBE-4235-AE5B-167754638E33}"/>
    <cellStyle name="Notas 2 2 2 2 2 10 2" xfId="11918" xr:uid="{8A65175C-DFCD-4535-9D9F-9412B45B0A58}"/>
    <cellStyle name="Notas 2 2 2 2 2 11" xfId="7301" xr:uid="{526DEA55-952F-43ED-AF9C-49374ED30C1E}"/>
    <cellStyle name="Notas 2 2 2 2 2 11 2" xfId="12873" xr:uid="{DFDD782C-1A0C-450C-8094-6F49CA5F556A}"/>
    <cellStyle name="Notas 2 2 2 2 2 12" xfId="8652" xr:uid="{43765A51-DF0C-4FED-A379-8850D24F5013}"/>
    <cellStyle name="Notas 2 2 2 2 2 12 2" xfId="14040" xr:uid="{1331166D-FC02-4ABD-8B87-180CBB5B60F5}"/>
    <cellStyle name="Notas 2 2 2 2 2 13" xfId="9000" xr:uid="{1C152FEB-0930-4843-A834-013D7E79F380}"/>
    <cellStyle name="Notas 2 2 2 2 2 2" xfId="3026" xr:uid="{66B0C345-15ED-4E7D-B19A-F1A66A551975}"/>
    <cellStyle name="Notas 2 2 2 2 2 2 2" xfId="3966" xr:uid="{2D9CDBE2-5C94-43E8-9A01-12AE62AE8D9E}"/>
    <cellStyle name="Notas 2 2 2 2 2 2 2 2" xfId="10080" xr:uid="{A7617BC5-2432-4E45-B50C-7CE82DA09B66}"/>
    <cellStyle name="Notas 2 2 2 2 2 2 3" xfId="6937" xr:uid="{50C39B0F-A94E-4EB3-B029-6F77DB550757}"/>
    <cellStyle name="Notas 2 2 2 2 2 2 3 2" xfId="12543" xr:uid="{B8172892-D238-4A22-9EB3-7492ECD86C28}"/>
    <cellStyle name="Notas 2 2 2 2 2 2 4" xfId="7615" xr:uid="{88E97023-89AC-41E8-982A-A30C5629109E}"/>
    <cellStyle name="Notas 2 2 2 2 2 2 4 2" xfId="13187" xr:uid="{877ADCAF-68FF-4CEA-906B-7F1E12F62C54}"/>
    <cellStyle name="Notas 2 2 2 2 2 2 5" xfId="8108" xr:uid="{5AE238CF-CB95-487D-91D4-BD5DBC908B0B}"/>
    <cellStyle name="Notas 2 2 2 2 2 2 5 2" xfId="13680" xr:uid="{C1B615C3-B81E-4A7B-9708-529688551540}"/>
    <cellStyle name="Notas 2 2 2 2 2 2 6" xfId="9360" xr:uid="{103B4377-70A9-4EE9-98CD-4A42AD27A6D1}"/>
    <cellStyle name="Notas 2 2 2 2 2 3" xfId="3486" xr:uid="{1415076A-A909-4F98-9B15-F71D81232623}"/>
    <cellStyle name="Notas 2 2 2 2 2 3 2" xfId="9720" xr:uid="{9B25F801-DBF8-4411-BE0D-F5050172D75B}"/>
    <cellStyle name="Notas 2 2 2 2 2 4" xfId="4679" xr:uid="{3E7F2086-B855-49D6-AC75-13BD2798213E}"/>
    <cellStyle name="Notas 2 2 2 2 2 4 2" xfId="10543" xr:uid="{A964CD83-0441-4D92-B3DD-B9FA5E5D49C7}"/>
    <cellStyle name="Notas 2 2 2 2 2 5" xfId="4918" xr:uid="{35BCE5AB-975A-42E4-B8B8-FA0D4D3375E7}"/>
    <cellStyle name="Notas 2 2 2 2 2 5 2" xfId="10764" xr:uid="{CE2E0221-2480-43B7-9B21-B3845899C0A3}"/>
    <cellStyle name="Notas 2 2 2 2 2 6" xfId="5074" xr:uid="{DA9C83EB-AB04-40CF-A4ED-FFB171C779C0}"/>
    <cellStyle name="Notas 2 2 2 2 2 6 2" xfId="10920" xr:uid="{96E6BA27-B9AB-4B4C-A9AF-0F6DA6160669}"/>
    <cellStyle name="Notas 2 2 2 2 2 7" xfId="5844" xr:uid="{0413E455-DC52-41F8-B98E-9AE14363D30E}"/>
    <cellStyle name="Notas 2 2 2 2 2 7 2" xfId="11572" xr:uid="{366660AD-D716-47EC-8BB9-5745CFF92F8D}"/>
    <cellStyle name="Notas 2 2 2 2 2 8" xfId="5232" xr:uid="{968A305E-BF0F-4554-9952-80130C5FAAA7}"/>
    <cellStyle name="Notas 2 2 2 2 2 8 2" xfId="11078" xr:uid="{E4A98FDB-D04F-4D67-8DFA-F73A103296E2}"/>
    <cellStyle name="Notas 2 2 2 2 2 9" xfId="6381" xr:uid="{C0B44D43-11FB-4FE9-A71A-2E1AF8A78CC5}"/>
    <cellStyle name="Notas 2 2 2 2 2 9 2" xfId="12085" xr:uid="{64227CF8-ED19-4785-A10C-615809F4A743}"/>
    <cellStyle name="Notas 2 2 2 2 20" xfId="8898" xr:uid="{CB92EE09-2963-40DF-8610-E75A57857234}"/>
    <cellStyle name="Notas 2 2 2 2 21" xfId="2244" xr:uid="{73A49194-98B5-416A-A4F1-11D915B735D7}"/>
    <cellStyle name="Notas 2 2 2 2 3" xfId="2543" xr:uid="{96693555-C24D-4EB2-B243-289042EB838A}"/>
    <cellStyle name="Notas 2 2 2 2 3 10" xfId="7235" xr:uid="{487A8E4B-1A1B-44C4-9C94-259623DBCD54}"/>
    <cellStyle name="Notas 2 2 2 2 3 10 2" xfId="12807" xr:uid="{060DAAE2-42F5-4DF4-8499-6B8A5CC5EAA4}"/>
    <cellStyle name="Notas 2 2 2 2 3 11" xfId="6318" xr:uid="{E864C23B-8672-4C15-916A-67CDFDDFEA3C}"/>
    <cellStyle name="Notas 2 2 2 2 3 11 2" xfId="12022" xr:uid="{CFE925BE-E1F1-4F83-8A82-AFCEFEA55408}"/>
    <cellStyle name="Notas 2 2 2 2 3 12" xfId="8757" xr:uid="{A5FEAC55-EB81-4F72-A875-C8B00809A456}"/>
    <cellStyle name="Notas 2 2 2 2 3 12 2" xfId="14113" xr:uid="{21BBE45E-A20B-4252-BA61-60D01A23E9FC}"/>
    <cellStyle name="Notas 2 2 2 2 3 13" xfId="9073" xr:uid="{F7B220D3-9F17-4E73-A36E-FAC857B50E52}"/>
    <cellStyle name="Notas 2 2 2 2 3 2" xfId="3099" xr:uid="{5B4573A8-6A14-4579-BAF0-6D8413B68066}"/>
    <cellStyle name="Notas 2 2 2 2 3 2 2" xfId="4039" xr:uid="{7B4BAEFB-559B-4ECB-B8D8-9723CBE87835}"/>
    <cellStyle name="Notas 2 2 2 2 3 2 2 2" xfId="10153" xr:uid="{57427425-3C30-4C0F-8506-ED13022C239D}"/>
    <cellStyle name="Notas 2 2 2 2 3 2 3" xfId="7010" xr:uid="{48C02D4A-C017-4C41-BF09-E5A6347B7B59}"/>
    <cellStyle name="Notas 2 2 2 2 3 2 3 2" xfId="12616" xr:uid="{CA3ED000-57F0-40DB-9E96-7696E5740DF9}"/>
    <cellStyle name="Notas 2 2 2 2 3 2 4" xfId="7688" xr:uid="{B40D8C8D-B21B-4C0B-A17B-8E96D2D667B8}"/>
    <cellStyle name="Notas 2 2 2 2 3 2 4 2" xfId="13260" xr:uid="{5B992CCE-FF4E-4DAF-A9F7-C8DCDDE3C8A1}"/>
    <cellStyle name="Notas 2 2 2 2 3 2 5" xfId="8181" xr:uid="{3F624CD4-2612-48CE-8112-CAC147C6020A}"/>
    <cellStyle name="Notas 2 2 2 2 3 2 5 2" xfId="13753" xr:uid="{103DDFF9-025A-40EB-B1A3-796765F3C550}"/>
    <cellStyle name="Notas 2 2 2 2 3 2 6" xfId="9433" xr:uid="{7B06FABF-E4F7-42BD-B64A-7643C3ADDC54}"/>
    <cellStyle name="Notas 2 2 2 2 3 3" xfId="3559" xr:uid="{31C49F45-2235-4D6B-8531-72D2ADA15150}"/>
    <cellStyle name="Notas 2 2 2 2 3 3 2" xfId="9793" xr:uid="{0E8B846A-2EBA-4915-ACDD-DF16184E2093}"/>
    <cellStyle name="Notas 2 2 2 2 3 4" xfId="4756" xr:uid="{1569F913-7258-4A88-A8A3-6EFC99F24D34}"/>
    <cellStyle name="Notas 2 2 2 2 3 4 2" xfId="10620" xr:uid="{1DEA6923-B85D-453A-AE66-1AD794AF6078}"/>
    <cellStyle name="Notas 2 2 2 2 3 5" xfId="4999" xr:uid="{7BB38BD8-6FBC-4140-9A85-FFF39221D9D8}"/>
    <cellStyle name="Notas 2 2 2 2 3 5 2" xfId="10845" xr:uid="{0BE8931B-25B1-44E2-91DC-C71F274EA482}"/>
    <cellStyle name="Notas 2 2 2 2 3 6" xfId="5147" xr:uid="{5C32C270-6A12-4737-B04D-3BC5763D0DFA}"/>
    <cellStyle name="Notas 2 2 2 2 3 6 2" xfId="10993" xr:uid="{17D0A10B-7724-4297-A2FE-CB826C6968E1}"/>
    <cellStyle name="Notas 2 2 2 2 3 7" xfId="5938" xr:uid="{24BE5EA1-C189-4B61-9884-24F7C0E8C7BA}"/>
    <cellStyle name="Notas 2 2 2 2 3 7 2" xfId="11666" xr:uid="{9B2220F1-E736-4D43-834B-A7801821D728}"/>
    <cellStyle name="Notas 2 2 2 2 3 8" xfId="6268" xr:uid="{AE876FC1-F68D-4305-81F1-08C70BB3B6A9}"/>
    <cellStyle name="Notas 2 2 2 2 3 8 2" xfId="11972" xr:uid="{DEC148E2-0F4B-44A1-BD05-05599E7D5403}"/>
    <cellStyle name="Notas 2 2 2 2 3 9" xfId="6470" xr:uid="{BE822E71-FA1E-4285-BF2F-4FCF27DA10EA}"/>
    <cellStyle name="Notas 2 2 2 2 3 9 2" xfId="12174" xr:uid="{4A36EAEC-E9E9-4115-B850-8A9CC39C5666}"/>
    <cellStyle name="Notas 2 2 2 2 4" xfId="2281" xr:uid="{05EE3FB4-ABB9-426D-BEF6-B97F5873474E}"/>
    <cellStyle name="Notas 2 2 2 2 4 10" xfId="6296" xr:uid="{3F7EA802-8478-43FE-ABCC-3FF7BFCA1462}"/>
    <cellStyle name="Notas 2 2 2 2 4 10 2" xfId="12000" xr:uid="{52B83832-D970-4710-BF71-410BDD0D5250}"/>
    <cellStyle name="Notas 2 2 2 2 4 11" xfId="6415" xr:uid="{AEA773FB-728C-4285-AEA3-4216DB4FCF7B}"/>
    <cellStyle name="Notas 2 2 2 2 4 11 2" xfId="12119" xr:uid="{461CF9B1-EA76-4756-BB76-2216339EE843}"/>
    <cellStyle name="Notas 2 2 2 2 4 12" xfId="8495" xr:uid="{CF81BC49-0441-4D1A-BFE6-E1980F279B14}"/>
    <cellStyle name="Notas 2 2 2 2 4 12 2" xfId="13975" xr:uid="{961E4B96-66C3-4160-82F7-71286AF1F270}"/>
    <cellStyle name="Notas 2 2 2 2 4 13" xfId="8935" xr:uid="{9D39161A-6724-4D2D-8562-31B84CD571DA}"/>
    <cellStyle name="Notas 2 2 2 2 4 2" xfId="2961" xr:uid="{EF0D613E-BD7B-47EB-B4B2-631F9BC0DBC1}"/>
    <cellStyle name="Notas 2 2 2 2 4 2 2" xfId="3901" xr:uid="{3A47D3F5-9E03-47D2-BE51-55F3C447A3E1}"/>
    <cellStyle name="Notas 2 2 2 2 4 2 2 2" xfId="10015" xr:uid="{00FC7A55-C978-4058-B382-5A70B1FD2A2C}"/>
    <cellStyle name="Notas 2 2 2 2 4 2 3" xfId="6872" xr:uid="{7B41BC7A-892D-4968-A900-E9ACB3F357A2}"/>
    <cellStyle name="Notas 2 2 2 2 4 2 3 2" xfId="12478" xr:uid="{FB550949-A4BE-4678-8042-C63E6CCF7842}"/>
    <cellStyle name="Notas 2 2 2 2 4 2 4" xfId="7550" xr:uid="{667046C1-6E51-414E-B2DE-68F1847A82AD}"/>
    <cellStyle name="Notas 2 2 2 2 4 2 4 2" xfId="13122" xr:uid="{18EE0C19-1FA3-4303-8097-EF094C9834F2}"/>
    <cellStyle name="Notas 2 2 2 2 4 2 5" xfId="8043" xr:uid="{238B4526-79EC-4BD8-93E9-202A7685EE70}"/>
    <cellStyle name="Notas 2 2 2 2 4 2 5 2" xfId="13615" xr:uid="{A237D1AC-20B4-4B2C-9DDC-47A2DC2F548F}"/>
    <cellStyle name="Notas 2 2 2 2 4 2 6" xfId="9295" xr:uid="{C38D9883-714E-46C1-ADB7-3BB50740A56A}"/>
    <cellStyle name="Notas 2 2 2 2 4 3" xfId="3421" xr:uid="{5B0ECAB3-97EB-444A-8C7E-44ADF4872655}"/>
    <cellStyle name="Notas 2 2 2 2 4 3 2" xfId="9655" xr:uid="{63ED1B60-35B9-4B56-B656-CDEB2B561AEA}"/>
    <cellStyle name="Notas 2 2 2 2 4 4" xfId="4588" xr:uid="{28E65153-8309-4343-AB17-B4132B58D142}"/>
    <cellStyle name="Notas 2 2 2 2 4 4 2" xfId="10452" xr:uid="{6D4C9763-319F-4411-A3E4-4259CFA4122F}"/>
    <cellStyle name="Notas 2 2 2 2 4 5" xfId="4833" xr:uid="{FDD1ADAF-8AA6-4859-8FDC-FAC94D325EC6}"/>
    <cellStyle name="Notas 2 2 2 2 4 5 2" xfId="10679" xr:uid="{672F12F8-5418-49DE-95F1-7B5C305FF3CE}"/>
    <cellStyle name="Notas 2 2 2 2 4 6" xfId="4424" xr:uid="{BCB5DFEB-F923-49E0-985E-5E16F73E7789}"/>
    <cellStyle name="Notas 2 2 2 2 4 6 2" xfId="10370" xr:uid="{00115F5B-D632-46BE-AA29-C0922ED8179A}"/>
    <cellStyle name="Notas 2 2 2 2 4 7" xfId="5719" xr:uid="{5022F370-F2EF-416B-92A2-D03D26D8E370}"/>
    <cellStyle name="Notas 2 2 2 2 4 7 2" xfId="11447" xr:uid="{6DEF07DD-AB55-4050-9CE1-2E280B699650}"/>
    <cellStyle name="Notas 2 2 2 2 4 8" xfId="5787" xr:uid="{84CD675C-F6AD-4E4F-9DCD-094B5762EFBF}"/>
    <cellStyle name="Notas 2 2 2 2 4 8 2" xfId="11515" xr:uid="{87AE2077-C617-4DCF-AF2E-890B54844A0F}"/>
    <cellStyle name="Notas 2 2 2 2 4 9" xfId="6102" xr:uid="{D9EE15C1-C879-4F9C-8D64-979A3EEC9369}"/>
    <cellStyle name="Notas 2 2 2 2 4 9 2" xfId="11814" xr:uid="{0809740C-63DD-4222-9DDB-A1DEFA4D01E4}"/>
    <cellStyle name="Notas 2 2 2 2 5" xfId="2700" xr:uid="{80E6CF71-3E7E-404C-BD47-C5EFD2B50F3A}"/>
    <cellStyle name="Notas 2 2 2 2 5 2" xfId="3164" xr:uid="{DD614FF2-E3A8-4F0E-B350-76B96242A1CF}"/>
    <cellStyle name="Notas 2 2 2 2 5 2 2" xfId="4122" xr:uid="{2AF0F810-F634-4C99-BCE7-1A3A6A12B345}"/>
    <cellStyle name="Notas 2 2 2 2 5 2 2 2" xfId="10218" xr:uid="{F20DF28E-E01A-40DC-BE0F-3CD26843ED97}"/>
    <cellStyle name="Notas 2 2 2 2 5 2 3" xfId="7093" xr:uid="{46524422-4043-4CDA-BFDB-90C935704FC4}"/>
    <cellStyle name="Notas 2 2 2 2 5 2 3 2" xfId="12681" xr:uid="{40184BCE-12B0-4198-90B7-E69451EB0343}"/>
    <cellStyle name="Notas 2 2 2 2 5 2 4" xfId="7754" xr:uid="{D418C608-6FA5-457E-925F-FCB3D3C60A82}"/>
    <cellStyle name="Notas 2 2 2 2 5 2 4 2" xfId="13326" xr:uid="{6CD93402-1C90-444F-B877-C2CCC0BE1E9F}"/>
    <cellStyle name="Notas 2 2 2 2 5 2 5" xfId="8246" xr:uid="{DDEEDEAD-3164-46A3-868C-C4F879CCBAFF}"/>
    <cellStyle name="Notas 2 2 2 2 5 2 5 2" xfId="13818" xr:uid="{93E892F1-F824-42E5-9BE2-2DF66DC949F8}"/>
    <cellStyle name="Notas 2 2 2 2 5 2 6" xfId="9498" xr:uid="{9B3B0908-A44F-4CBD-8C32-4C07EDA7D0B0}"/>
    <cellStyle name="Notas 2 2 2 2 5 3" xfId="3642" xr:uid="{76F2D8E7-30AD-4EE1-8623-C344C2858FF7}"/>
    <cellStyle name="Notas 2 2 2 2 5 3 2" xfId="9858" xr:uid="{E2F63797-0843-4FBD-9DA9-EA538EED20F3}"/>
    <cellStyle name="Notas 2 2 2 2 5 4" xfId="6079" xr:uid="{4630FCED-7DF2-4860-9FDF-9B7B2329366F}"/>
    <cellStyle name="Notas 2 2 2 2 5 4 2" xfId="11791" xr:uid="{EA7D8724-5CCC-452F-8044-C3D60D2E2B98}"/>
    <cellStyle name="Notas 2 2 2 2 5 5" xfId="6597" xr:uid="{8DFF616C-0CC0-4C4D-99FB-352A1C648D6F}"/>
    <cellStyle name="Notas 2 2 2 2 5 5 2" xfId="12301" xr:uid="{D55877F5-D410-4C54-9663-812B31383697}"/>
    <cellStyle name="Notas 2 2 2 2 5 6" xfId="7351" xr:uid="{B329C292-A21C-40C9-9222-B94FCD61DC2F}"/>
    <cellStyle name="Notas 2 2 2 2 5 6 2" xfId="12923" xr:uid="{02FFDFB8-2066-418E-897E-71075D032656}"/>
    <cellStyle name="Notas 2 2 2 2 5 7" xfId="7886" xr:uid="{A529B1C2-7D3C-430B-BB22-F88EE7DBB17C}"/>
    <cellStyle name="Notas 2 2 2 2 5 7 2" xfId="13458" xr:uid="{DC34ECDA-E7F7-4DB3-8CFE-053E289FF50C}"/>
    <cellStyle name="Notas 2 2 2 2 5 8" xfId="9138" xr:uid="{8FE4D254-B174-421C-B0F5-68FEDC263B5C}"/>
    <cellStyle name="Notas 2 2 2 2 6" xfId="2792" xr:uid="{DDCC4CE1-6C3C-4054-A5AD-B68AD645BC08}"/>
    <cellStyle name="Notas 2 2 2 2 6 2" xfId="3224" xr:uid="{6A7A89A4-B92E-451D-9593-FCD0A0FB64A3}"/>
    <cellStyle name="Notas 2 2 2 2 6 2 2" xfId="4182" xr:uid="{DE68E789-1498-40B7-BDA9-7046AA3BAAC5}"/>
    <cellStyle name="Notas 2 2 2 2 6 2 2 2" xfId="10278" xr:uid="{85645FD0-620B-4597-9B9D-3A549AB3BAD9}"/>
    <cellStyle name="Notas 2 2 2 2 6 2 3" xfId="7153" xr:uid="{5387F66E-8944-4F9D-ABE0-47B54BA95062}"/>
    <cellStyle name="Notas 2 2 2 2 6 2 3 2" xfId="12741" xr:uid="{167E8E03-EF4D-4BA0-9364-516EDECC3309}"/>
    <cellStyle name="Notas 2 2 2 2 6 2 4" xfId="7814" xr:uid="{D26D0A3D-0CFD-4750-95FE-2BF8124B695A}"/>
    <cellStyle name="Notas 2 2 2 2 6 2 4 2" xfId="13386" xr:uid="{A2BA6F4F-0749-420C-A265-8A48FBDC5002}"/>
    <cellStyle name="Notas 2 2 2 2 6 2 5" xfId="8306" xr:uid="{82B0AED9-588E-4667-92FE-74DCB7CEDA56}"/>
    <cellStyle name="Notas 2 2 2 2 6 2 5 2" xfId="13878" xr:uid="{7533BFE2-CC7C-45D0-BB97-B5BD3F151E74}"/>
    <cellStyle name="Notas 2 2 2 2 6 2 6" xfId="9558" xr:uid="{C00E6E2F-EDD3-4D56-B0AA-7CC7C0A02708}"/>
    <cellStyle name="Notas 2 2 2 2 6 3" xfId="3702" xr:uid="{1BD13D2B-D374-4507-9CBA-BB964DC96D8C}"/>
    <cellStyle name="Notas 2 2 2 2 6 3 2" xfId="9918" xr:uid="{79DB3531-A249-4D84-94FE-39537593396A}"/>
    <cellStyle name="Notas 2 2 2 2 6 4" xfId="6159" xr:uid="{9FDAC2B2-672E-4E4C-B6F3-B566F0B1B29B}"/>
    <cellStyle name="Notas 2 2 2 2 6 4 2" xfId="11871" xr:uid="{CF000227-E9A8-4ECC-A1FC-A0C268C74D23}"/>
    <cellStyle name="Notas 2 2 2 2 6 5" xfId="6669" xr:uid="{4EB1812D-E2CC-47F0-AA57-49669BE76A0F}"/>
    <cellStyle name="Notas 2 2 2 2 6 5 2" xfId="12373" xr:uid="{58B991B9-06D1-4B8D-ADBC-27C03FC9B70D}"/>
    <cellStyle name="Notas 2 2 2 2 6 6" xfId="7413" xr:uid="{3B49B90F-10A4-4F21-9454-60BC974DF925}"/>
    <cellStyle name="Notas 2 2 2 2 6 6 2" xfId="12985" xr:uid="{AD34FE28-C780-43C8-A218-6DD6F9149D64}"/>
    <cellStyle name="Notas 2 2 2 2 6 7" xfId="7946" xr:uid="{84476026-D30D-46EA-A652-B8CF970EC416}"/>
    <cellStyle name="Notas 2 2 2 2 6 7 2" xfId="13518" xr:uid="{6F6B471B-B5E1-41A1-8AE1-7CF8FCC693CA}"/>
    <cellStyle name="Notas 2 2 2 2 6 8" xfId="9198" xr:uid="{3FDD99C0-5915-46EB-8FFF-9B978D385099}"/>
    <cellStyle name="Notas 2 2 2 2 7" xfId="2892" xr:uid="{6A7E16EB-48A4-4CE1-93DC-8CD34FAF0D71}"/>
    <cellStyle name="Notas 2 2 2 2 7 2" xfId="3820" xr:uid="{64024D94-BDEC-4602-A772-4B356D76AE18}"/>
    <cellStyle name="Notas 2 2 2 2 7 2 2" xfId="9978" xr:uid="{3D0FF755-FBD0-4EB9-ADE7-821FB12D111F}"/>
    <cellStyle name="Notas 2 2 2 2 7 3" xfId="6791" xr:uid="{93AC8CB1-05BD-4874-B2B8-762432CC8B42}"/>
    <cellStyle name="Notas 2 2 2 2 7 3 2" xfId="12441" xr:uid="{B01EAB0C-01CC-46A3-BC61-B664ACBD6F9D}"/>
    <cellStyle name="Notas 2 2 2 2 7 4" xfId="7498" xr:uid="{0B227F83-B334-49F5-8151-1E37CDF6757E}"/>
    <cellStyle name="Notas 2 2 2 2 7 4 2" xfId="13070" xr:uid="{2DD0CF51-7597-4159-9034-1F6E9F4D332E}"/>
    <cellStyle name="Notas 2 2 2 2 7 5" xfId="8006" xr:uid="{BDF38D88-20EE-4452-8BC2-10B1B42D99C7}"/>
    <cellStyle name="Notas 2 2 2 2 7 5 2" xfId="13578" xr:uid="{A6F20E5E-737F-4AA9-BCA0-7181ACA38150}"/>
    <cellStyle name="Notas 2 2 2 2 7 6" xfId="9258" xr:uid="{7199C96C-C9A2-46DC-8FDB-864951D8E664}"/>
    <cellStyle name="Notas 2 2 2 2 8" xfId="3340" xr:uid="{FB2BD129-FFCF-4AAD-BD35-AE7B30063803}"/>
    <cellStyle name="Notas 2 2 2 2 8 2" xfId="9618" xr:uid="{23A00160-0A8E-40D4-8860-AFF6F254278B}"/>
    <cellStyle name="Notas 2 2 2 2 9" xfId="4507" xr:uid="{A842C1A2-1239-4BE3-A42F-D85470A01F8E}"/>
    <cellStyle name="Notas 2 2 2 2 9 2" xfId="10415" xr:uid="{90B2FC55-9ED9-456B-8D0C-F404902858C2}"/>
    <cellStyle name="Notas 2 2 2 3" xfId="1615" xr:uid="{59191E48-B1CB-4CC8-B82A-D833ACE38081}"/>
    <cellStyle name="Notas 2 2 2 3 10" xfId="4337" xr:uid="{885E99FB-64FB-456B-B296-6B7CE662301C}"/>
    <cellStyle name="Notas 2 2 2 3 10 2" xfId="10297" xr:uid="{1C3BCBD9-381D-48F0-9C65-C999710EADC6}"/>
    <cellStyle name="Notas 2 2 2 3 11" xfId="4390" xr:uid="{9EC8E7BD-BBC6-4D47-AE27-5FE2B11FB515}"/>
    <cellStyle name="Notas 2 2 2 3 11 2" xfId="10348" xr:uid="{39628781-45A0-4E77-9E7F-6122720FBFB0}"/>
    <cellStyle name="Notas 2 2 2 3 12" xfId="5414" xr:uid="{913149A5-6C15-496C-B373-E53D8C22345B}"/>
    <cellStyle name="Notas 2 2 2 3 12 2" xfId="11212" xr:uid="{85BEF8DA-465C-4DAC-9447-27645C925FCA}"/>
    <cellStyle name="Notas 2 2 2 3 13" xfId="5582" xr:uid="{84194B89-3F70-4418-9E78-D0CB27C1C992}"/>
    <cellStyle name="Notas 2 2 2 3 13 2" xfId="11310" xr:uid="{2236D700-232E-4753-99D3-9967E975084F}"/>
    <cellStyle name="Notas 2 2 2 3 14" xfId="5291" xr:uid="{5FBEE7A0-E8B4-4143-A02A-0FD8356541A8}"/>
    <cellStyle name="Notas 2 2 2 3 14 2" xfId="11135" xr:uid="{744C58BB-7E04-4A18-A96A-8D0B99380670}"/>
    <cellStyle name="Notas 2 2 2 3 15" xfId="5870" xr:uid="{C39BB94E-1720-4A49-9C12-3DDF5FEA4470}"/>
    <cellStyle name="Notas 2 2 2 3 15 2" xfId="11598" xr:uid="{D8DCC774-CF84-4F46-B2F5-BB7715381904}"/>
    <cellStyle name="Notas 2 2 2 3 16" xfId="5657" xr:uid="{07BA59FA-F59E-4F37-AD88-600A5FF539B3}"/>
    <cellStyle name="Notas 2 2 2 3 16 2" xfId="11385" xr:uid="{3C1DFDC4-CB08-4ECA-B724-70613CE5D04D}"/>
    <cellStyle name="Notas 2 2 2 3 17" xfId="5779" xr:uid="{45BD3CBE-26EE-4A31-A32C-D1236AB10694}"/>
    <cellStyle name="Notas 2 2 2 3 17 2" xfId="11507" xr:uid="{6F43D9AB-6ACC-4190-957D-576C6E4138B5}"/>
    <cellStyle name="Notas 2 2 2 3 18" xfId="6521" xr:uid="{68162400-1734-4375-ADAE-F8F9DE19B9DA}"/>
    <cellStyle name="Notas 2 2 2 3 18 2" xfId="12225" xr:uid="{23231B79-10F6-47DD-9B83-83D157386EB2}"/>
    <cellStyle name="Notas 2 2 2 3 19" xfId="8434" xr:uid="{FCFBDB23-7AE2-409B-A38B-300E460C3515}"/>
    <cellStyle name="Notas 2 2 2 3 19 2" xfId="13914" xr:uid="{E73879CD-001A-4633-A36E-FB46D444ADE2}"/>
    <cellStyle name="Notas 2 2 2 3 2" xfId="2412" xr:uid="{E6FA9A4F-F0F6-471F-9A8A-620B64456348}"/>
    <cellStyle name="Notas 2 2 2 3 2 10" xfId="5672" xr:uid="{EBD1515B-1579-43AB-B1C3-90C42F303DA1}"/>
    <cellStyle name="Notas 2 2 2 3 2 10 2" xfId="11400" xr:uid="{BBB32297-44A1-4457-BC79-432B923499DB}"/>
    <cellStyle name="Notas 2 2 2 3 2 11" xfId="5561" xr:uid="{ABB8FEB3-E17A-4FC6-9401-B6F194A46F5F}"/>
    <cellStyle name="Notas 2 2 2 3 2 11 2" xfId="11289" xr:uid="{B2996A64-8FEC-4C50-9395-B575E31B807D}"/>
    <cellStyle name="Notas 2 2 2 3 2 12" xfId="8626" xr:uid="{0E499188-938F-41D7-B953-9296470139FA}"/>
    <cellStyle name="Notas 2 2 2 3 2 12 2" xfId="14014" xr:uid="{25C45443-83EA-401A-B6AF-489C3D142468}"/>
    <cellStyle name="Notas 2 2 2 3 2 13" xfId="8974" xr:uid="{37E9C131-4EF5-4ADD-BBDB-32964B33A6B2}"/>
    <cellStyle name="Notas 2 2 2 3 2 2" xfId="3000" xr:uid="{6FDCF739-0AE1-45F3-A430-D51E29A6C4EC}"/>
    <cellStyle name="Notas 2 2 2 3 2 2 2" xfId="3940" xr:uid="{0984A71A-EE72-49EB-AE47-5C9B1104CD8A}"/>
    <cellStyle name="Notas 2 2 2 3 2 2 2 2" xfId="10054" xr:uid="{8CEF187E-8A8F-4657-B35B-B1DB7E4EC227}"/>
    <cellStyle name="Notas 2 2 2 3 2 2 3" xfId="6911" xr:uid="{1263C951-722E-44B1-B415-6CEA41ABF844}"/>
    <cellStyle name="Notas 2 2 2 3 2 2 3 2" xfId="12517" xr:uid="{8F9D45F7-D3B0-4F90-A142-9FF9A72A0417}"/>
    <cellStyle name="Notas 2 2 2 3 2 2 4" xfId="7589" xr:uid="{0AD3174C-103A-4BAF-A923-68E0015DFCE1}"/>
    <cellStyle name="Notas 2 2 2 3 2 2 4 2" xfId="13161" xr:uid="{DFEC4757-0285-4128-A008-5A958F1D7BBD}"/>
    <cellStyle name="Notas 2 2 2 3 2 2 5" xfId="8082" xr:uid="{EE758601-F05E-48FB-96B1-AB8EF6339F6B}"/>
    <cellStyle name="Notas 2 2 2 3 2 2 5 2" xfId="13654" xr:uid="{9F01BEFE-B46C-410A-87A1-E28C25FEDE8B}"/>
    <cellStyle name="Notas 2 2 2 3 2 2 6" xfId="9334" xr:uid="{4DF6D70F-93CC-467E-BA6A-BBD19DF74AE2}"/>
    <cellStyle name="Notas 2 2 2 3 2 3" xfId="3460" xr:uid="{1F92DDD7-84C2-4E44-9769-A802659C97D5}"/>
    <cellStyle name="Notas 2 2 2 3 2 3 2" xfId="9694" xr:uid="{C50CD466-0FF0-4FCE-A173-1212BB77060E}"/>
    <cellStyle name="Notas 2 2 2 3 2 4" xfId="4653" xr:uid="{11CD0CD5-A811-4D35-A425-A47295373E0D}"/>
    <cellStyle name="Notas 2 2 2 3 2 4 2" xfId="10517" xr:uid="{4AF3DCE4-410B-41AC-9E06-E5B787EDB798}"/>
    <cellStyle name="Notas 2 2 2 3 2 5" xfId="4892" xr:uid="{75038E93-EA2B-4732-8EB1-96BBF5C868D5}"/>
    <cellStyle name="Notas 2 2 2 3 2 5 2" xfId="10738" xr:uid="{C97BB308-5AFB-4202-A329-8CD0D13CDAB1}"/>
    <cellStyle name="Notas 2 2 2 3 2 6" xfId="5048" xr:uid="{7F9682FC-07F9-4199-9CF1-B2BC2585163B}"/>
    <cellStyle name="Notas 2 2 2 3 2 6 2" xfId="10894" xr:uid="{ED6C39A8-964F-4524-8E88-C1699E52B757}"/>
    <cellStyle name="Notas 2 2 2 3 2 7" xfId="5818" xr:uid="{326AA274-B443-45EC-8EB1-AD74DD67A6BA}"/>
    <cellStyle name="Notas 2 2 2 3 2 7 2" xfId="11546" xr:uid="{196C72D4-0930-4F59-98C0-71F98BA6DCBC}"/>
    <cellStyle name="Notas 2 2 2 3 2 8" xfId="5593" xr:uid="{541553EE-876B-4232-B867-D545DFB62039}"/>
    <cellStyle name="Notas 2 2 2 3 2 8 2" xfId="11321" xr:uid="{B6407417-CED5-4954-B3F4-E5DB35C649BB}"/>
    <cellStyle name="Notas 2 2 2 3 2 9" xfId="6355" xr:uid="{D6A03060-397C-4A37-AF02-425AB0FA097D}"/>
    <cellStyle name="Notas 2 2 2 3 2 9 2" xfId="12059" xr:uid="{30364540-82F0-468C-8B7E-1E519B24FF44}"/>
    <cellStyle name="Notas 2 2 2 3 20" xfId="8874" xr:uid="{653D607E-F7A9-4715-B61E-31A176635811}"/>
    <cellStyle name="Notas 2 2 2 3 21" xfId="2220" xr:uid="{1F8F299C-2545-4628-A2EA-44E2AA197D1D}"/>
    <cellStyle name="Notas 2 2 2 3 3" xfId="2518" xr:uid="{371DAF00-2FE6-46C3-8BF4-218218F56669}"/>
    <cellStyle name="Notas 2 2 2 3 3 10" xfId="7210" xr:uid="{4CAC2770-3002-4E0F-A7B4-27C18909CDC7}"/>
    <cellStyle name="Notas 2 2 2 3 3 10 2" xfId="12782" xr:uid="{0000E3E4-4E8C-4116-8F42-EDC3383BFE50}"/>
    <cellStyle name="Notas 2 2 2 3 3 11" xfId="5596" xr:uid="{7B0A1B26-1C14-4798-809F-463F0CCC1EA1}"/>
    <cellStyle name="Notas 2 2 2 3 3 11 2" xfId="11324" xr:uid="{95C844E3-A019-44FD-A801-339222F46575}"/>
    <cellStyle name="Notas 2 2 2 3 3 12" xfId="8732" xr:uid="{84BA35C7-AF50-49F8-B0DB-BAFA4877135C}"/>
    <cellStyle name="Notas 2 2 2 3 3 12 2" xfId="14088" xr:uid="{62E454A3-FCFB-47F3-9B04-CEF2D3B1B4D2}"/>
    <cellStyle name="Notas 2 2 2 3 3 13" xfId="9048" xr:uid="{105C9889-635B-4497-9C12-8DC7E8D55711}"/>
    <cellStyle name="Notas 2 2 2 3 3 2" xfId="3074" xr:uid="{48F84559-3E87-4A92-88F8-2CA7E18DBE36}"/>
    <cellStyle name="Notas 2 2 2 3 3 2 2" xfId="4014" xr:uid="{114326F5-E498-4B89-A978-60680328D47B}"/>
    <cellStyle name="Notas 2 2 2 3 3 2 2 2" xfId="10128" xr:uid="{0A6F9997-8D1B-4E21-BC12-D8A6F64ED797}"/>
    <cellStyle name="Notas 2 2 2 3 3 2 3" xfId="6985" xr:uid="{51A9035D-CCAE-4FC4-9D69-56A1F7DF348A}"/>
    <cellStyle name="Notas 2 2 2 3 3 2 3 2" xfId="12591" xr:uid="{68EDB261-C5EF-481D-9A2B-D63550D80E76}"/>
    <cellStyle name="Notas 2 2 2 3 3 2 4" xfId="7663" xr:uid="{56106B8C-4FAF-44D1-BF45-67801636A979}"/>
    <cellStyle name="Notas 2 2 2 3 3 2 4 2" xfId="13235" xr:uid="{F08165C8-A5A7-410A-A100-6F7014DF66CE}"/>
    <cellStyle name="Notas 2 2 2 3 3 2 5" xfId="8156" xr:uid="{53BB0515-E056-4263-AFBA-D1D7B264F608}"/>
    <cellStyle name="Notas 2 2 2 3 3 2 5 2" xfId="13728" xr:uid="{A459B2DB-A59C-41C5-95E3-924627D70654}"/>
    <cellStyle name="Notas 2 2 2 3 3 2 6" xfId="9408" xr:uid="{EA024530-C78E-4F37-BD61-19C52F88D268}"/>
    <cellStyle name="Notas 2 2 2 3 3 3" xfId="3534" xr:uid="{04D640E3-A737-4242-9E35-A1CA87F2113B}"/>
    <cellStyle name="Notas 2 2 2 3 3 3 2" xfId="9768" xr:uid="{68EB0388-DF1A-4C4F-BF38-FC2F01E579AE}"/>
    <cellStyle name="Notas 2 2 2 3 3 4" xfId="4731" xr:uid="{02AB8A3E-E525-4574-BF30-DC482C8B57E6}"/>
    <cellStyle name="Notas 2 2 2 3 3 4 2" xfId="10595" xr:uid="{798A07B1-5048-420A-86DA-4675D46E629F}"/>
    <cellStyle name="Notas 2 2 2 3 3 5" xfId="4974" xr:uid="{4B554EAC-373C-427F-90AD-B528D9227C6A}"/>
    <cellStyle name="Notas 2 2 2 3 3 5 2" xfId="10820" xr:uid="{6A09B26E-D3C6-4427-9EE4-FDC3582223C2}"/>
    <cellStyle name="Notas 2 2 2 3 3 6" xfId="5122" xr:uid="{D1B74897-32D4-4027-B260-0CF78DE6308F}"/>
    <cellStyle name="Notas 2 2 2 3 3 6 2" xfId="10968" xr:uid="{3E7E1EC7-DC10-4D6E-A313-96DBD22AE20A}"/>
    <cellStyle name="Notas 2 2 2 3 3 7" xfId="5913" xr:uid="{BC212177-EE55-4004-89E5-E852A8C15846}"/>
    <cellStyle name="Notas 2 2 2 3 3 7 2" xfId="11641" xr:uid="{7026B8CE-08A6-4B8E-94BB-3A4FCDCD66FF}"/>
    <cellStyle name="Notas 2 2 2 3 3 8" xfId="6243" xr:uid="{2BE45AB8-5C97-4AD4-B59B-10CA3CB364CE}"/>
    <cellStyle name="Notas 2 2 2 3 3 8 2" xfId="11947" xr:uid="{A908E994-823F-4746-B89D-CC82DD588598}"/>
    <cellStyle name="Notas 2 2 2 3 3 9" xfId="6445" xr:uid="{23476CA6-5C14-4314-BA6D-D0DBA3BA5F41}"/>
    <cellStyle name="Notas 2 2 2 3 3 9 2" xfId="12149" xr:uid="{C03508E3-FA26-4E2D-A304-AF3CB4C440EE}"/>
    <cellStyle name="Notas 2 2 2 3 4" xfId="2424" xr:uid="{40AFECF9-8F41-4921-A0C8-3AFA05C3E7B5}"/>
    <cellStyle name="Notas 2 2 2 3 4 10" xfId="6198" xr:uid="{0092F461-8A12-4CF2-B50D-A65134806956}"/>
    <cellStyle name="Notas 2 2 2 3 4 10 2" xfId="11902" xr:uid="{B6ECA72A-CA0F-4F30-8502-7E67000EB15B}"/>
    <cellStyle name="Notas 2 2 2 3 4 11" xfId="6020" xr:uid="{EF08DCA3-290E-43AE-B288-BE3284DAB267}"/>
    <cellStyle name="Notas 2 2 2 3 4 11 2" xfId="11732" xr:uid="{84E602C8-50D5-4892-8CDD-6482B7FDD9D8}"/>
    <cellStyle name="Notas 2 2 2 3 4 12" xfId="8638" xr:uid="{1996211E-7A7F-40FF-8B4C-0E7566623BFD}"/>
    <cellStyle name="Notas 2 2 2 3 4 12 2" xfId="14026" xr:uid="{DBAB10B2-9C34-4893-B8C4-83EE0980CCFA}"/>
    <cellStyle name="Notas 2 2 2 3 4 13" xfId="8986" xr:uid="{6A1F5291-1638-44C8-997A-B91B2FEC85C7}"/>
    <cellStyle name="Notas 2 2 2 3 4 2" xfId="3012" xr:uid="{13ABC890-198E-40EF-BE5D-5541CF02034E}"/>
    <cellStyle name="Notas 2 2 2 3 4 2 2" xfId="3952" xr:uid="{1C64D497-E497-49FD-8FFE-C98AF3BF1AAC}"/>
    <cellStyle name="Notas 2 2 2 3 4 2 2 2" xfId="10066" xr:uid="{6F50BA65-C09C-4CE3-8687-4B97D55ABC57}"/>
    <cellStyle name="Notas 2 2 2 3 4 2 3" xfId="6923" xr:uid="{22A3F072-F0FF-4CAB-834B-40FAD2A56529}"/>
    <cellStyle name="Notas 2 2 2 3 4 2 3 2" xfId="12529" xr:uid="{36CA9B70-C4E2-4CD7-A224-21ED71868118}"/>
    <cellStyle name="Notas 2 2 2 3 4 2 4" xfId="7601" xr:uid="{C4B382C7-FC2B-4B15-B394-1D80CF6CB890}"/>
    <cellStyle name="Notas 2 2 2 3 4 2 4 2" xfId="13173" xr:uid="{137BBD71-3F0D-4455-B43B-7B025195FCD5}"/>
    <cellStyle name="Notas 2 2 2 3 4 2 5" xfId="8094" xr:uid="{85CCFD8E-47F7-4A4E-8D80-366A5876B523}"/>
    <cellStyle name="Notas 2 2 2 3 4 2 5 2" xfId="13666" xr:uid="{2521E76E-ADEC-415C-8697-B7087BC7BC0C}"/>
    <cellStyle name="Notas 2 2 2 3 4 2 6" xfId="9346" xr:uid="{63276C07-A713-4887-BAA2-0F8E37123398}"/>
    <cellStyle name="Notas 2 2 2 3 4 3" xfId="3472" xr:uid="{0C240E1A-FE1D-41D3-A3D4-1A9C8917D908}"/>
    <cellStyle name="Notas 2 2 2 3 4 3 2" xfId="9706" xr:uid="{689FE587-F28D-417C-BBAD-7A09C127A607}"/>
    <cellStyle name="Notas 2 2 2 3 4 4" xfId="4665" xr:uid="{3073FF85-934A-42E7-96C3-A635A5C7EAFE}"/>
    <cellStyle name="Notas 2 2 2 3 4 4 2" xfId="10529" xr:uid="{EC2DB1DC-49D4-4B7B-A186-5D03B0DA383F}"/>
    <cellStyle name="Notas 2 2 2 3 4 5" xfId="4904" xr:uid="{A09298AB-62CE-46A8-9B93-6CD45FEEF1E6}"/>
    <cellStyle name="Notas 2 2 2 3 4 5 2" xfId="10750" xr:uid="{000C7A37-B585-4585-99D6-6C2EDEE2A8BA}"/>
    <cellStyle name="Notas 2 2 2 3 4 6" xfId="5060" xr:uid="{96BEA127-6141-468D-B8E7-E22189E3B2A3}"/>
    <cellStyle name="Notas 2 2 2 3 4 6 2" xfId="10906" xr:uid="{905E4DDD-4450-4AFF-8BA9-4C76D1767768}"/>
    <cellStyle name="Notas 2 2 2 3 4 7" xfId="5830" xr:uid="{BF4DCFC1-6AD1-40C8-869B-D90164383E06}"/>
    <cellStyle name="Notas 2 2 2 3 4 7 2" xfId="11558" xr:uid="{E156269C-637E-4E1C-A274-18C0018EC12D}"/>
    <cellStyle name="Notas 2 2 2 3 4 8" xfId="5320" xr:uid="{D1033ADA-23B4-4857-99E2-D758897A4E6F}"/>
    <cellStyle name="Notas 2 2 2 3 4 8 2" xfId="11164" xr:uid="{3D1AA207-B2FF-4541-A040-37C6FC888E8E}"/>
    <cellStyle name="Notas 2 2 2 3 4 9" xfId="6367" xr:uid="{6BF7D761-A57C-4063-BBF6-B589A0556C3B}"/>
    <cellStyle name="Notas 2 2 2 3 4 9 2" xfId="12071" xr:uid="{B4FCA314-D020-495B-9885-ED3D1AC6BA82}"/>
    <cellStyle name="Notas 2 2 2 3 5" xfId="2676" xr:uid="{582167D7-C572-4575-B049-A2608BC3182B}"/>
    <cellStyle name="Notas 2 2 2 3 5 2" xfId="3140" xr:uid="{58FE16A5-EF5C-48DE-B29B-88A6CE2FE175}"/>
    <cellStyle name="Notas 2 2 2 3 5 2 2" xfId="4098" xr:uid="{AF4CA89C-227A-4065-A55B-A48062B8FC55}"/>
    <cellStyle name="Notas 2 2 2 3 5 2 2 2" xfId="10194" xr:uid="{8158B601-1AC6-4F08-86E9-7EF490B01C0B}"/>
    <cellStyle name="Notas 2 2 2 3 5 2 3" xfId="7069" xr:uid="{495374A8-E5DA-401C-A933-FF29D9AB89C9}"/>
    <cellStyle name="Notas 2 2 2 3 5 2 3 2" xfId="12657" xr:uid="{49382F89-BB42-4346-BBF4-CEEA3132BC12}"/>
    <cellStyle name="Notas 2 2 2 3 5 2 4" xfId="7730" xr:uid="{D5F1D1D4-F4B3-46FC-8E01-A77EDD6D5E63}"/>
    <cellStyle name="Notas 2 2 2 3 5 2 4 2" xfId="13302" xr:uid="{6A8C90B2-220A-42DA-A474-5CCA2B450F0F}"/>
    <cellStyle name="Notas 2 2 2 3 5 2 5" xfId="8222" xr:uid="{2BF036B3-690E-4256-959D-98C023277DEA}"/>
    <cellStyle name="Notas 2 2 2 3 5 2 5 2" xfId="13794" xr:uid="{00E9101F-7E64-49D9-9F0B-33CC34A0BEE9}"/>
    <cellStyle name="Notas 2 2 2 3 5 2 6" xfId="9474" xr:uid="{45AE82AD-94F3-47E9-871C-7F060499A12F}"/>
    <cellStyle name="Notas 2 2 2 3 5 3" xfId="3618" xr:uid="{9678E5B5-3A68-4211-A552-4A902239FA26}"/>
    <cellStyle name="Notas 2 2 2 3 5 3 2" xfId="9834" xr:uid="{F1F6B7C5-895D-4FE7-85D1-949498DFB8EE}"/>
    <cellStyle name="Notas 2 2 2 3 5 4" xfId="6055" xr:uid="{69B4479E-0726-48C2-AFFC-89C4B11F45C7}"/>
    <cellStyle name="Notas 2 2 2 3 5 4 2" xfId="11767" xr:uid="{C0BF9D8F-9A74-4BBA-8350-2BAC5310062F}"/>
    <cellStyle name="Notas 2 2 2 3 5 5" xfId="6573" xr:uid="{DAD40BB7-95F1-454C-AC7B-FC671167C6E3}"/>
    <cellStyle name="Notas 2 2 2 3 5 5 2" xfId="12277" xr:uid="{B8C6B57D-8E7C-4822-96A5-434B41A3A967}"/>
    <cellStyle name="Notas 2 2 2 3 5 6" xfId="7327" xr:uid="{F3B48189-1D63-4E21-83C6-57C0D55CF977}"/>
    <cellStyle name="Notas 2 2 2 3 5 6 2" xfId="12899" xr:uid="{BB2D19AD-6FC3-476E-8FAB-CDCD7811D3A8}"/>
    <cellStyle name="Notas 2 2 2 3 5 7" xfId="7862" xr:uid="{06BEB7BF-082D-47DD-BB6D-1079FDE5A077}"/>
    <cellStyle name="Notas 2 2 2 3 5 7 2" xfId="13434" xr:uid="{3FE97FC5-E142-4EB9-A57B-EA52E5C28AAE}"/>
    <cellStyle name="Notas 2 2 2 3 5 8" xfId="9114" xr:uid="{5FD5E177-DEF0-4DBD-8C9E-A6BD0555DA55}"/>
    <cellStyle name="Notas 2 2 2 3 6" xfId="2768" xr:uid="{71BD816A-0238-4BC6-9160-C1F1145959DE}"/>
    <cellStyle name="Notas 2 2 2 3 6 2" xfId="3200" xr:uid="{55032E9A-E3E9-4A86-993F-6CFDB38D4E44}"/>
    <cellStyle name="Notas 2 2 2 3 6 2 2" xfId="4158" xr:uid="{40FB875B-3977-44C9-9BE4-2E728C8A0F9A}"/>
    <cellStyle name="Notas 2 2 2 3 6 2 2 2" xfId="10254" xr:uid="{A1D65B46-1765-421C-83AF-BBB6F9E02BD8}"/>
    <cellStyle name="Notas 2 2 2 3 6 2 3" xfId="7129" xr:uid="{987941D3-18A6-4D4F-861B-2856CBB52C99}"/>
    <cellStyle name="Notas 2 2 2 3 6 2 3 2" xfId="12717" xr:uid="{D9F6D58A-65FB-4632-BDA6-DD9416600820}"/>
    <cellStyle name="Notas 2 2 2 3 6 2 4" xfId="7790" xr:uid="{60F18F0A-EB78-45AC-9758-4E5696C27B0D}"/>
    <cellStyle name="Notas 2 2 2 3 6 2 4 2" xfId="13362" xr:uid="{429CAE38-741F-4A46-92DA-700148D1D99C}"/>
    <cellStyle name="Notas 2 2 2 3 6 2 5" xfId="8282" xr:uid="{7AD83589-3638-4A55-8BB4-A1948F264B2C}"/>
    <cellStyle name="Notas 2 2 2 3 6 2 5 2" xfId="13854" xr:uid="{C6D9463B-B579-4091-AD89-88CF7B360809}"/>
    <cellStyle name="Notas 2 2 2 3 6 2 6" xfId="9534" xr:uid="{0D029570-4D66-43FE-9CED-10CD137D2587}"/>
    <cellStyle name="Notas 2 2 2 3 6 3" xfId="3678" xr:uid="{CE44960C-1235-4C47-BC6E-9C22BBA7C60C}"/>
    <cellStyle name="Notas 2 2 2 3 6 3 2" xfId="9894" xr:uid="{D5411347-D96E-4F9C-96AA-157C8924FA00}"/>
    <cellStyle name="Notas 2 2 2 3 6 4" xfId="6135" xr:uid="{029C336D-C49F-408A-A916-C35BBC831D8A}"/>
    <cellStyle name="Notas 2 2 2 3 6 4 2" xfId="11847" xr:uid="{B03A1381-24C7-471B-B7FD-48215A06EDD6}"/>
    <cellStyle name="Notas 2 2 2 3 6 5" xfId="6645" xr:uid="{CAC36F38-4D7D-4240-8986-B72D0907062B}"/>
    <cellStyle name="Notas 2 2 2 3 6 5 2" xfId="12349" xr:uid="{7F6627F0-537A-42A2-A38D-9FD12C14E89D}"/>
    <cellStyle name="Notas 2 2 2 3 6 6" xfId="7389" xr:uid="{15F97643-896A-4615-A5D2-3B998C3AEAF5}"/>
    <cellStyle name="Notas 2 2 2 3 6 6 2" xfId="12961" xr:uid="{61711971-D364-472C-B120-72F45D678CAB}"/>
    <cellStyle name="Notas 2 2 2 3 6 7" xfId="7922" xr:uid="{C95DFDA3-4E34-497F-8376-B9BF825D5AEC}"/>
    <cellStyle name="Notas 2 2 2 3 6 7 2" xfId="13494" xr:uid="{22591E25-820C-4D06-94D3-79E174A516E0}"/>
    <cellStyle name="Notas 2 2 2 3 6 8" xfId="9174" xr:uid="{724370C9-3BC2-46D3-9108-DF4C0EFCD442}"/>
    <cellStyle name="Notas 2 2 2 3 7" xfId="2868" xr:uid="{93C0A6D9-89B3-4249-8ECA-70E93D08710C}"/>
    <cellStyle name="Notas 2 2 2 3 7 2" xfId="3792" xr:uid="{FD0FC083-83EC-46ED-89CE-65697AE4D0EC}"/>
    <cellStyle name="Notas 2 2 2 3 7 2 2" xfId="9954" xr:uid="{57EF528C-A78D-4ED2-AB96-FB4326A4DE37}"/>
    <cellStyle name="Notas 2 2 2 3 7 3" xfId="6763" xr:uid="{7F465E31-A30B-416E-B942-DD62623D0372}"/>
    <cellStyle name="Notas 2 2 2 3 7 3 2" xfId="12417" xr:uid="{D78D3DBA-4EF1-4325-B7DD-B057A05B63C7}"/>
    <cellStyle name="Notas 2 2 2 3 7 4" xfId="7473" xr:uid="{1D4605BC-A343-4561-8B52-4325CD3C9DC3}"/>
    <cellStyle name="Notas 2 2 2 3 7 4 2" xfId="13045" xr:uid="{6454EB5B-9725-4F3A-96E4-F7EC5CB5BA89}"/>
    <cellStyle name="Notas 2 2 2 3 7 5" xfId="7982" xr:uid="{6E7B8C59-B865-4DE4-9031-D48FA295001C}"/>
    <cellStyle name="Notas 2 2 2 3 7 5 2" xfId="13554" xr:uid="{0DA4DC1D-860F-4F0C-8C2B-6C1F793C2835}"/>
    <cellStyle name="Notas 2 2 2 3 7 6" xfId="9234" xr:uid="{A1C18B08-EFA2-4241-82F3-93DE65504A84}"/>
    <cellStyle name="Notas 2 2 2 3 8" xfId="3312" xr:uid="{43F1EE42-8F94-4504-8926-E11A68450534}"/>
    <cellStyle name="Notas 2 2 2 3 8 2" xfId="9594" xr:uid="{411B4BAD-816B-4B61-A735-C95AA8154A73}"/>
    <cellStyle name="Notas 2 2 2 3 9" xfId="4479" xr:uid="{68023368-D9B6-45CD-81BC-E3452755F703}"/>
    <cellStyle name="Notas 2 2 2 3 9 2" xfId="10391" xr:uid="{82F05815-3A37-4195-9F72-1CCEC4B7CA90}"/>
    <cellStyle name="Notas 2 2 2 4" xfId="2124" xr:uid="{A05DCA7E-A7D5-49BF-AF89-A7FD1E0548B1}"/>
    <cellStyle name="Notas 2 2 2 5" xfId="8845" xr:uid="{4031D05D-ADB2-44DC-A26C-6DFB95FDC52C}"/>
    <cellStyle name="Notas 2 2 2 6" xfId="1651" xr:uid="{A43DCD9F-56CB-47A1-BF88-180503EA4C16}"/>
    <cellStyle name="Notas 2 2 3" xfId="1526" xr:uid="{A845DE40-A865-416B-8FAB-121DA7BA491C}"/>
    <cellStyle name="Notas 2 2 3 10" xfId="4338" xr:uid="{7A6B4F4F-542C-461C-9EDE-D982FCD93379}"/>
    <cellStyle name="Notas 2 2 3 10 2" xfId="10298" xr:uid="{4E9A0CB1-08B7-49A7-8446-119F935338A8}"/>
    <cellStyle name="Notas 2 2 3 11" xfId="4403" xr:uid="{52C05CA0-DB64-464F-9C81-80B6363CCB9A}"/>
    <cellStyle name="Notas 2 2 3 11 2" xfId="10361" xr:uid="{93358FAA-0403-4C5A-80E1-F176C54A0AE4}"/>
    <cellStyle name="Notas 2 2 3 12" xfId="5416" xr:uid="{B65A9E1B-E446-4F3C-8D6A-DC2F8D8CDC73}"/>
    <cellStyle name="Notas 2 2 3 12 2" xfId="11214" xr:uid="{8CB105F5-EE00-41A3-86AB-989940033C20}"/>
    <cellStyle name="Notas 2 2 3 13" xfId="5584" xr:uid="{26E0ABDA-47B8-4941-9AB1-95F0799D68B0}"/>
    <cellStyle name="Notas 2 2 3 13 2" xfId="11312" xr:uid="{48B1660C-F64C-4011-8795-AC528694AFAF}"/>
    <cellStyle name="Notas 2 2 3 14" xfId="5251" xr:uid="{4C9D6E45-46F0-4C1C-B68D-11343D329CE4}"/>
    <cellStyle name="Notas 2 2 3 14 2" xfId="11097" xr:uid="{74B3432E-8510-414F-B648-9A40C3243125}"/>
    <cellStyle name="Notas 2 2 3 15" xfId="5986" xr:uid="{73A6F73E-A31F-4370-99B7-DE94DABE9211}"/>
    <cellStyle name="Notas 2 2 3 15 2" xfId="11698" xr:uid="{6AB481A2-FBA9-447A-8313-1E175C9690A5}"/>
    <cellStyle name="Notas 2 2 3 16" xfId="5763" xr:uid="{F68AA019-6C90-4DD8-AEB4-9315A93829B5}"/>
    <cellStyle name="Notas 2 2 3 16 2" xfId="11491" xr:uid="{98AAD41C-2C03-4CD3-91FD-AC0484F52FF9}"/>
    <cellStyle name="Notas 2 2 3 17" xfId="6310" xr:uid="{DAD5653E-D399-468C-8DAF-5368ACD2FE07}"/>
    <cellStyle name="Notas 2 2 3 17 2" xfId="12014" xr:uid="{6F29AF06-8D43-4533-B410-21688523113C}"/>
    <cellStyle name="Notas 2 2 3 18" xfId="7515" xr:uid="{6B461AD1-290F-4EB0-97C0-C48011C05257}"/>
    <cellStyle name="Notas 2 2 3 18 2" xfId="13087" xr:uid="{4E5C2739-04F9-4EB7-9BEE-E08CD7B1078F}"/>
    <cellStyle name="Notas 2 2 3 19" xfId="8436" xr:uid="{56C13DB4-2E9B-4F7B-A2F5-2AC3550E9CB6}"/>
    <cellStyle name="Notas 2 2 3 19 2" xfId="13916" xr:uid="{1D66938B-B21E-497B-8F34-BC77FEE32CC9}"/>
    <cellStyle name="Notas 2 2 3 2" xfId="2414" xr:uid="{20DB07F0-961B-4389-BFE8-160964227CFB}"/>
    <cellStyle name="Notas 2 2 3 2 10" xfId="5285" xr:uid="{088CB3B4-4189-4BA6-B7AC-86EF01C4ABE7}"/>
    <cellStyle name="Notas 2 2 3 2 10 2" xfId="11129" xr:uid="{380F8361-1E11-435A-AA39-AC6341D5F785}"/>
    <cellStyle name="Notas 2 2 3 2 11" xfId="7520" xr:uid="{898EEAF9-3C1F-4093-ACFE-8BF09F79E803}"/>
    <cellStyle name="Notas 2 2 3 2 11 2" xfId="13092" xr:uid="{30995818-6DB7-4EE9-BB15-D3C3572B8F49}"/>
    <cellStyle name="Notas 2 2 3 2 12" xfId="8628" xr:uid="{06D359E7-F2B5-4C6D-AD3D-5A06AB57CCB6}"/>
    <cellStyle name="Notas 2 2 3 2 12 2" xfId="14016" xr:uid="{0D40C1AB-10B9-4B81-972D-2FEDE7BF5A1C}"/>
    <cellStyle name="Notas 2 2 3 2 13" xfId="8976" xr:uid="{8C80B32A-6220-4208-BA74-562C3A5DC813}"/>
    <cellStyle name="Notas 2 2 3 2 2" xfId="3002" xr:uid="{3AADE526-F093-4FEA-B187-A151E948D2E2}"/>
    <cellStyle name="Notas 2 2 3 2 2 2" xfId="3942" xr:uid="{8FB37BAA-A636-48D7-B7EC-B927002C2EB9}"/>
    <cellStyle name="Notas 2 2 3 2 2 2 2" xfId="10056" xr:uid="{B92E1CFE-2C8B-4E07-9AAF-A265FE30CB8A}"/>
    <cellStyle name="Notas 2 2 3 2 2 3" xfId="6913" xr:uid="{26E2412F-2512-4A96-ADC5-C0C33DE2B25B}"/>
    <cellStyle name="Notas 2 2 3 2 2 3 2" xfId="12519" xr:uid="{B39F3795-DF75-48B2-8803-C8F832C4D0BF}"/>
    <cellStyle name="Notas 2 2 3 2 2 4" xfId="7591" xr:uid="{80067173-9E91-406B-82C3-61689D826A5D}"/>
    <cellStyle name="Notas 2 2 3 2 2 4 2" xfId="13163" xr:uid="{A77A8CFA-79C8-42AF-92F2-524CF6EE6CC0}"/>
    <cellStyle name="Notas 2 2 3 2 2 5" xfId="8084" xr:uid="{D5C757EC-669B-490B-9EBF-56EF2CCA87E1}"/>
    <cellStyle name="Notas 2 2 3 2 2 5 2" xfId="13656" xr:uid="{8111B1B0-0CEA-4A99-9711-A0E23AA3CED0}"/>
    <cellStyle name="Notas 2 2 3 2 2 6" xfId="9336" xr:uid="{85FE2343-F6DE-4963-836E-570065256076}"/>
    <cellStyle name="Notas 2 2 3 2 3" xfId="3462" xr:uid="{39D251DF-E9C0-4E66-B896-F8B8AB91339D}"/>
    <cellStyle name="Notas 2 2 3 2 3 2" xfId="9696" xr:uid="{C2C8BA1E-AAFE-4D63-A572-56637C274CC9}"/>
    <cellStyle name="Notas 2 2 3 2 4" xfId="4655" xr:uid="{D5D7C6EF-3F65-4F3F-BB49-B9D06EFC79E5}"/>
    <cellStyle name="Notas 2 2 3 2 4 2" xfId="10519" xr:uid="{AAFFD361-3B1C-4813-9BAA-1AF5F735E242}"/>
    <cellStyle name="Notas 2 2 3 2 5" xfId="4894" xr:uid="{1B9CA2CF-069A-49EE-A30A-1FDF65C3DB89}"/>
    <cellStyle name="Notas 2 2 3 2 5 2" xfId="10740" xr:uid="{89D642C1-AD22-41BA-ADE9-62EBE390FCD7}"/>
    <cellStyle name="Notas 2 2 3 2 6" xfId="5050" xr:uid="{CFCAE2F3-0D8E-4E45-9895-1820D293E506}"/>
    <cellStyle name="Notas 2 2 3 2 6 2" xfId="10896" xr:uid="{7EB2F94A-C27C-44FE-AB0D-B90C8A3ABD4E}"/>
    <cellStyle name="Notas 2 2 3 2 7" xfId="5820" xr:uid="{E953C1DE-A72E-43CA-93E2-232F419705BB}"/>
    <cellStyle name="Notas 2 2 3 2 7 2" xfId="11548" xr:uid="{E70C42CC-4B31-49E1-B443-4A951F81A21D}"/>
    <cellStyle name="Notas 2 2 3 2 8" xfId="5248" xr:uid="{8EEFC513-EE70-4431-BFAB-39BD478C886A}"/>
    <cellStyle name="Notas 2 2 3 2 8 2" xfId="11094" xr:uid="{DDCC99EC-C708-48B6-BD6E-BFC973DE44CC}"/>
    <cellStyle name="Notas 2 2 3 2 9" xfId="6357" xr:uid="{87DACE17-E8CB-4467-A26C-3041DDD9E838}"/>
    <cellStyle name="Notas 2 2 3 2 9 2" xfId="12061" xr:uid="{B6B97839-77BB-4E50-912B-0C29E59C0A6A}"/>
    <cellStyle name="Notas 2 2 3 20" xfId="2222" xr:uid="{481DAF3B-5252-4B2B-8046-F824672E1554}"/>
    <cellStyle name="Notas 2 2 3 21" xfId="8876" xr:uid="{C46EE6CD-0C14-4889-81DC-8E1AE362DE14}"/>
    <cellStyle name="Notas 2 2 3 22" xfId="1966" xr:uid="{1833E6A9-39DB-484E-97AA-84F6638807A1}"/>
    <cellStyle name="Notas 2 2 3 3" xfId="2520" xr:uid="{8D6ADF3C-041D-4402-A6D5-4A6072AC226C}"/>
    <cellStyle name="Notas 2 2 3 3 10" xfId="7212" xr:uid="{41CF8772-6872-47F5-9617-2417D21B76CC}"/>
    <cellStyle name="Notas 2 2 3 3 10 2" xfId="12784" xr:uid="{502B21F9-94FF-4981-8FE1-B550DE0A6D65}"/>
    <cellStyle name="Notas 2 2 3 3 11" xfId="6412" xr:uid="{99F178B2-E5D6-4F16-A1E2-8304BB538C37}"/>
    <cellStyle name="Notas 2 2 3 3 11 2" xfId="12116" xr:uid="{4EC4F2DB-A59F-4BA4-8659-6D46C9206FA0}"/>
    <cellStyle name="Notas 2 2 3 3 12" xfId="8734" xr:uid="{A052C580-5AB3-4985-B0AB-B3F789442519}"/>
    <cellStyle name="Notas 2 2 3 3 12 2" xfId="14090" xr:uid="{35EA8475-ED9A-4755-98CF-79D6C33CA8B5}"/>
    <cellStyle name="Notas 2 2 3 3 13" xfId="9050" xr:uid="{14C0EF8E-FA6E-48EB-8CF5-7E85AE10A33C}"/>
    <cellStyle name="Notas 2 2 3 3 2" xfId="3076" xr:uid="{3B99B695-7520-46B8-A629-0CA0934590CA}"/>
    <cellStyle name="Notas 2 2 3 3 2 2" xfId="4016" xr:uid="{35AA2304-3F0E-4C89-8ACF-C461B9C17B7C}"/>
    <cellStyle name="Notas 2 2 3 3 2 2 2" xfId="10130" xr:uid="{7948C29A-5397-4E0E-95C1-637E996788D4}"/>
    <cellStyle name="Notas 2 2 3 3 2 3" xfId="6987" xr:uid="{0417F17B-2DF2-4BA1-95A4-4DE17DC47612}"/>
    <cellStyle name="Notas 2 2 3 3 2 3 2" xfId="12593" xr:uid="{4084335E-3EED-43E7-B78A-3C98A14672DA}"/>
    <cellStyle name="Notas 2 2 3 3 2 4" xfId="7665" xr:uid="{1B49591D-DF3D-45C5-9307-7F84CC6AB01D}"/>
    <cellStyle name="Notas 2 2 3 3 2 4 2" xfId="13237" xr:uid="{CC17F056-2E18-4D14-A864-964F5F2FBC37}"/>
    <cellStyle name="Notas 2 2 3 3 2 5" xfId="8158" xr:uid="{E8BB4E30-4CAB-457C-8581-78D26BF9BB5B}"/>
    <cellStyle name="Notas 2 2 3 3 2 5 2" xfId="13730" xr:uid="{516A6E23-4306-4E28-8BAB-3683AC1AA586}"/>
    <cellStyle name="Notas 2 2 3 3 2 6" xfId="9410" xr:uid="{3EB897B9-FEF6-4C76-A4EA-72A480D59AD4}"/>
    <cellStyle name="Notas 2 2 3 3 3" xfId="3536" xr:uid="{A674E4F3-53D4-4EE9-94D4-05E0D83BDDE6}"/>
    <cellStyle name="Notas 2 2 3 3 3 2" xfId="9770" xr:uid="{0A28C196-1619-4878-BCCB-0C690F9271F0}"/>
    <cellStyle name="Notas 2 2 3 3 4" xfId="4733" xr:uid="{CAE9A9FF-2E8D-4641-8392-DFA09E7BF1F6}"/>
    <cellStyle name="Notas 2 2 3 3 4 2" xfId="10597" xr:uid="{2AC01341-8545-42B3-B671-EF2339058E4E}"/>
    <cellStyle name="Notas 2 2 3 3 5" xfId="4976" xr:uid="{DEA1033E-912C-4C0B-886B-F46E302720A1}"/>
    <cellStyle name="Notas 2 2 3 3 5 2" xfId="10822" xr:uid="{3240CC93-D644-4925-A993-92B7B4D9C48F}"/>
    <cellStyle name="Notas 2 2 3 3 6" xfId="5124" xr:uid="{BBBE271D-9EBD-4964-9B3B-C279BFFA1011}"/>
    <cellStyle name="Notas 2 2 3 3 6 2" xfId="10970" xr:uid="{70C082AD-0102-4CC2-A26B-01467D1A88FB}"/>
    <cellStyle name="Notas 2 2 3 3 7" xfId="5915" xr:uid="{E9055CA3-756E-405F-B07B-27BE7B792E8B}"/>
    <cellStyle name="Notas 2 2 3 3 7 2" xfId="11643" xr:uid="{4CF65A52-73ED-4606-A081-A1750B32D333}"/>
    <cellStyle name="Notas 2 2 3 3 8" xfId="6245" xr:uid="{AB0A2B9B-6B52-4067-9E4C-0C7B0008DF80}"/>
    <cellStyle name="Notas 2 2 3 3 8 2" xfId="11949" xr:uid="{879E7510-88BF-49C6-91F0-AE5CCE4691A3}"/>
    <cellStyle name="Notas 2 2 3 3 9" xfId="6447" xr:uid="{C8662B59-1119-402A-9842-C7E78BF29A6C}"/>
    <cellStyle name="Notas 2 2 3 3 9 2" xfId="12151" xr:uid="{AB63EEB7-3219-449D-B03C-F8130FB84930}"/>
    <cellStyle name="Notas 2 2 3 4" xfId="2563" xr:uid="{77EA523C-2AFE-475B-A073-C3310F9EC7E8}"/>
    <cellStyle name="Notas 2 2 3 4 10" xfId="7255" xr:uid="{29B1369C-8FDD-4BC2-B271-E2EB2A08321E}"/>
    <cellStyle name="Notas 2 2 3 4 10 2" xfId="12827" xr:uid="{BFC31AE4-995F-4C7D-9A8B-E81DC62717AF}"/>
    <cellStyle name="Notas 2 2 3 4 11" xfId="7256" xr:uid="{57A0B3CB-2E0F-4A35-9DE8-68B391BC7618}"/>
    <cellStyle name="Notas 2 2 3 4 11 2" xfId="12828" xr:uid="{B5474B75-7BBC-417B-AB71-AE003C95BACF}"/>
    <cellStyle name="Notas 2 2 3 4 12" xfId="8777" xr:uid="{917DC5A5-D7F6-433A-8305-13FBDE79A12C}"/>
    <cellStyle name="Notas 2 2 3 4 12 2" xfId="14133" xr:uid="{8A6953CC-C6F1-4BA9-BCF8-FB52A0483263}"/>
    <cellStyle name="Notas 2 2 3 4 13" xfId="9093" xr:uid="{7F27607F-DD4B-4291-9FD6-0BC3DEC120F8}"/>
    <cellStyle name="Notas 2 2 3 4 2" xfId="3119" xr:uid="{93D14058-ECEA-4413-8FF9-95D0F39BB9CD}"/>
    <cellStyle name="Notas 2 2 3 4 2 2" xfId="4059" xr:uid="{D50A3431-9A3F-48FE-8C93-4B0A9792F205}"/>
    <cellStyle name="Notas 2 2 3 4 2 2 2" xfId="10173" xr:uid="{A6BE60DC-0EBD-4A04-A5BD-948037BDA0AA}"/>
    <cellStyle name="Notas 2 2 3 4 2 3" xfId="7030" xr:uid="{F3AE8460-FE5C-42EB-862E-B9DAD7B5AC5F}"/>
    <cellStyle name="Notas 2 2 3 4 2 3 2" xfId="12636" xr:uid="{65A4C47E-6C1F-4617-AB38-0BAAF74254E3}"/>
    <cellStyle name="Notas 2 2 3 4 2 4" xfId="7708" xr:uid="{2085A697-2C27-4939-A83B-B17EE0C2F7FD}"/>
    <cellStyle name="Notas 2 2 3 4 2 4 2" xfId="13280" xr:uid="{3BA56002-E784-4B57-A3DE-E123520556B4}"/>
    <cellStyle name="Notas 2 2 3 4 2 5" xfId="8201" xr:uid="{76D7F434-2D16-4B50-B8D9-E6A87B0000A9}"/>
    <cellStyle name="Notas 2 2 3 4 2 5 2" xfId="13773" xr:uid="{E44153A5-8204-475F-B100-0446E9BD3066}"/>
    <cellStyle name="Notas 2 2 3 4 2 6" xfId="9453" xr:uid="{FA5103B6-6A9D-49C2-92E1-6A0E2395F04F}"/>
    <cellStyle name="Notas 2 2 3 4 3" xfId="3579" xr:uid="{CE862B52-7D31-4519-A684-72B773527102}"/>
    <cellStyle name="Notas 2 2 3 4 3 2" xfId="9813" xr:uid="{43042B26-76D6-4569-8FA6-7CF93CCEB792}"/>
    <cellStyle name="Notas 2 2 3 4 4" xfId="4776" xr:uid="{B6F13FFC-9BA3-421A-8274-05AC6997AC6C}"/>
    <cellStyle name="Notas 2 2 3 4 4 2" xfId="10640" xr:uid="{357177A3-5C41-49C8-9AD7-4E377053F9DD}"/>
    <cellStyle name="Notas 2 2 3 4 5" xfId="5019" xr:uid="{90785CA6-07BA-4831-B7DC-8EFE45604575}"/>
    <cellStyle name="Notas 2 2 3 4 5 2" xfId="10865" xr:uid="{73ACD60F-0422-43CB-82BC-5BEB18B5EECA}"/>
    <cellStyle name="Notas 2 2 3 4 6" xfId="5167" xr:uid="{5E61F867-D8D3-4C67-9BCD-5B290F2BAE02}"/>
    <cellStyle name="Notas 2 2 3 4 6 2" xfId="11013" xr:uid="{E15E99D5-D11C-47E9-B727-D088A042DB0C}"/>
    <cellStyle name="Notas 2 2 3 4 7" xfId="5958" xr:uid="{A7D5A853-0009-4B7E-B74D-28A3451CB133}"/>
    <cellStyle name="Notas 2 2 3 4 7 2" xfId="11686" xr:uid="{7CEA9CB2-CA19-4749-9811-8C75BF4D8E5F}"/>
    <cellStyle name="Notas 2 2 3 4 8" xfId="6288" xr:uid="{11E78BE0-D807-470D-8E6B-2C809972C267}"/>
    <cellStyle name="Notas 2 2 3 4 8 2" xfId="11992" xr:uid="{1C8C51BE-B717-4E4C-8C18-0FB89B613BA7}"/>
    <cellStyle name="Notas 2 2 3 4 9" xfId="6490" xr:uid="{A8ABD79A-B83B-4ECA-BC36-F4B6A9A2C8B8}"/>
    <cellStyle name="Notas 2 2 3 4 9 2" xfId="12194" xr:uid="{D47DDB24-A5A3-49CB-B3C6-A20B74F311EC}"/>
    <cellStyle name="Notas 2 2 3 5" xfId="2678" xr:uid="{7BF3E110-FE23-4829-8960-5F8902695FEC}"/>
    <cellStyle name="Notas 2 2 3 5 2" xfId="3142" xr:uid="{7A1C0105-14DD-4AB8-AF35-2CDDB124158A}"/>
    <cellStyle name="Notas 2 2 3 5 2 2" xfId="4100" xr:uid="{227A2287-7E01-4787-8BBD-B0C5FCD3A7D8}"/>
    <cellStyle name="Notas 2 2 3 5 2 2 2" xfId="10196" xr:uid="{D500B717-D3C2-4E76-AF65-8B947D24BC0E}"/>
    <cellStyle name="Notas 2 2 3 5 2 3" xfId="7071" xr:uid="{8F22FC75-2443-4DB0-B4BF-4FD00B9DC677}"/>
    <cellStyle name="Notas 2 2 3 5 2 3 2" xfId="12659" xr:uid="{700B2719-8F23-45BF-B61B-9D1954950D18}"/>
    <cellStyle name="Notas 2 2 3 5 2 4" xfId="7732" xr:uid="{BD369E1F-AE61-4D69-8BF4-DFF6C5B4109E}"/>
    <cellStyle name="Notas 2 2 3 5 2 4 2" xfId="13304" xr:uid="{71CD4593-6599-4686-AC7F-64A0C7694BBA}"/>
    <cellStyle name="Notas 2 2 3 5 2 5" xfId="8224" xr:uid="{B2933F9F-F4D9-4608-88BB-90171B4C52C8}"/>
    <cellStyle name="Notas 2 2 3 5 2 5 2" xfId="13796" xr:uid="{1C7E38B3-4E4D-4EDB-906A-3DAE93B68915}"/>
    <cellStyle name="Notas 2 2 3 5 2 6" xfId="9476" xr:uid="{D791FAA7-4239-46C5-A87D-49F2AC39061B}"/>
    <cellStyle name="Notas 2 2 3 5 3" xfId="3620" xr:uid="{4D068879-9424-4723-9FED-9483FBD36400}"/>
    <cellStyle name="Notas 2 2 3 5 3 2" xfId="9836" xr:uid="{D58F7718-A9FF-4CD5-A01C-B70E49EEF354}"/>
    <cellStyle name="Notas 2 2 3 5 4" xfId="6057" xr:uid="{ACE38F77-0723-4ADF-9DE5-733BA3676198}"/>
    <cellStyle name="Notas 2 2 3 5 4 2" xfId="11769" xr:uid="{DE21CC5B-8D10-4D02-8EC3-4D09281C7A71}"/>
    <cellStyle name="Notas 2 2 3 5 5" xfId="6575" xr:uid="{0E2DCFCD-F958-4417-ADC9-CE36B178096E}"/>
    <cellStyle name="Notas 2 2 3 5 5 2" xfId="12279" xr:uid="{930E1D37-12E5-4A28-82B3-567EF887066F}"/>
    <cellStyle name="Notas 2 2 3 5 6" xfId="7329" xr:uid="{AA356A06-1812-4937-A3A7-EBCA1900AA40}"/>
    <cellStyle name="Notas 2 2 3 5 6 2" xfId="12901" xr:uid="{9A863F72-43A5-44E9-A64C-6C1D622889F3}"/>
    <cellStyle name="Notas 2 2 3 5 7" xfId="7864" xr:uid="{98DCE52E-1E6C-4DF4-A6F0-6BB875C0666C}"/>
    <cellStyle name="Notas 2 2 3 5 7 2" xfId="13436" xr:uid="{1AF0052F-7835-4AA7-9692-1C3C55293BDC}"/>
    <cellStyle name="Notas 2 2 3 5 8" xfId="9116" xr:uid="{16B23838-8EE3-47D9-BD09-A403E0310454}"/>
    <cellStyle name="Notas 2 2 3 6" xfId="2770" xr:uid="{84724F05-FD15-407E-994B-CF6147D6AB55}"/>
    <cellStyle name="Notas 2 2 3 6 2" xfId="3202" xr:uid="{51D09C8E-B256-443F-9FA5-960DF8516552}"/>
    <cellStyle name="Notas 2 2 3 6 2 2" xfId="4160" xr:uid="{96DC8087-926D-40CB-8403-3B37DA09028E}"/>
    <cellStyle name="Notas 2 2 3 6 2 2 2" xfId="10256" xr:uid="{7A6FE049-3299-47D7-98FD-8742D2F497ED}"/>
    <cellStyle name="Notas 2 2 3 6 2 3" xfId="7131" xr:uid="{B09B7131-EBCA-4E1F-A0D1-D73F23407E98}"/>
    <cellStyle name="Notas 2 2 3 6 2 3 2" xfId="12719" xr:uid="{97985BC3-B250-4BA5-80B4-7A8DE3B45127}"/>
    <cellStyle name="Notas 2 2 3 6 2 4" xfId="7792" xr:uid="{35082544-6E07-496B-9B1E-665D014894B9}"/>
    <cellStyle name="Notas 2 2 3 6 2 4 2" xfId="13364" xr:uid="{A69E7106-1D99-4462-98F5-3FAB7BF6440A}"/>
    <cellStyle name="Notas 2 2 3 6 2 5" xfId="8284" xr:uid="{EFE9532C-2D92-43D3-B4DC-7E8AE15604ED}"/>
    <cellStyle name="Notas 2 2 3 6 2 5 2" xfId="13856" xr:uid="{625E0131-C483-4B52-8F49-29CAE7E21B2D}"/>
    <cellStyle name="Notas 2 2 3 6 2 6" xfId="9536" xr:uid="{0851E683-5114-49E4-96C5-1E83467EE992}"/>
    <cellStyle name="Notas 2 2 3 6 3" xfId="3680" xr:uid="{12D29CB8-98E4-41E4-96C9-B03A0BABD81A}"/>
    <cellStyle name="Notas 2 2 3 6 3 2" xfId="9896" xr:uid="{A04A2FE5-89DD-45B6-ADC0-E30F98C4EFDD}"/>
    <cellStyle name="Notas 2 2 3 6 4" xfId="6137" xr:uid="{D44E896A-4E20-44FE-9FB7-80601578F9B7}"/>
    <cellStyle name="Notas 2 2 3 6 4 2" xfId="11849" xr:uid="{B2E023EA-AE19-4B83-8C0A-F267ACF90269}"/>
    <cellStyle name="Notas 2 2 3 6 5" xfId="6647" xr:uid="{14242A6F-AE54-4413-8DBB-330AB0B80D1E}"/>
    <cellStyle name="Notas 2 2 3 6 5 2" xfId="12351" xr:uid="{8338EA66-7531-422F-B03D-1A7BC43D7BE5}"/>
    <cellStyle name="Notas 2 2 3 6 6" xfId="7391" xr:uid="{A9957714-5730-452E-9C51-9198C8B0DEB5}"/>
    <cellStyle name="Notas 2 2 3 6 6 2" xfId="12963" xr:uid="{B2671BD8-CB06-4813-864C-1CF907216B29}"/>
    <cellStyle name="Notas 2 2 3 6 7" xfId="7924" xr:uid="{D9AE6BFC-A82D-4966-B10B-809C939CB595}"/>
    <cellStyle name="Notas 2 2 3 6 7 2" xfId="13496" xr:uid="{F484486C-4976-4D4B-9EE9-C011CBA1B1B5}"/>
    <cellStyle name="Notas 2 2 3 6 8" xfId="9176" xr:uid="{E548387A-8D84-4DBD-9C6D-17A5596C6F10}"/>
    <cellStyle name="Notas 2 2 3 7" xfId="2870" xr:uid="{D6CB33E2-2A99-474D-B7D9-E707BB026973}"/>
    <cellStyle name="Notas 2 2 3 7 2" xfId="3794" xr:uid="{E65C5B14-171D-440D-AC95-FE4E41755586}"/>
    <cellStyle name="Notas 2 2 3 7 2 2" xfId="9956" xr:uid="{BE649E3A-DFBA-47EA-963D-AFB10BA82A33}"/>
    <cellStyle name="Notas 2 2 3 7 3" xfId="6765" xr:uid="{186C6700-7663-4CB7-8DED-76D5936D4504}"/>
    <cellStyle name="Notas 2 2 3 7 3 2" xfId="12419" xr:uid="{33698048-972A-43F1-A28F-F48C365FEBD6}"/>
    <cellStyle name="Notas 2 2 3 7 4" xfId="7475" xr:uid="{4F00EF40-85CF-4A8E-A7ED-091E255BFB8D}"/>
    <cellStyle name="Notas 2 2 3 7 4 2" xfId="13047" xr:uid="{4D2D8AD2-36EF-4AA0-A450-FF5364186838}"/>
    <cellStyle name="Notas 2 2 3 7 5" xfId="7984" xr:uid="{2454C5A1-DBE4-43F2-BFDC-6DC11967DB8B}"/>
    <cellStyle name="Notas 2 2 3 7 5 2" xfId="13556" xr:uid="{75DE5434-0CD4-4D4C-A23B-53012BC17B04}"/>
    <cellStyle name="Notas 2 2 3 7 6" xfId="9236" xr:uid="{07DAB3B8-3A05-483F-B5CA-BB2ECCBC78D5}"/>
    <cellStyle name="Notas 2 2 3 8" xfId="3314" xr:uid="{9551F33B-CE0F-42C8-8433-D0403B5E369A}"/>
    <cellStyle name="Notas 2 2 3 8 2" xfId="9596" xr:uid="{4262B151-D32B-4995-A596-085EC1624364}"/>
    <cellStyle name="Notas 2 2 3 9" xfId="4481" xr:uid="{6F27CB93-8310-481E-8F10-31909B38DD37}"/>
    <cellStyle name="Notas 2 2 3 9 2" xfId="10393" xr:uid="{5B638AA7-B6A4-46C3-B9FF-466492462820}"/>
    <cellStyle name="Notas 2 2 4" xfId="1541" xr:uid="{221E2D4B-A227-4E5E-8856-746E71707373}"/>
    <cellStyle name="Notas 2 2 4 10" xfId="4351" xr:uid="{4DC37136-8477-497E-8484-B159A26BEDEF}"/>
    <cellStyle name="Notas 2 2 4 10 2" xfId="10311" xr:uid="{37BE12B5-FA9C-4105-A861-9F34F1910FC3}"/>
    <cellStyle name="Notas 2 2 4 11" xfId="4419" xr:uid="{95AF5559-7B79-4DB0-8D18-59701B4E6209}"/>
    <cellStyle name="Notas 2 2 4 11 2" xfId="10365" xr:uid="{D977D866-1C1E-46A3-AC32-D4F6F5A06501}"/>
    <cellStyle name="Notas 2 2 4 12" xfId="5434" xr:uid="{7225D020-D356-4BFD-B566-439DF5CE2FB6}"/>
    <cellStyle name="Notas 2 2 4 12 2" xfId="11228" xr:uid="{1339AE68-E21E-41E8-A188-62EA15811ACF}"/>
    <cellStyle name="Notas 2 2 4 13" xfId="5602" xr:uid="{7142DF48-7F8C-479E-B9CC-C0D09A3E49C0}"/>
    <cellStyle name="Notas 2 2 4 13 2" xfId="11330" xr:uid="{8CE3DDE4-27DB-4168-915C-DD797B1E0201}"/>
    <cellStyle name="Notas 2 2 4 14" xfId="5241" xr:uid="{6CEEE04D-A042-4B2E-BE2E-0B5F5595B3D2}"/>
    <cellStyle name="Notas 2 2 4 14 2" xfId="11087" xr:uid="{6D133B11-75CF-4212-897C-27C6940F7108}"/>
    <cellStyle name="Notas 2 2 4 15" xfId="6114" xr:uid="{214F7FA2-504B-4217-A358-D1E407285A3F}"/>
    <cellStyle name="Notas 2 2 4 15 2" xfId="11826" xr:uid="{D11B5430-D31E-4246-823E-C7DAEAF30EEB}"/>
    <cellStyle name="Notas 2 2 4 16" xfId="5269" xr:uid="{E5ECFA8A-FC4D-42C7-830C-68BF08A804D2}"/>
    <cellStyle name="Notas 2 2 4 16 2" xfId="11115" xr:uid="{5A35F258-610F-418A-871C-7D4CDD130087}"/>
    <cellStyle name="Notas 2 2 4 17" xfId="6529" xr:uid="{3AC86FE9-3A63-4024-934E-F9B4751DB930}"/>
    <cellStyle name="Notas 2 2 4 17 2" xfId="12233" xr:uid="{B4A47061-1E01-480A-BBBF-F86E4725384F}"/>
    <cellStyle name="Notas 2 2 4 18" xfId="5667" xr:uid="{F946F29C-8606-46B1-AC49-50A2AA98C7B2}"/>
    <cellStyle name="Notas 2 2 4 18 2" xfId="11395" xr:uid="{6EA02AEE-CCCB-4028-966C-B75EC5D7918E}"/>
    <cellStyle name="Notas 2 2 4 19" xfId="8450" xr:uid="{E6148448-2562-4FCC-8D25-A90A9DAA51EE}"/>
    <cellStyle name="Notas 2 2 4 19 2" xfId="13930" xr:uid="{39B88861-3F6B-459A-86B6-B770774E011D}"/>
    <cellStyle name="Notas 2 2 4 2" xfId="2430" xr:uid="{DADABA92-A2E2-4032-9154-08BF1679FFBA}"/>
    <cellStyle name="Notas 2 2 4 2 10" xfId="5220" xr:uid="{8D2485A0-3DC2-4CC6-9411-22C34B86C924}"/>
    <cellStyle name="Notas 2 2 4 2 10 2" xfId="11066" xr:uid="{39C716AB-8418-4A2F-AC91-FBC817EF7DE6}"/>
    <cellStyle name="Notas 2 2 4 2 11" xfId="6515" xr:uid="{CE5C376B-B4CC-41E8-8C41-131DE565E64E}"/>
    <cellStyle name="Notas 2 2 4 2 11 2" xfId="12219" xr:uid="{FB1377EF-0809-4A48-A564-2279335F032C}"/>
    <cellStyle name="Notas 2 2 4 2 12" xfId="8644" xr:uid="{43743A37-455E-46C0-BD85-664A4410805E}"/>
    <cellStyle name="Notas 2 2 4 2 12 2" xfId="14032" xr:uid="{0D83B949-99D4-4993-968F-D2385B869DB0}"/>
    <cellStyle name="Notas 2 2 4 2 13" xfId="8992" xr:uid="{3A192A7F-B18C-4DE0-AAD5-0EA8FC29C4DB}"/>
    <cellStyle name="Notas 2 2 4 2 2" xfId="3018" xr:uid="{CB60B765-E515-43AC-A6F6-A8C12660EE29}"/>
    <cellStyle name="Notas 2 2 4 2 2 2" xfId="3958" xr:uid="{0E7CDAD0-1905-46ED-B2DE-FB9421F7C966}"/>
    <cellStyle name="Notas 2 2 4 2 2 2 2" xfId="10072" xr:uid="{152FE1E5-6E33-4F34-844C-E0EEBDD0B619}"/>
    <cellStyle name="Notas 2 2 4 2 2 3" xfId="6929" xr:uid="{C5B70E53-E09E-4F32-A6B3-D5E8A73DBE29}"/>
    <cellStyle name="Notas 2 2 4 2 2 3 2" xfId="12535" xr:uid="{266ED989-7D36-47F6-8128-BF564368E674}"/>
    <cellStyle name="Notas 2 2 4 2 2 4" xfId="7607" xr:uid="{A7B7CFFE-FB47-471C-BB20-CB031743B0C7}"/>
    <cellStyle name="Notas 2 2 4 2 2 4 2" xfId="13179" xr:uid="{D08B0A95-33D9-4DAA-BF6F-B087EF1FEB2D}"/>
    <cellStyle name="Notas 2 2 4 2 2 5" xfId="8100" xr:uid="{8EEAB5B5-90BD-4AD1-A1CA-388BFDABEEBA}"/>
    <cellStyle name="Notas 2 2 4 2 2 5 2" xfId="13672" xr:uid="{E625CF49-EC62-48C2-92B2-BF5827487CBC}"/>
    <cellStyle name="Notas 2 2 4 2 2 6" xfId="9352" xr:uid="{938B4FD2-6332-4102-AC62-24B189629E6F}"/>
    <cellStyle name="Notas 2 2 4 2 3" xfId="3478" xr:uid="{BDF96CBF-A636-4339-8018-388E454BE346}"/>
    <cellStyle name="Notas 2 2 4 2 3 2" xfId="9712" xr:uid="{6C072E01-028A-40DE-8B42-B5B80F6A687A}"/>
    <cellStyle name="Notas 2 2 4 2 4" xfId="4671" xr:uid="{4ABD4F50-F752-4E8F-A66C-544E91949612}"/>
    <cellStyle name="Notas 2 2 4 2 4 2" xfId="10535" xr:uid="{036F31AF-F03A-4E97-B26C-C5247599342E}"/>
    <cellStyle name="Notas 2 2 4 2 5" xfId="4910" xr:uid="{B7B0E969-2730-40AD-ABBC-286936334C36}"/>
    <cellStyle name="Notas 2 2 4 2 5 2" xfId="10756" xr:uid="{6053883C-3F40-494C-9772-8DB961880DE4}"/>
    <cellStyle name="Notas 2 2 4 2 6" xfId="5066" xr:uid="{A10C2A05-E38C-48BD-831E-0500E1C10A58}"/>
    <cellStyle name="Notas 2 2 4 2 6 2" xfId="10912" xr:uid="{FB0C7C2B-FD1A-4407-8E02-F1080BE98A23}"/>
    <cellStyle name="Notas 2 2 4 2 7" xfId="5836" xr:uid="{0280D8C5-CE1E-47FA-95F9-2E48D014722B}"/>
    <cellStyle name="Notas 2 2 4 2 7 2" xfId="11564" xr:uid="{BE46C788-3B7C-416C-BBFC-671DC3C5D742}"/>
    <cellStyle name="Notas 2 2 4 2 8" xfId="5296" xr:uid="{1E738A3B-75BD-4E7E-A1F2-16840BFDC4FE}"/>
    <cellStyle name="Notas 2 2 4 2 8 2" xfId="11140" xr:uid="{8063DEC0-E335-4497-83C4-61F83CE69D1B}"/>
    <cellStyle name="Notas 2 2 4 2 9" xfId="6373" xr:uid="{7915FD17-6178-42C4-BCDD-DC9DF1F9A2D3}"/>
    <cellStyle name="Notas 2 2 4 2 9 2" xfId="12077" xr:uid="{013A87BB-B13D-4B06-8AD4-3972A003F320}"/>
    <cellStyle name="Notas 2 2 4 20" xfId="8890" xr:uid="{FB70DBEB-57A8-4D0C-9220-3491C16DA632}"/>
    <cellStyle name="Notas 2 2 4 21" xfId="2236" xr:uid="{4E297211-2F1A-434A-A093-F328D9E7C8D9}"/>
    <cellStyle name="Notas 2 2 4 3" xfId="2535" xr:uid="{B1A589F9-469A-4230-BA72-E33B11968CEA}"/>
    <cellStyle name="Notas 2 2 4 3 10" xfId="7227" xr:uid="{52B9CCD6-6F86-4F0F-A2A7-FF0FB5B254FB}"/>
    <cellStyle name="Notas 2 2 4 3 10 2" xfId="12799" xr:uid="{AA35B308-039B-4D7C-8283-9AB4B7031639}"/>
    <cellStyle name="Notas 2 2 4 3 11" xfId="6416" xr:uid="{0AC44F80-41D0-46C9-A4E5-38340F969CC5}"/>
    <cellStyle name="Notas 2 2 4 3 11 2" xfId="12120" xr:uid="{36A0FF18-D1A6-4E45-BC7D-237EA0335E00}"/>
    <cellStyle name="Notas 2 2 4 3 12" xfId="8749" xr:uid="{168936D4-ECEF-4D63-9A8E-9DC23D3A75DB}"/>
    <cellStyle name="Notas 2 2 4 3 12 2" xfId="14105" xr:uid="{753DD61F-C635-47C7-B195-664E7C70B14F}"/>
    <cellStyle name="Notas 2 2 4 3 13" xfId="9065" xr:uid="{1DC17821-47D8-40BD-AFD8-21D07CBEDB5B}"/>
    <cellStyle name="Notas 2 2 4 3 2" xfId="3091" xr:uid="{1837F541-2CBA-4C5D-B1FB-24D33A812E2D}"/>
    <cellStyle name="Notas 2 2 4 3 2 2" xfId="4031" xr:uid="{80975257-AEB4-4F75-B993-068317B59C70}"/>
    <cellStyle name="Notas 2 2 4 3 2 2 2" xfId="10145" xr:uid="{D972829B-26F8-4111-882F-480689497B65}"/>
    <cellStyle name="Notas 2 2 4 3 2 3" xfId="7002" xr:uid="{AE8AE1C6-AF6F-41EA-B6FD-6A7A45FCA5C5}"/>
    <cellStyle name="Notas 2 2 4 3 2 3 2" xfId="12608" xr:uid="{FA090A71-C9A7-48BC-859C-403E21531343}"/>
    <cellStyle name="Notas 2 2 4 3 2 4" xfId="7680" xr:uid="{E3C58A63-FA6F-4B49-832A-CF48BA371864}"/>
    <cellStyle name="Notas 2 2 4 3 2 4 2" xfId="13252" xr:uid="{ED6E896E-E8A5-42E4-96B6-DDD63D301DF5}"/>
    <cellStyle name="Notas 2 2 4 3 2 5" xfId="8173" xr:uid="{88E3B304-6CAC-469F-8AD3-D7A1975C71AC}"/>
    <cellStyle name="Notas 2 2 4 3 2 5 2" xfId="13745" xr:uid="{F6704EED-1CC8-47A9-9525-400B0DB9C55B}"/>
    <cellStyle name="Notas 2 2 4 3 2 6" xfId="9425" xr:uid="{717195DA-5C61-4549-A32E-B027B6EE845B}"/>
    <cellStyle name="Notas 2 2 4 3 3" xfId="3551" xr:uid="{4C198F77-5496-4C94-ACEB-CE38766C3438}"/>
    <cellStyle name="Notas 2 2 4 3 3 2" xfId="9785" xr:uid="{74D0756E-DB10-4722-9BDC-379F8743B20E}"/>
    <cellStyle name="Notas 2 2 4 3 4" xfId="4748" xr:uid="{2DE19E2E-B582-4ABF-AC12-1DF06DC4E23E}"/>
    <cellStyle name="Notas 2 2 4 3 4 2" xfId="10612" xr:uid="{9C3720B9-803C-45BD-A10A-C6C278FD6366}"/>
    <cellStyle name="Notas 2 2 4 3 5" xfId="4991" xr:uid="{35BE05B7-2CDE-4338-8BD5-EFD98DBF6BA6}"/>
    <cellStyle name="Notas 2 2 4 3 5 2" xfId="10837" xr:uid="{295FDC98-AD29-4D6B-B564-15D025D9D11C}"/>
    <cellStyle name="Notas 2 2 4 3 6" xfId="5139" xr:uid="{76AFD991-7B19-45D5-BB8E-6FC8F0680226}"/>
    <cellStyle name="Notas 2 2 4 3 6 2" xfId="10985" xr:uid="{72AA9F96-D8F2-4CD5-988A-93B377589CBE}"/>
    <cellStyle name="Notas 2 2 4 3 7" xfId="5930" xr:uid="{DACD5D0E-167F-44A0-97A9-EAE999168A93}"/>
    <cellStyle name="Notas 2 2 4 3 7 2" xfId="11658" xr:uid="{2747607B-D8B6-4FBB-A06A-B173599E5D1F}"/>
    <cellStyle name="Notas 2 2 4 3 8" xfId="6260" xr:uid="{7A7AE34D-6A99-4634-A065-C78B927F6A14}"/>
    <cellStyle name="Notas 2 2 4 3 8 2" xfId="11964" xr:uid="{9D270D2C-1F20-4F1F-BE42-E280FD5544D2}"/>
    <cellStyle name="Notas 2 2 4 3 9" xfId="6462" xr:uid="{D7872C18-CE9C-492B-B148-A193AD50BDD0}"/>
    <cellStyle name="Notas 2 2 4 3 9 2" xfId="12166" xr:uid="{39DB2B9B-7221-4E29-A2E8-7C9A396CCD1B}"/>
    <cellStyle name="Notas 2 2 4 4" xfId="2271" xr:uid="{22B281D0-F96C-4604-B26E-CE16A3FBD5F7}"/>
    <cellStyle name="Notas 2 2 4 4 10" xfId="6213" xr:uid="{54685009-159E-460A-AAA7-F5AC863B84E1}"/>
    <cellStyle name="Notas 2 2 4 4 10 2" xfId="11917" xr:uid="{6ABFE652-2BD2-4973-B534-EDD13ED3222C}"/>
    <cellStyle name="Notas 2 2 4 4 11" xfId="6414" xr:uid="{5FE8B2AA-02AF-4803-B6E4-88E9EE269404}"/>
    <cellStyle name="Notas 2 2 4 4 11 2" xfId="12118" xr:uid="{D94BEA6E-7E39-4BF9-A548-E70044DDAEFE}"/>
    <cellStyle name="Notas 2 2 4 4 12" xfId="8485" xr:uid="{C74BAC8A-8041-439F-8557-D069AA234333}"/>
    <cellStyle name="Notas 2 2 4 4 12 2" xfId="13965" xr:uid="{F45C4457-2C32-4965-B590-FD036C546A7B}"/>
    <cellStyle name="Notas 2 2 4 4 13" xfId="8925" xr:uid="{6C300F9F-1194-4819-B376-8FC8CE61028C}"/>
    <cellStyle name="Notas 2 2 4 4 2" xfId="2951" xr:uid="{0C3841CC-8A69-4BF6-AADA-0322C8AACA01}"/>
    <cellStyle name="Notas 2 2 4 4 2 2" xfId="3891" xr:uid="{66761378-4CC9-4EE5-8525-5E445DBE2063}"/>
    <cellStyle name="Notas 2 2 4 4 2 2 2" xfId="10005" xr:uid="{B73A899F-618C-44D4-88A7-FE465A9AC9A2}"/>
    <cellStyle name="Notas 2 2 4 4 2 3" xfId="6862" xr:uid="{8D694227-16CB-4C51-A10E-80E787815996}"/>
    <cellStyle name="Notas 2 2 4 4 2 3 2" xfId="12468" xr:uid="{E5ECF7D3-A43B-46C8-A07F-C133EE4D80FA}"/>
    <cellStyle name="Notas 2 2 4 4 2 4" xfId="7540" xr:uid="{06C7FE43-B5A7-4B43-842B-C4B0823B1B15}"/>
    <cellStyle name="Notas 2 2 4 4 2 4 2" xfId="13112" xr:uid="{3F26FE07-B45D-4BDB-A6E0-A855E1EBF0DA}"/>
    <cellStyle name="Notas 2 2 4 4 2 5" xfId="8033" xr:uid="{AA09B252-24E2-4031-9241-516DB8680C43}"/>
    <cellStyle name="Notas 2 2 4 4 2 5 2" xfId="13605" xr:uid="{89FB1D99-BC3C-40DE-9A71-63B5517B14CA}"/>
    <cellStyle name="Notas 2 2 4 4 2 6" xfId="9285" xr:uid="{1E466CA6-9389-4EF8-AB41-C715D9A44F3E}"/>
    <cellStyle name="Notas 2 2 4 4 3" xfId="3411" xr:uid="{645E1218-7C69-42EE-87F5-80045DDBE281}"/>
    <cellStyle name="Notas 2 2 4 4 3 2" xfId="9645" xr:uid="{052949DF-9F0E-4B19-BBAA-D6171E57DC06}"/>
    <cellStyle name="Notas 2 2 4 4 4" xfId="4578" xr:uid="{C6E7E463-98A3-4612-9062-18C0CA8553FE}"/>
    <cellStyle name="Notas 2 2 4 4 4 2" xfId="10442" xr:uid="{583A21D3-2338-44F7-92E8-664C006A7815}"/>
    <cellStyle name="Notas 2 2 4 4 5" xfId="4823" xr:uid="{30CF95D4-300D-41A4-AD0E-2B2D4F01F140}"/>
    <cellStyle name="Notas 2 2 4 4 5 2" xfId="10669" xr:uid="{2784E158-F2E1-4D50-A82A-B5CE08E186E3}"/>
    <cellStyle name="Notas 2 2 4 4 6" xfId="4625" xr:uid="{FA18C462-78FC-4B5E-9149-66606BBC56CF}"/>
    <cellStyle name="Notas 2 2 4 4 6 2" xfId="10489" xr:uid="{01EF224F-6304-40BA-8332-5F3F997214D9}"/>
    <cellStyle name="Notas 2 2 4 4 7" xfId="5709" xr:uid="{65C73949-6434-456D-BF8D-28B99A3DC57C}"/>
    <cellStyle name="Notas 2 2 4 4 7 2" xfId="11437" xr:uid="{A9F73BA4-422C-40C1-829A-BB59538BEC3C}"/>
    <cellStyle name="Notas 2 2 4 4 8" xfId="6032" xr:uid="{63ABB1BE-68A9-467C-B2EF-08C6371CD597}"/>
    <cellStyle name="Notas 2 2 4 4 8 2" xfId="11744" xr:uid="{8C330B08-1192-4B88-B95B-D202786C38C2}"/>
    <cellStyle name="Notas 2 2 4 4 9" xfId="5744" xr:uid="{1FCE36CB-5B70-4EE6-849C-98D22E5D36CD}"/>
    <cellStyle name="Notas 2 2 4 4 9 2" xfId="11472" xr:uid="{BF270249-E304-4931-B98B-AE47223DB431}"/>
    <cellStyle name="Notas 2 2 4 5" xfId="2692" xr:uid="{1BE30BDA-C840-4633-9FEF-7C69541DF412}"/>
    <cellStyle name="Notas 2 2 4 5 2" xfId="3156" xr:uid="{1F05356D-F6F3-49BB-9A9F-861BF62ECD46}"/>
    <cellStyle name="Notas 2 2 4 5 2 2" xfId="4114" xr:uid="{99FDEEFF-57AB-46F7-9D8A-9C7030C6DD7E}"/>
    <cellStyle name="Notas 2 2 4 5 2 2 2" xfId="10210" xr:uid="{0F114A75-E75C-4E72-8B17-8758B535F903}"/>
    <cellStyle name="Notas 2 2 4 5 2 3" xfId="7085" xr:uid="{F3D8F286-A6B5-4C10-97B0-5B2C82272219}"/>
    <cellStyle name="Notas 2 2 4 5 2 3 2" xfId="12673" xr:uid="{018C3B0A-068F-46F5-A625-A87AC27941D7}"/>
    <cellStyle name="Notas 2 2 4 5 2 4" xfId="7746" xr:uid="{A8519F0B-FF5C-465E-9549-DF7BF7DB1696}"/>
    <cellStyle name="Notas 2 2 4 5 2 4 2" xfId="13318" xr:uid="{FD9EB62D-A403-4C65-8873-70CAB76108DC}"/>
    <cellStyle name="Notas 2 2 4 5 2 5" xfId="8238" xr:uid="{53F38B0D-7EF8-4E4F-89CF-742B371C2D25}"/>
    <cellStyle name="Notas 2 2 4 5 2 5 2" xfId="13810" xr:uid="{6BEC4B1E-9462-4C2B-AD86-3122EB6AF793}"/>
    <cellStyle name="Notas 2 2 4 5 2 6" xfId="9490" xr:uid="{D27A7694-D1F7-4FF9-A360-4F57EFDD6AC1}"/>
    <cellStyle name="Notas 2 2 4 5 3" xfId="3634" xr:uid="{F8CBF90E-23A8-4C7B-B92D-5AD3E7C5B41A}"/>
    <cellStyle name="Notas 2 2 4 5 3 2" xfId="9850" xr:uid="{25E8A050-4157-494A-A878-B7B967AED30C}"/>
    <cellStyle name="Notas 2 2 4 5 4" xfId="6071" xr:uid="{9B41EBD2-3935-44DB-A8C8-4EE85F577228}"/>
    <cellStyle name="Notas 2 2 4 5 4 2" xfId="11783" xr:uid="{B011B1B6-508B-4477-B403-7FBAD55062ED}"/>
    <cellStyle name="Notas 2 2 4 5 5" xfId="6589" xr:uid="{07821294-759A-4821-A7DD-730BA5620552}"/>
    <cellStyle name="Notas 2 2 4 5 5 2" xfId="12293" xr:uid="{0EEB3A79-4FA0-45B3-BADB-71E5A5441084}"/>
    <cellStyle name="Notas 2 2 4 5 6" xfId="7343" xr:uid="{9FD0753D-5EDF-4BA4-A35E-21FADDB1057B}"/>
    <cellStyle name="Notas 2 2 4 5 6 2" xfId="12915" xr:uid="{3CEB1371-5336-4EF6-A58C-5E58B06FB306}"/>
    <cellStyle name="Notas 2 2 4 5 7" xfId="7878" xr:uid="{A021C819-DFA3-448A-9585-0FDF2E430057}"/>
    <cellStyle name="Notas 2 2 4 5 7 2" xfId="13450" xr:uid="{A419BB6D-723B-4192-993B-0DFD811E1E61}"/>
    <cellStyle name="Notas 2 2 4 5 8" xfId="9130" xr:uid="{882AB118-560C-4CFF-9314-F86647CAB122}"/>
    <cellStyle name="Notas 2 2 4 6" xfId="2784" xr:uid="{0E2EE360-BF01-42D5-9C39-B457AC5BDB39}"/>
    <cellStyle name="Notas 2 2 4 6 2" xfId="3216" xr:uid="{DB86F9DD-1D88-4377-B02E-DC9D903280BC}"/>
    <cellStyle name="Notas 2 2 4 6 2 2" xfId="4174" xr:uid="{CDB0F3F5-FC1F-42E6-B504-0444F0C434CC}"/>
    <cellStyle name="Notas 2 2 4 6 2 2 2" xfId="10270" xr:uid="{BBA57FF0-A5B6-4C0A-94D1-6AF451CCE06E}"/>
    <cellStyle name="Notas 2 2 4 6 2 3" xfId="7145" xr:uid="{5D00461E-0077-4AAC-9E29-2CA7369972F4}"/>
    <cellStyle name="Notas 2 2 4 6 2 3 2" xfId="12733" xr:uid="{6B442782-8095-4733-8035-C4B96ACCF7C1}"/>
    <cellStyle name="Notas 2 2 4 6 2 4" xfId="7806" xr:uid="{EF7FE61A-3626-4C54-BA0E-0DAE4E408E75}"/>
    <cellStyle name="Notas 2 2 4 6 2 4 2" xfId="13378" xr:uid="{8BBBACB4-C50A-4AAB-80FD-D257FE9D6D47}"/>
    <cellStyle name="Notas 2 2 4 6 2 5" xfId="8298" xr:uid="{818DB7D3-12F6-4AB2-9CC9-EF56B5D7F7C2}"/>
    <cellStyle name="Notas 2 2 4 6 2 5 2" xfId="13870" xr:uid="{9BE4051F-57C3-4798-B206-CC8141B9947D}"/>
    <cellStyle name="Notas 2 2 4 6 2 6" xfId="9550" xr:uid="{C1AA7AA7-B6A3-4F07-B054-2AEFD034CF89}"/>
    <cellStyle name="Notas 2 2 4 6 3" xfId="3694" xr:uid="{D53A1D15-26C1-4667-8112-D822F33F9E3F}"/>
    <cellStyle name="Notas 2 2 4 6 3 2" xfId="9910" xr:uid="{339B58C0-FAB9-488C-93B2-723EFCAB1B32}"/>
    <cellStyle name="Notas 2 2 4 6 4" xfId="6151" xr:uid="{1187EA80-1159-4284-9261-3580B55A6389}"/>
    <cellStyle name="Notas 2 2 4 6 4 2" xfId="11863" xr:uid="{1D9DED57-1E3C-497B-8A32-D82863C22519}"/>
    <cellStyle name="Notas 2 2 4 6 5" xfId="6661" xr:uid="{BC352A03-172A-481D-970E-9456EB3B190B}"/>
    <cellStyle name="Notas 2 2 4 6 5 2" xfId="12365" xr:uid="{66305B3F-8005-402E-91DA-4E3D4BD2A92E}"/>
    <cellStyle name="Notas 2 2 4 6 6" xfId="7405" xr:uid="{0673450F-7944-4217-9EFC-920CE68FE3F0}"/>
    <cellStyle name="Notas 2 2 4 6 6 2" xfId="12977" xr:uid="{A7260388-1949-46F6-A333-95987275B161}"/>
    <cellStyle name="Notas 2 2 4 6 7" xfId="7938" xr:uid="{E16BB648-5AA1-4788-A2EC-97E6EB40E28C}"/>
    <cellStyle name="Notas 2 2 4 6 7 2" xfId="13510" xr:uid="{246CCCF7-5953-48D3-8BDD-8C33006EFE84}"/>
    <cellStyle name="Notas 2 2 4 6 8" xfId="9190" xr:uid="{F3A279A2-DB53-43D2-97D5-C2020A5CF3FC}"/>
    <cellStyle name="Notas 2 2 4 7" xfId="2884" xr:uid="{CB44BEB4-F399-4F9C-8F6F-0193C126DF1F}"/>
    <cellStyle name="Notas 2 2 4 7 2" xfId="3812" xr:uid="{8688946A-9C75-4D3C-A9C0-9513944892E2}"/>
    <cellStyle name="Notas 2 2 4 7 2 2" xfId="9970" xr:uid="{37527785-D4AD-47DC-ADA6-0585AE7A96DE}"/>
    <cellStyle name="Notas 2 2 4 7 3" xfId="6783" xr:uid="{1A1045F7-A47D-4A62-89CC-0EE619142201}"/>
    <cellStyle name="Notas 2 2 4 7 3 2" xfId="12433" xr:uid="{D7C132CF-9B44-4803-BD08-70CC7EB0456E}"/>
    <cellStyle name="Notas 2 2 4 7 4" xfId="7490" xr:uid="{FFA9276C-1591-48EC-BDF9-9480D84F1A29}"/>
    <cellStyle name="Notas 2 2 4 7 4 2" xfId="13062" xr:uid="{25ADFE52-2729-4B09-8551-A42CA1377DF8}"/>
    <cellStyle name="Notas 2 2 4 7 5" xfId="7998" xr:uid="{C68B9F3D-D7E9-4286-9B10-DF167BA0382F}"/>
    <cellStyle name="Notas 2 2 4 7 5 2" xfId="13570" xr:uid="{E536A6A1-C019-43EC-8A7C-50200A31C2CA}"/>
    <cellStyle name="Notas 2 2 4 7 6" xfId="9250" xr:uid="{10243D7F-4CA2-4C9F-924A-D05211A883F9}"/>
    <cellStyle name="Notas 2 2 4 8" xfId="3332" xr:uid="{A3B251BD-774B-4422-8908-2B66133C752B}"/>
    <cellStyle name="Notas 2 2 4 8 2" xfId="9610" xr:uid="{6C43D492-FECB-4BE7-B75D-A2641845C140}"/>
    <cellStyle name="Notas 2 2 4 9" xfId="4499" xr:uid="{CE54DEAA-80EB-4397-97DA-C511E9D2B41B}"/>
    <cellStyle name="Notas 2 2 4 9 2" xfId="10407" xr:uid="{ACCA340F-835D-438B-B3DC-C89B0DA60CD2}"/>
    <cellStyle name="Notas 2 2 5" xfId="2081" xr:uid="{4789DD34-99F2-4472-A22A-8204B3774268}"/>
    <cellStyle name="Notas 2 2 6" xfId="8830" xr:uid="{500AFC0A-CB31-4D66-83A7-B2AD7BEBC068}"/>
    <cellStyle name="Notas 2 2 7" xfId="1650" xr:uid="{A2FA0BAC-CC33-48BC-8ED0-35941B59A777}"/>
    <cellStyle name="Notas 2 3" xfId="385" xr:uid="{094FF868-04B5-4C3A-A908-8E8F4B0E0790}"/>
    <cellStyle name="Notas 2 3 2" xfId="1453" xr:uid="{2336F707-96B7-4E81-821D-EC1ED075C093}"/>
    <cellStyle name="Notas 2 3 2 2" xfId="1566" xr:uid="{8C932887-14F2-44C6-B974-191A4B04CA66}"/>
    <cellStyle name="Notas 2 3 2 2 10" xfId="4346" xr:uid="{FA8CE7E1-A5A5-4061-B459-D7CF2EDDCEE7}"/>
    <cellStyle name="Notas 2 3 2 2 10 2" xfId="10306" xr:uid="{EE648580-9D8F-4D94-81E4-3422B2429335}"/>
    <cellStyle name="Notas 2 3 2 2 11" xfId="4842" xr:uid="{9A895860-27E0-45C9-BD53-887EE304EB05}"/>
    <cellStyle name="Notas 2 3 2 2 11 2" xfId="10688" xr:uid="{62E5A8EA-AF6D-4536-903D-7FC83081A3DE}"/>
    <cellStyle name="Notas 2 3 2 2 12" xfId="5447" xr:uid="{758C9CA7-A1B2-4F14-9023-5109EB6253A3}"/>
    <cellStyle name="Notas 2 3 2 2 12 2" xfId="11241" xr:uid="{018EC94E-9445-4C0A-9B5B-0F78B345B33F}"/>
    <cellStyle name="Notas 2 3 2 2 13" xfId="5615" xr:uid="{707ED16A-998D-437E-9EEE-035EB530F29A}"/>
    <cellStyle name="Notas 2 3 2 2 13 2" xfId="11343" xr:uid="{24728911-8924-4910-BEFD-F07D62A3F9B3}"/>
    <cellStyle name="Notas 2 3 2 2 14" xfId="5197" xr:uid="{AFD87EC2-BC5B-4E70-8375-B9EA8BE23B2C}"/>
    <cellStyle name="Notas 2 3 2 2 14 2" xfId="11043" xr:uid="{B1E65E75-A432-4301-BE7D-21FEB3B83C2B}"/>
    <cellStyle name="Notas 2 3 2 2 15" xfId="5734" xr:uid="{02FF05AB-5235-498D-94AD-F2BCC1521442}"/>
    <cellStyle name="Notas 2 3 2 2 15 2" xfId="11462" xr:uid="{9185C1C2-327D-40B4-B0DF-8306FD58FFC7}"/>
    <cellStyle name="Notas 2 3 2 2 16" xfId="5541" xr:uid="{E23D3CDB-4FD9-4765-8995-7F8DDE9A9A5E}"/>
    <cellStyle name="Notas 2 3 2 2 16 2" xfId="11269" xr:uid="{4C973882-788E-4071-BAAD-C9821538230D}"/>
    <cellStyle name="Notas 2 3 2 2 17" xfId="6688" xr:uid="{37D63124-C0F2-4EB5-A866-87E575A1876F}"/>
    <cellStyle name="Notas 2 3 2 2 17 2" xfId="12392" xr:uid="{E9BFA151-F545-44E7-AA40-2E39B0D07BD9}"/>
    <cellStyle name="Notas 2 3 2 2 18" xfId="7281" xr:uid="{42F79689-A590-4D8C-97C6-E9E515CC7C44}"/>
    <cellStyle name="Notas 2 3 2 2 18 2" xfId="12853" xr:uid="{95A716EF-60AB-4868-88B2-C056512C7E4A}"/>
    <cellStyle name="Notas 2 3 2 2 19" xfId="8463" xr:uid="{0C99BE7D-D122-48A5-A36E-EAE5DA2AC8DC}"/>
    <cellStyle name="Notas 2 3 2 2 19 2" xfId="13943" xr:uid="{C2AD947C-B881-4175-A160-7510C855036C}"/>
    <cellStyle name="Notas 2 3 2 2 2" xfId="2443" xr:uid="{64AFB4DE-87C6-4AB3-A105-4340C3839E49}"/>
    <cellStyle name="Notas 2 3 2 2 2 10" xfId="5655" xr:uid="{DD1E2C45-C7D8-4CC2-93B5-66AFE8924C95}"/>
    <cellStyle name="Notas 2 3 2 2 2 10 2" xfId="11383" xr:uid="{DD12C788-9472-4CA4-B882-19BB64A8080E}"/>
    <cellStyle name="Notas 2 3 2 2 2 11" xfId="5538" xr:uid="{837EBE82-5E3B-4EE9-9602-D7F904172769}"/>
    <cellStyle name="Notas 2 3 2 2 2 11 2" xfId="11266" xr:uid="{3F89D9E2-5E03-46F3-9B8C-50BF12D99FA6}"/>
    <cellStyle name="Notas 2 3 2 2 2 12" xfId="8657" xr:uid="{8ADE714B-78EF-42CA-81E4-051E7EDC1682}"/>
    <cellStyle name="Notas 2 3 2 2 2 12 2" xfId="14045" xr:uid="{B6D0FE7A-7C16-42AD-82A5-95464BA6717B}"/>
    <cellStyle name="Notas 2 3 2 2 2 13" xfId="9005" xr:uid="{E0259DEF-39AB-402A-AF7C-91AB629DE5ED}"/>
    <cellStyle name="Notas 2 3 2 2 2 2" xfId="3031" xr:uid="{08F15392-156F-4022-80B3-E2933B102D32}"/>
    <cellStyle name="Notas 2 3 2 2 2 2 2" xfId="3971" xr:uid="{088F65BB-68DB-445C-AFAC-82B009B8C981}"/>
    <cellStyle name="Notas 2 3 2 2 2 2 2 2" xfId="10085" xr:uid="{784BB21E-6FA4-438A-9F3E-D8591B8627EB}"/>
    <cellStyle name="Notas 2 3 2 2 2 2 3" xfId="6942" xr:uid="{AE85AEB4-0D47-49B3-9BD0-7EE6A388FBE3}"/>
    <cellStyle name="Notas 2 3 2 2 2 2 3 2" xfId="12548" xr:uid="{E087C763-40AA-41A4-AA00-20916301D513}"/>
    <cellStyle name="Notas 2 3 2 2 2 2 4" xfId="7620" xr:uid="{ADB3F011-9268-4C89-B171-7EE34F2730A7}"/>
    <cellStyle name="Notas 2 3 2 2 2 2 4 2" xfId="13192" xr:uid="{56E8A71A-8512-44F4-9623-69C35A6E3EE5}"/>
    <cellStyle name="Notas 2 3 2 2 2 2 5" xfId="8113" xr:uid="{8A09E440-9AA4-43B8-BA33-31DE5DB3890C}"/>
    <cellStyle name="Notas 2 3 2 2 2 2 5 2" xfId="13685" xr:uid="{ED3B2F0D-6CEF-4BB0-A48D-F62E102BA80F}"/>
    <cellStyle name="Notas 2 3 2 2 2 2 6" xfId="9365" xr:uid="{A74EA5FE-015B-437D-BE2E-B896A837D0D8}"/>
    <cellStyle name="Notas 2 3 2 2 2 3" xfId="3491" xr:uid="{8FFB7F6A-1ADA-48DB-A8C9-C1360A7A252D}"/>
    <cellStyle name="Notas 2 3 2 2 2 3 2" xfId="9725" xr:uid="{2DBC94A2-A00F-4336-9D65-AD04D25737FE}"/>
    <cellStyle name="Notas 2 3 2 2 2 4" xfId="4684" xr:uid="{BEB789AA-9EB4-4006-B240-3C3E192022BD}"/>
    <cellStyle name="Notas 2 3 2 2 2 4 2" xfId="10548" xr:uid="{D3008C2D-9433-4E92-8665-7AC351805850}"/>
    <cellStyle name="Notas 2 3 2 2 2 5" xfId="4923" xr:uid="{8F7C82A0-51F3-4CE5-9CF9-F34C26C65CD1}"/>
    <cellStyle name="Notas 2 3 2 2 2 5 2" xfId="10769" xr:uid="{E2EDE29D-140F-43AC-9977-9B427123822D}"/>
    <cellStyle name="Notas 2 3 2 2 2 6" xfId="5079" xr:uid="{77087932-6306-40CE-B407-DF241EADF9B1}"/>
    <cellStyle name="Notas 2 3 2 2 2 6 2" xfId="10925" xr:uid="{D70C3F6D-A487-4EE7-8588-B8CACA34EFAF}"/>
    <cellStyle name="Notas 2 3 2 2 2 7" xfId="5849" xr:uid="{97B13C75-C0B5-491F-A6DD-DFBA7F0D36EE}"/>
    <cellStyle name="Notas 2 3 2 2 2 7 2" xfId="11577" xr:uid="{0BB0685A-CA4B-40F3-B39B-166F9E2F2BB2}"/>
    <cellStyle name="Notas 2 3 2 2 2 8" xfId="5318" xr:uid="{77C662B7-4015-4264-8CA7-052932B48C1F}"/>
    <cellStyle name="Notas 2 3 2 2 2 8 2" xfId="11162" xr:uid="{3D95C241-E28E-4CB1-8F2E-EBDAC3C959E1}"/>
    <cellStyle name="Notas 2 3 2 2 2 9" xfId="6386" xr:uid="{45924203-79C6-4E4D-96F6-F84B0B07CA31}"/>
    <cellStyle name="Notas 2 3 2 2 2 9 2" xfId="12090" xr:uid="{16F469E4-DCFA-43AA-A335-910F65A5ED4A}"/>
    <cellStyle name="Notas 2 3 2 2 20" xfId="8903" xr:uid="{D80CC52A-4972-42F7-B9C6-11032A083C75}"/>
    <cellStyle name="Notas 2 3 2 2 21" xfId="2249" xr:uid="{852A31C4-13A7-407C-8967-7C3635CCB8CC}"/>
    <cellStyle name="Notas 2 3 2 2 3" xfId="2548" xr:uid="{0E6153C7-F4E5-44B0-B23E-E44CDC5650D7}"/>
    <cellStyle name="Notas 2 3 2 2 3 10" xfId="7240" xr:uid="{2ADA2641-13B5-4C6A-ACDA-E16278BB6CBE}"/>
    <cellStyle name="Notas 2 3 2 2 3 10 2" xfId="12812" xr:uid="{0749E7F9-7A44-454A-9A2A-ACF9EF8B8AF5}"/>
    <cellStyle name="Notas 2 3 2 2 3 11" xfId="7513" xr:uid="{C47928CE-27AF-43BB-9CCB-3B582C6221E7}"/>
    <cellStyle name="Notas 2 3 2 2 3 11 2" xfId="13085" xr:uid="{8EC07C5D-D96C-40BC-80E8-4D4A48BA8E76}"/>
    <cellStyle name="Notas 2 3 2 2 3 12" xfId="8762" xr:uid="{432081C5-E670-472E-AC01-3286CF6C613C}"/>
    <cellStyle name="Notas 2 3 2 2 3 12 2" xfId="14118" xr:uid="{9DEBC1D6-C1B4-4078-A107-2DB5FC8F6CEB}"/>
    <cellStyle name="Notas 2 3 2 2 3 13" xfId="9078" xr:uid="{835ABCCF-6EF3-49DF-A469-9383759A7C23}"/>
    <cellStyle name="Notas 2 3 2 2 3 2" xfId="3104" xr:uid="{32305E8B-A35C-4430-AB5A-4F636BB537C5}"/>
    <cellStyle name="Notas 2 3 2 2 3 2 2" xfId="4044" xr:uid="{8B28466E-FD17-4186-8FB3-95AE053FCD67}"/>
    <cellStyle name="Notas 2 3 2 2 3 2 2 2" xfId="10158" xr:uid="{42D3F272-20F7-452C-87E5-09708B8E1C99}"/>
    <cellStyle name="Notas 2 3 2 2 3 2 3" xfId="7015" xr:uid="{B432B2E9-EEE2-49AC-8D42-CA8D02B92679}"/>
    <cellStyle name="Notas 2 3 2 2 3 2 3 2" xfId="12621" xr:uid="{1BD1D862-1C25-43CD-B99D-11BA9CEA277B}"/>
    <cellStyle name="Notas 2 3 2 2 3 2 4" xfId="7693" xr:uid="{DAB29D3A-7E78-45FD-9D64-590501D1515D}"/>
    <cellStyle name="Notas 2 3 2 2 3 2 4 2" xfId="13265" xr:uid="{8114932C-5AC1-4427-BC32-84A1DB22D07A}"/>
    <cellStyle name="Notas 2 3 2 2 3 2 5" xfId="8186" xr:uid="{16BA58E2-C6BE-4386-B538-DEFF7ABBA25C}"/>
    <cellStyle name="Notas 2 3 2 2 3 2 5 2" xfId="13758" xr:uid="{BB8D3167-71EA-47DA-B525-6BD4EB0689B2}"/>
    <cellStyle name="Notas 2 3 2 2 3 2 6" xfId="9438" xr:uid="{FE8E9677-595F-4CC3-82A4-9DE663FED176}"/>
    <cellStyle name="Notas 2 3 2 2 3 3" xfId="3564" xr:uid="{47B0430A-7FE6-4D7F-9004-D9715DFA3246}"/>
    <cellStyle name="Notas 2 3 2 2 3 3 2" xfId="9798" xr:uid="{23B6F629-A338-4AFD-807B-8D088F255F0D}"/>
    <cellStyle name="Notas 2 3 2 2 3 4" xfId="4761" xr:uid="{9648AEE6-253D-4DCA-A6DF-D4E02D3BC94E}"/>
    <cellStyle name="Notas 2 3 2 2 3 4 2" xfId="10625" xr:uid="{629701ED-5C53-4749-B01F-5B30D194B95D}"/>
    <cellStyle name="Notas 2 3 2 2 3 5" xfId="5004" xr:uid="{3912AE05-ACB3-4B21-BB9B-2C5FFD80BE34}"/>
    <cellStyle name="Notas 2 3 2 2 3 5 2" xfId="10850" xr:uid="{7019CF4B-C7D0-4F10-BA13-1293696F6F51}"/>
    <cellStyle name="Notas 2 3 2 2 3 6" xfId="5152" xr:uid="{95BE4E36-34B9-439B-BB04-8CE166362828}"/>
    <cellStyle name="Notas 2 3 2 2 3 6 2" xfId="10998" xr:uid="{8528A1BF-6E6E-492E-93CC-4FB528EC77EB}"/>
    <cellStyle name="Notas 2 3 2 2 3 7" xfId="5943" xr:uid="{A8380EB6-D7BF-45B4-9C31-FF4B4BC6B3BA}"/>
    <cellStyle name="Notas 2 3 2 2 3 7 2" xfId="11671" xr:uid="{DB4EB134-F642-47DF-BF0C-0B8E1807E3D4}"/>
    <cellStyle name="Notas 2 3 2 2 3 8" xfId="6273" xr:uid="{A9E48DB2-9312-4274-BEAD-249BC22B81EB}"/>
    <cellStyle name="Notas 2 3 2 2 3 8 2" xfId="11977" xr:uid="{7CCA09BD-D506-4A68-BE16-A9BB46A3DC62}"/>
    <cellStyle name="Notas 2 3 2 2 3 9" xfId="6475" xr:uid="{99BEFA4C-6AA4-4B65-A2CF-CE9AD1069CC5}"/>
    <cellStyle name="Notas 2 3 2 2 3 9 2" xfId="12179" xr:uid="{8579B6E3-AC99-4BA6-9897-DB8F0FC15B83}"/>
    <cellStyle name="Notas 2 3 2 2 4" xfId="2390" xr:uid="{F5586274-504B-4F0E-A551-3655358FDDF0}"/>
    <cellStyle name="Notas 2 3 2 2 4 10" xfId="6019" xr:uid="{9FDCFCC8-5995-4584-90C7-586D2D95AFE2}"/>
    <cellStyle name="Notas 2 3 2 2 4 10 2" xfId="11731" xr:uid="{715FBCD0-6132-48CD-8B4C-3B7C9BC2DFED}"/>
    <cellStyle name="Notas 2 3 2 2 4 11" xfId="6304" xr:uid="{D0A51EC9-7079-4DC9-BFB0-0A2D2A6EDE76}"/>
    <cellStyle name="Notas 2 3 2 2 4 11 2" xfId="12008" xr:uid="{E7A62348-60F9-4E64-8F8D-FF7E6F31524C}"/>
    <cellStyle name="Notas 2 3 2 2 4 12" xfId="8604" xr:uid="{ED300CA0-641D-4369-91FF-596812CF613E}"/>
    <cellStyle name="Notas 2 3 2 2 4 12 2" xfId="13992" xr:uid="{72079923-1241-4938-9919-1133AFC9A236}"/>
    <cellStyle name="Notas 2 3 2 2 4 13" xfId="8952" xr:uid="{B70074D7-13B5-4BE6-B7D7-7979D27F5AF5}"/>
    <cellStyle name="Notas 2 3 2 2 4 2" xfId="2978" xr:uid="{F658B78D-6C34-410C-8CF6-3A57637F3FE7}"/>
    <cellStyle name="Notas 2 3 2 2 4 2 2" xfId="3918" xr:uid="{8BAB56A4-FACA-466C-96ED-A59A03FD2305}"/>
    <cellStyle name="Notas 2 3 2 2 4 2 2 2" xfId="10032" xr:uid="{12DDE153-DAEF-4B38-9A68-181268BAD928}"/>
    <cellStyle name="Notas 2 3 2 2 4 2 3" xfId="6889" xr:uid="{0AA99241-DAFF-4890-B658-17AD5B491BDB}"/>
    <cellStyle name="Notas 2 3 2 2 4 2 3 2" xfId="12495" xr:uid="{0D4A9EE5-FD56-4289-B194-DA81DEDB0C81}"/>
    <cellStyle name="Notas 2 3 2 2 4 2 4" xfId="7567" xr:uid="{6FA80711-6CDE-462A-84D3-CF2923595086}"/>
    <cellStyle name="Notas 2 3 2 2 4 2 4 2" xfId="13139" xr:uid="{451A9045-C099-4CDA-BA73-59C9BD57FC48}"/>
    <cellStyle name="Notas 2 3 2 2 4 2 5" xfId="8060" xr:uid="{A3242067-9D4D-404E-B7C6-0E7463698619}"/>
    <cellStyle name="Notas 2 3 2 2 4 2 5 2" xfId="13632" xr:uid="{17763A20-8921-41E0-BB6E-E2237D98AB60}"/>
    <cellStyle name="Notas 2 3 2 2 4 2 6" xfId="9312" xr:uid="{1CD34D4F-51CE-42F3-B45F-53CA5CDC62E3}"/>
    <cellStyle name="Notas 2 3 2 2 4 3" xfId="3438" xr:uid="{7B4697A8-EC24-41AC-ABE4-9B3F7006625B}"/>
    <cellStyle name="Notas 2 3 2 2 4 3 2" xfId="9672" xr:uid="{8B4B951B-B07E-4A0C-8B75-3D3552D9AB7F}"/>
    <cellStyle name="Notas 2 3 2 2 4 4" xfId="4631" xr:uid="{C843543C-211D-4DEC-A8A2-2A50B6FA4C0D}"/>
    <cellStyle name="Notas 2 3 2 2 4 4 2" xfId="10495" xr:uid="{D92F35B2-33A5-4DE7-85FB-3B5C59D3A26D}"/>
    <cellStyle name="Notas 2 3 2 2 4 5" xfId="4870" xr:uid="{993298E2-6510-4C87-B6F4-5EA978FE006F}"/>
    <cellStyle name="Notas 2 3 2 2 4 5 2" xfId="10716" xr:uid="{F92E75AC-3AB1-4DF6-BD62-C3989645BAEC}"/>
    <cellStyle name="Notas 2 3 2 2 4 6" xfId="5026" xr:uid="{32FC6FE6-04FA-452D-A699-DDD3D64E97FF}"/>
    <cellStyle name="Notas 2 3 2 2 4 6 2" xfId="10872" xr:uid="{FE95444E-6F90-49E5-9C57-67EE6FAB63A6}"/>
    <cellStyle name="Notas 2 3 2 2 4 7" xfId="5796" xr:uid="{9811C041-D877-4F99-8EF2-BB8A11AE094B}"/>
    <cellStyle name="Notas 2 3 2 2 4 7 2" xfId="11524" xr:uid="{60D4E0E1-952A-43EE-ABBC-47C26B0BFCB3}"/>
    <cellStyle name="Notas 2 3 2 2 4 8" xfId="6097" xr:uid="{F89E0EBB-AFA6-485D-9DD7-87C0BFCE01BC}"/>
    <cellStyle name="Notas 2 3 2 2 4 8 2" xfId="11809" xr:uid="{1F01A70B-3EDB-439F-A85B-A99652DCB05B}"/>
    <cellStyle name="Notas 2 3 2 2 4 9" xfId="6333" xr:uid="{B2D5D606-ED61-493F-8FB1-248B186C2558}"/>
    <cellStyle name="Notas 2 3 2 2 4 9 2" xfId="12037" xr:uid="{FFEFD38B-5162-4FCE-9F83-8D65C28DF401}"/>
    <cellStyle name="Notas 2 3 2 2 5" xfId="2705" xr:uid="{60E6882C-896E-45EA-B9FE-E510CC1FFC82}"/>
    <cellStyle name="Notas 2 3 2 2 5 2" xfId="3169" xr:uid="{F06A7E77-D7BA-41D7-AA53-99C913099449}"/>
    <cellStyle name="Notas 2 3 2 2 5 2 2" xfId="4127" xr:uid="{B17B1ADE-1CC2-4408-869B-60FD4CF46646}"/>
    <cellStyle name="Notas 2 3 2 2 5 2 2 2" xfId="10223" xr:uid="{5FF6D967-9E32-4B4B-A943-26C6A785F896}"/>
    <cellStyle name="Notas 2 3 2 2 5 2 3" xfId="7098" xr:uid="{FDC27F9B-4C46-4DD1-8556-2F85055D3213}"/>
    <cellStyle name="Notas 2 3 2 2 5 2 3 2" xfId="12686" xr:uid="{AC7F37FF-AAB7-4941-BEE6-F8C59A1DC1FE}"/>
    <cellStyle name="Notas 2 3 2 2 5 2 4" xfId="7759" xr:uid="{6639D504-0608-4E26-A4D9-9A5FD50D90AF}"/>
    <cellStyle name="Notas 2 3 2 2 5 2 4 2" xfId="13331" xr:uid="{5286D717-AC03-4700-B9C9-2E7560513411}"/>
    <cellStyle name="Notas 2 3 2 2 5 2 5" xfId="8251" xr:uid="{F021C47F-66E1-4AAB-ADC3-16A0F42AA6AC}"/>
    <cellStyle name="Notas 2 3 2 2 5 2 5 2" xfId="13823" xr:uid="{ABB7E4BE-0E10-481B-9E4E-CCC33EE31EC5}"/>
    <cellStyle name="Notas 2 3 2 2 5 2 6" xfId="9503" xr:uid="{34EF3CAC-D3AB-4311-8518-457D1FCF35A7}"/>
    <cellStyle name="Notas 2 3 2 2 5 3" xfId="3647" xr:uid="{BD127FCE-D9BB-4D54-9972-300BCF4BB623}"/>
    <cellStyle name="Notas 2 3 2 2 5 3 2" xfId="9863" xr:uid="{1C0B4BE4-EBAA-450B-8EBE-24BB72FBC7DC}"/>
    <cellStyle name="Notas 2 3 2 2 5 4" xfId="6084" xr:uid="{C08F6CDA-4D41-45BF-BB28-96770B5E3189}"/>
    <cellStyle name="Notas 2 3 2 2 5 4 2" xfId="11796" xr:uid="{FCEACCEB-696A-4129-8292-1D6F3EB2E3F6}"/>
    <cellStyle name="Notas 2 3 2 2 5 5" xfId="6602" xr:uid="{32F6132C-BF94-473F-9829-73928257608D}"/>
    <cellStyle name="Notas 2 3 2 2 5 5 2" xfId="12306" xr:uid="{DBD2D9B8-4CE7-45A9-AA7E-2DA98F539712}"/>
    <cellStyle name="Notas 2 3 2 2 5 6" xfId="7356" xr:uid="{8731D45D-9893-4F02-9C2C-28B07F5A6D21}"/>
    <cellStyle name="Notas 2 3 2 2 5 6 2" xfId="12928" xr:uid="{FCA28911-C9D6-4580-B732-5D90662939E4}"/>
    <cellStyle name="Notas 2 3 2 2 5 7" xfId="7891" xr:uid="{6DF5E8D7-C06A-48A0-B309-C22A48014004}"/>
    <cellStyle name="Notas 2 3 2 2 5 7 2" xfId="13463" xr:uid="{C4D22368-01B9-413F-8B36-44E52B89725C}"/>
    <cellStyle name="Notas 2 3 2 2 5 8" xfId="9143" xr:uid="{92972B88-8802-419A-88A2-671E5BEFC941}"/>
    <cellStyle name="Notas 2 3 2 2 6" xfId="2797" xr:uid="{54D69912-2C0D-4E7C-B793-8DB86D19A326}"/>
    <cellStyle name="Notas 2 3 2 2 6 2" xfId="3229" xr:uid="{71653F8F-6F0D-4699-B170-A671B94B946C}"/>
    <cellStyle name="Notas 2 3 2 2 6 2 2" xfId="4187" xr:uid="{B1F05566-63D5-4505-8969-35C908F4DDD2}"/>
    <cellStyle name="Notas 2 3 2 2 6 2 2 2" xfId="10283" xr:uid="{424D64FA-A9CF-4BFD-8966-358B8E8B5677}"/>
    <cellStyle name="Notas 2 3 2 2 6 2 3" xfId="7158" xr:uid="{A9C1A1E8-B15E-4EFD-ADB4-322303E319BF}"/>
    <cellStyle name="Notas 2 3 2 2 6 2 3 2" xfId="12746" xr:uid="{44838E80-8CC5-4882-8C34-45EB811A37C8}"/>
    <cellStyle name="Notas 2 3 2 2 6 2 4" xfId="7819" xr:uid="{BF6D4A78-402E-4AD7-827A-2B34069E8B65}"/>
    <cellStyle name="Notas 2 3 2 2 6 2 4 2" xfId="13391" xr:uid="{67D495BA-C265-4440-9749-E594A45AEA04}"/>
    <cellStyle name="Notas 2 3 2 2 6 2 5" xfId="8311" xr:uid="{1EFDE7DE-E4AA-49F8-BC87-395137F94250}"/>
    <cellStyle name="Notas 2 3 2 2 6 2 5 2" xfId="13883" xr:uid="{D959B569-2713-49C2-8A19-C53E5B7B8482}"/>
    <cellStyle name="Notas 2 3 2 2 6 2 6" xfId="9563" xr:uid="{438CB623-A998-4C50-AC8C-F750AEEA9724}"/>
    <cellStyle name="Notas 2 3 2 2 6 3" xfId="3707" xr:uid="{FB0376B7-591C-4002-878B-E6BF40285F2F}"/>
    <cellStyle name="Notas 2 3 2 2 6 3 2" xfId="9923" xr:uid="{E15A1AAD-4F37-4004-BB3E-3BCE754D9D20}"/>
    <cellStyle name="Notas 2 3 2 2 6 4" xfId="6164" xr:uid="{AA45557C-88A1-468E-A109-0FA83713D62C}"/>
    <cellStyle name="Notas 2 3 2 2 6 4 2" xfId="11876" xr:uid="{40B6E8A5-9E39-4A91-9ABD-740CA5D69CC2}"/>
    <cellStyle name="Notas 2 3 2 2 6 5" xfId="6674" xr:uid="{E34F9073-0F76-4B7A-B42A-BF0955130834}"/>
    <cellStyle name="Notas 2 3 2 2 6 5 2" xfId="12378" xr:uid="{1AF2C78C-C674-4888-903E-35C8AE7CC66E}"/>
    <cellStyle name="Notas 2 3 2 2 6 6" xfId="7418" xr:uid="{9AA50D2D-B71F-4794-BACB-32075565E9DA}"/>
    <cellStyle name="Notas 2 3 2 2 6 6 2" xfId="12990" xr:uid="{9B78879B-A334-4872-8ABA-95CB18B41F0A}"/>
    <cellStyle name="Notas 2 3 2 2 6 7" xfId="7951" xr:uid="{494BF64C-39A5-4249-B8CC-71896990D9EE}"/>
    <cellStyle name="Notas 2 3 2 2 6 7 2" xfId="13523" xr:uid="{4DE99C21-41B8-460B-9B9C-FF2D8F4F7119}"/>
    <cellStyle name="Notas 2 3 2 2 6 8" xfId="9203" xr:uid="{672FC01A-5987-48F1-A30C-A5BB8051E54C}"/>
    <cellStyle name="Notas 2 3 2 2 7" xfId="2897" xr:uid="{DBD4E3CD-BECD-4C13-9BAF-40734CC50DE3}"/>
    <cellStyle name="Notas 2 3 2 2 7 2" xfId="3825" xr:uid="{09A63997-2189-4B59-8570-4B8AE0B28C2F}"/>
    <cellStyle name="Notas 2 3 2 2 7 2 2" xfId="9983" xr:uid="{A30BDA57-55F9-418A-9BD4-685805146079}"/>
    <cellStyle name="Notas 2 3 2 2 7 3" xfId="6796" xr:uid="{E952E61F-445C-4607-9B6C-CFFC6509DAB8}"/>
    <cellStyle name="Notas 2 3 2 2 7 3 2" xfId="12446" xr:uid="{11D945E3-9B7D-4B97-BCA7-4B82A2C63B8F}"/>
    <cellStyle name="Notas 2 3 2 2 7 4" xfId="7503" xr:uid="{E7A97191-82FF-48EA-A603-767984A69567}"/>
    <cellStyle name="Notas 2 3 2 2 7 4 2" xfId="13075" xr:uid="{3FDC991B-3925-40E8-B626-8392C84FAD00}"/>
    <cellStyle name="Notas 2 3 2 2 7 5" xfId="8011" xr:uid="{7FC0C584-A390-4C53-B34C-A5E955C65DB5}"/>
    <cellStyle name="Notas 2 3 2 2 7 5 2" xfId="13583" xr:uid="{A06920CD-007A-4AF1-9AA7-433089938EF0}"/>
    <cellStyle name="Notas 2 3 2 2 7 6" xfId="9263" xr:uid="{B222D084-05AB-46F2-9767-EE374BCA864A}"/>
    <cellStyle name="Notas 2 3 2 2 8" xfId="3345" xr:uid="{6D675372-3C17-4AE6-8D64-48FE08271F9F}"/>
    <cellStyle name="Notas 2 3 2 2 8 2" xfId="9623" xr:uid="{DF0F0FA6-FB72-46F8-ABE6-54636699F9AC}"/>
    <cellStyle name="Notas 2 3 2 2 9" xfId="4512" xr:uid="{B54490B4-26D6-4F58-8CF1-D7E09157CE8B}"/>
    <cellStyle name="Notas 2 3 2 2 9 2" xfId="10420" xr:uid="{69478792-37CA-4B7E-A9E7-1BC0E16895F5}"/>
    <cellStyle name="Notas 2 3 2 3" xfId="1619" xr:uid="{9B3265C7-4F61-468E-88AE-23CED8DE6D9A}"/>
    <cellStyle name="Notas 2 3 2 3 10" xfId="4600" xr:uid="{D93D85DF-CC8D-405C-A181-F29106F690EC}"/>
    <cellStyle name="Notas 2 3 2 3 10 2" xfId="10464" xr:uid="{998D1503-5829-48AC-AD84-09A7ED45B33E}"/>
    <cellStyle name="Notas 2 3 2 3 11" xfId="4943" xr:uid="{BFFD12D4-0676-421F-9FDB-A1A31615285B}"/>
    <cellStyle name="Notas 2 3 2 3 11 2" xfId="10789" xr:uid="{90566607-BE51-48FA-906F-7C366B410063}"/>
    <cellStyle name="Notas 2 3 2 3 12" xfId="5400" xr:uid="{EFF4398C-4DB8-4B52-832C-9F92930B79DE}"/>
    <cellStyle name="Notas 2 3 2 3 12 2" xfId="11198" xr:uid="{EB1D6D88-4CFC-4441-B1B1-B9AF470340A0}"/>
    <cellStyle name="Notas 2 3 2 3 13" xfId="5568" xr:uid="{1FB077B3-A185-49B3-AE86-211F378AB89D}"/>
    <cellStyle name="Notas 2 3 2 3 13 2" xfId="11296" xr:uid="{F892AADA-C5C2-4135-AC17-1E22F9AD3C0E}"/>
    <cellStyle name="Notas 2 3 2 3 14" xfId="5627" xr:uid="{06DD7A6F-76A2-4BAB-A17F-AC47B83032FF}"/>
    <cellStyle name="Notas 2 3 2 3 14 2" xfId="11355" xr:uid="{CDE45267-68E5-468F-9C8E-E4ADFC093E42}"/>
    <cellStyle name="Notas 2 3 2 3 15" xfId="5551" xr:uid="{A3493C07-8760-4F64-878F-27213011258E}"/>
    <cellStyle name="Notas 2 3 2 3 15 2" xfId="11279" xr:uid="{33AFD049-E915-44B8-B8DF-3D890FFD1440}"/>
    <cellStyle name="Notas 2 3 2 3 16" xfId="6200" xr:uid="{46B98729-1AA6-412C-B70E-33EC5359746F}"/>
    <cellStyle name="Notas 2 3 2 3 16 2" xfId="11904" xr:uid="{D4994855-A659-4D18-B9C6-9227AF27D1D9}"/>
    <cellStyle name="Notas 2 3 2 3 17" xfId="5308" xr:uid="{8FAC8ACF-6604-4758-AA16-864DCF2CF038}"/>
    <cellStyle name="Notas 2 3 2 3 17 2" xfId="11152" xr:uid="{207A6980-285B-4018-BE20-126032FEBDEA}"/>
    <cellStyle name="Notas 2 3 2 3 18" xfId="6323" xr:uid="{4451C41D-85DB-48FD-B472-34DCC569239D}"/>
    <cellStyle name="Notas 2 3 2 3 18 2" xfId="12027" xr:uid="{75A58505-325C-4D1C-A7EF-D224B45D16ED}"/>
    <cellStyle name="Notas 2 3 2 3 19" xfId="8420" xr:uid="{2E865A5A-AAB2-471E-9131-C969EB1F6D24}"/>
    <cellStyle name="Notas 2 3 2 3 19 2" xfId="13900" xr:uid="{993DE9CF-F945-4D41-BF8F-0BDEBED6DA9F}"/>
    <cellStyle name="Notas 2 3 2 3 2" xfId="2398" xr:uid="{10300209-25F0-4F98-957E-9E94C6BE9115}"/>
    <cellStyle name="Notas 2 3 2 3 2 10" xfId="5265" xr:uid="{77C3BC77-F585-4AC8-8A29-01FD4E877DB2}"/>
    <cellStyle name="Notas 2 3 2 3 2 10 2" xfId="11111" xr:uid="{20E9FA0F-2D83-46E7-A7B3-F17CF8BF87D9}"/>
    <cellStyle name="Notas 2 3 2 3 2 11" xfId="7525" xr:uid="{A3D540D5-5336-4677-8D52-2C6395B74B65}"/>
    <cellStyle name="Notas 2 3 2 3 2 11 2" xfId="13097" xr:uid="{6A85FF90-2235-421B-8C80-13A71A5A9421}"/>
    <cellStyle name="Notas 2 3 2 3 2 12" xfId="8612" xr:uid="{4FCE870A-2AF4-42FE-836E-A9E3CB0E0624}"/>
    <cellStyle name="Notas 2 3 2 3 2 12 2" xfId="14000" xr:uid="{96C132A0-5D0B-4F78-B04B-64FF9C868978}"/>
    <cellStyle name="Notas 2 3 2 3 2 13" xfId="8960" xr:uid="{789F6FBB-54AF-40A3-AE73-BE5A890761B4}"/>
    <cellStyle name="Notas 2 3 2 3 2 2" xfId="2986" xr:uid="{366727D5-A850-4874-B8B9-08CFA12E6C24}"/>
    <cellStyle name="Notas 2 3 2 3 2 2 2" xfId="3926" xr:uid="{59D9F322-3252-4C20-B1BC-7FE6B80FE45C}"/>
    <cellStyle name="Notas 2 3 2 3 2 2 2 2" xfId="10040" xr:uid="{54DAF37B-2C78-4052-B7A5-59F939BF86E0}"/>
    <cellStyle name="Notas 2 3 2 3 2 2 3" xfId="6897" xr:uid="{F741ABE3-6127-40C3-A285-F7C11902862C}"/>
    <cellStyle name="Notas 2 3 2 3 2 2 3 2" xfId="12503" xr:uid="{A8060EE3-04FF-4037-9F6C-D672316A73EE}"/>
    <cellStyle name="Notas 2 3 2 3 2 2 4" xfId="7575" xr:uid="{5C889B8A-E7A6-4919-805D-C71F2677F9DB}"/>
    <cellStyle name="Notas 2 3 2 3 2 2 4 2" xfId="13147" xr:uid="{6D43FDE3-A016-404D-A03C-25672F0478EC}"/>
    <cellStyle name="Notas 2 3 2 3 2 2 5" xfId="8068" xr:uid="{DC9A5FE4-279D-41E0-90EC-BCFCC7CC082E}"/>
    <cellStyle name="Notas 2 3 2 3 2 2 5 2" xfId="13640" xr:uid="{75FC22FF-48CD-4CA3-985E-0A527B3EED66}"/>
    <cellStyle name="Notas 2 3 2 3 2 2 6" xfId="9320" xr:uid="{9A4397B4-BDBC-46A4-8198-E4F0099E2A26}"/>
    <cellStyle name="Notas 2 3 2 3 2 3" xfId="3446" xr:uid="{D3915EED-3EE1-4472-A3D1-0F03B8678A0E}"/>
    <cellStyle name="Notas 2 3 2 3 2 3 2" xfId="9680" xr:uid="{16E0FBC0-6994-4728-8483-FE3BA77795BB}"/>
    <cellStyle name="Notas 2 3 2 3 2 4" xfId="4639" xr:uid="{BBDBA3EA-95A7-459B-B088-ADC4A859D2FE}"/>
    <cellStyle name="Notas 2 3 2 3 2 4 2" xfId="10503" xr:uid="{AC40AE15-59EA-4377-A69D-D9BD52715D3C}"/>
    <cellStyle name="Notas 2 3 2 3 2 5" xfId="4878" xr:uid="{3028B04C-1036-4F8B-9B95-BDD53F0D4D5B}"/>
    <cellStyle name="Notas 2 3 2 3 2 5 2" xfId="10724" xr:uid="{22B2DE16-C0E9-4769-9D0D-D52DF77209B3}"/>
    <cellStyle name="Notas 2 3 2 3 2 6" xfId="5034" xr:uid="{448BF4EE-B356-4707-AD8E-2AC3DA937B05}"/>
    <cellStyle name="Notas 2 3 2 3 2 6 2" xfId="10880" xr:uid="{E97B236F-2B62-49F9-9C69-B6D33C3C914E}"/>
    <cellStyle name="Notas 2 3 2 3 2 7" xfId="5804" xr:uid="{E32CCF3A-BDA6-4A40-9FAA-B7CA1C0F957C}"/>
    <cellStyle name="Notas 2 3 2 3 2 7 2" xfId="11532" xr:uid="{10FADC8F-1FCB-459F-8DD4-4E505BF2DB14}"/>
    <cellStyle name="Notas 2 3 2 3 2 8" xfId="5355" xr:uid="{76BBFA0E-088F-4581-8171-0BE65501F47B}"/>
    <cellStyle name="Notas 2 3 2 3 2 8 2" xfId="11187" xr:uid="{700B8B7D-2D60-45E9-A2DD-02127241C0E9}"/>
    <cellStyle name="Notas 2 3 2 3 2 9" xfId="6341" xr:uid="{A7E23461-9B54-41ED-B563-F018002CBC44}"/>
    <cellStyle name="Notas 2 3 2 3 2 9 2" xfId="12045" xr:uid="{3F5A7E0B-7372-439A-AE24-FFFE034A142F}"/>
    <cellStyle name="Notas 2 3 2 3 20" xfId="8860" xr:uid="{97929CAA-EAFC-4D60-9A16-3E7A72EBF46E}"/>
    <cellStyle name="Notas 2 3 2 3 21" xfId="2206" xr:uid="{59FB2674-E98D-4F45-AD18-DACEE5067D9D}"/>
    <cellStyle name="Notas 2 3 2 3 3" xfId="2504" xr:uid="{4204ECB0-9C97-4EDE-B121-3983E02A8DE0}"/>
    <cellStyle name="Notas 2 3 2 3 3 10" xfId="7196" xr:uid="{052CD3C5-E95F-4FEA-ABB4-62F505930DE3}"/>
    <cellStyle name="Notas 2 3 2 3 3 10 2" xfId="12768" xr:uid="{B92B8E79-9B89-4FA6-A631-45A2D6620894}"/>
    <cellStyle name="Notas 2 3 2 3 3 11" xfId="6522" xr:uid="{3BE3EC96-535C-489D-ADB5-594B1614AD19}"/>
    <cellStyle name="Notas 2 3 2 3 3 11 2" xfId="12226" xr:uid="{C43696BA-B46E-415C-A3E4-74892D8B957B}"/>
    <cellStyle name="Notas 2 3 2 3 3 12" xfId="8718" xr:uid="{5B7050EF-72EE-4FDD-B0C8-A075DFC525EC}"/>
    <cellStyle name="Notas 2 3 2 3 3 12 2" xfId="14074" xr:uid="{5024B1F4-97E9-480C-8FAD-8E7EC9CF5E77}"/>
    <cellStyle name="Notas 2 3 2 3 3 13" xfId="9034" xr:uid="{E48DCC70-DC9C-477F-AA47-5A077716319E}"/>
    <cellStyle name="Notas 2 3 2 3 3 2" xfId="3060" xr:uid="{C31DA089-E535-417A-BBB0-4CBDD3CD8E0C}"/>
    <cellStyle name="Notas 2 3 2 3 3 2 2" xfId="4000" xr:uid="{D540E153-7A60-4786-AA95-691750F68375}"/>
    <cellStyle name="Notas 2 3 2 3 3 2 2 2" xfId="10114" xr:uid="{44F9AC1C-BE3F-4E31-8794-AB66E4244E0B}"/>
    <cellStyle name="Notas 2 3 2 3 3 2 3" xfId="6971" xr:uid="{CC3D230D-5B9D-4A84-A53D-C998D52857FE}"/>
    <cellStyle name="Notas 2 3 2 3 3 2 3 2" xfId="12577" xr:uid="{2A3489C0-FE36-458A-97C4-BE2B37C837E6}"/>
    <cellStyle name="Notas 2 3 2 3 3 2 4" xfId="7649" xr:uid="{A02D82A8-F352-4489-BABD-577696AB2162}"/>
    <cellStyle name="Notas 2 3 2 3 3 2 4 2" xfId="13221" xr:uid="{0CBEEC3A-A9DA-4431-8899-40962CD44CF0}"/>
    <cellStyle name="Notas 2 3 2 3 3 2 5" xfId="8142" xr:uid="{B07A0383-BF98-4A61-A63D-31AA9607B91B}"/>
    <cellStyle name="Notas 2 3 2 3 3 2 5 2" xfId="13714" xr:uid="{60F76669-CD5E-4ACD-8017-C177667A7AEA}"/>
    <cellStyle name="Notas 2 3 2 3 3 2 6" xfId="9394" xr:uid="{72393C2F-C4ED-487F-901E-A3446FE70944}"/>
    <cellStyle name="Notas 2 3 2 3 3 3" xfId="3520" xr:uid="{1F25551A-2E82-4A2B-916B-E01D6550E2DF}"/>
    <cellStyle name="Notas 2 3 2 3 3 3 2" xfId="9754" xr:uid="{130277E4-0555-4B07-B687-FFC243E3FF4F}"/>
    <cellStyle name="Notas 2 3 2 3 3 4" xfId="4717" xr:uid="{417BEE61-E015-4203-9904-810FED35CA29}"/>
    <cellStyle name="Notas 2 3 2 3 3 4 2" xfId="10581" xr:uid="{3AD420AF-FE4B-4AC2-992F-15EDCC94319E}"/>
    <cellStyle name="Notas 2 3 2 3 3 5" xfId="4960" xr:uid="{6389E30E-4777-4B35-BB51-C69E258074F2}"/>
    <cellStyle name="Notas 2 3 2 3 3 5 2" xfId="10806" xr:uid="{2FD7EFB4-5010-4744-9520-FC1B6ECD5265}"/>
    <cellStyle name="Notas 2 3 2 3 3 6" xfId="5108" xr:uid="{C50ED960-A4BE-4577-AFD6-856204D7ED8A}"/>
    <cellStyle name="Notas 2 3 2 3 3 6 2" xfId="10954" xr:uid="{CFF83E65-71F2-416B-AFD6-5555751A828C}"/>
    <cellStyle name="Notas 2 3 2 3 3 7" xfId="5899" xr:uid="{D71AE760-1AD1-4153-8FA2-ABD008A79120}"/>
    <cellStyle name="Notas 2 3 2 3 3 7 2" xfId="11627" xr:uid="{5364B5C9-E6D6-420B-B8C3-5ED8E3CAC908}"/>
    <cellStyle name="Notas 2 3 2 3 3 8" xfId="6229" xr:uid="{D7695CAA-DD0D-4ABA-AAC4-8C19B8300450}"/>
    <cellStyle name="Notas 2 3 2 3 3 8 2" xfId="11933" xr:uid="{C8ECBD28-6D1F-429B-94FC-DA8898E22E4A}"/>
    <cellStyle name="Notas 2 3 2 3 3 9" xfId="6431" xr:uid="{C7BECD09-7EEB-4EC4-8882-F58817A5D8FE}"/>
    <cellStyle name="Notas 2 3 2 3 3 9 2" xfId="12135" xr:uid="{1A86DF49-5204-48D3-BDB1-3864C2D13FE5}"/>
    <cellStyle name="Notas 2 3 2 3 4" xfId="2461" xr:uid="{DFB7744D-B749-423A-B39B-36DBCF38BE3D}"/>
    <cellStyle name="Notas 2 3 2 3 4 10" xfId="5171" xr:uid="{FA4A5092-6A46-4FDD-B914-DBDA6B08EE1E}"/>
    <cellStyle name="Notas 2 3 2 3 4 10 2" xfId="11017" xr:uid="{34917739-F08F-484F-A587-3C02EA5F3B8C}"/>
    <cellStyle name="Notas 2 3 2 3 4 11" xfId="6545" xr:uid="{7DAAC76B-066A-48F1-A298-FA5F74189ACC}"/>
    <cellStyle name="Notas 2 3 2 3 4 11 2" xfId="12249" xr:uid="{8FE0145D-39E8-4398-A045-097AC4315A40}"/>
    <cellStyle name="Notas 2 3 2 3 4 12" xfId="8675" xr:uid="{4EDB99AD-8A91-4268-88BD-23007EECD2FE}"/>
    <cellStyle name="Notas 2 3 2 3 4 12 2" xfId="14063" xr:uid="{C4E5080C-6BB1-49E3-A4FC-7BF93A438822}"/>
    <cellStyle name="Notas 2 3 2 3 4 13" xfId="9023" xr:uid="{16A2D884-9788-4A15-ADBD-A028E0E90D49}"/>
    <cellStyle name="Notas 2 3 2 3 4 2" xfId="3049" xr:uid="{7775A63C-5B9F-48FF-A58D-B87B1CD2CA9C}"/>
    <cellStyle name="Notas 2 3 2 3 4 2 2" xfId="3989" xr:uid="{D1F26CB2-36C3-4BCF-B35F-615C79A43234}"/>
    <cellStyle name="Notas 2 3 2 3 4 2 2 2" xfId="10103" xr:uid="{5AB333F0-7614-400C-894B-9ED8776D4418}"/>
    <cellStyle name="Notas 2 3 2 3 4 2 3" xfId="6960" xr:uid="{4994B8E8-FF41-4447-AE1E-155695F73537}"/>
    <cellStyle name="Notas 2 3 2 3 4 2 3 2" xfId="12566" xr:uid="{E37DF2EE-1F59-44BC-A1F5-44039193F3D4}"/>
    <cellStyle name="Notas 2 3 2 3 4 2 4" xfId="7638" xr:uid="{7578D04D-0412-485B-B3ED-D25CB63BDF08}"/>
    <cellStyle name="Notas 2 3 2 3 4 2 4 2" xfId="13210" xr:uid="{749DD7FB-F0F3-4212-A22C-D8F201366880}"/>
    <cellStyle name="Notas 2 3 2 3 4 2 5" xfId="8131" xr:uid="{F2C8A10A-0A23-4A47-A693-94C6F1DA2BA4}"/>
    <cellStyle name="Notas 2 3 2 3 4 2 5 2" xfId="13703" xr:uid="{4EDD9886-6FE9-4963-A318-C3C415533F94}"/>
    <cellStyle name="Notas 2 3 2 3 4 2 6" xfId="9383" xr:uid="{85BB6B79-283F-4E4D-AD5E-E969481F44BA}"/>
    <cellStyle name="Notas 2 3 2 3 4 3" xfId="3509" xr:uid="{21DD5BE5-757A-4597-B361-4D8482C34306}"/>
    <cellStyle name="Notas 2 3 2 3 4 3 2" xfId="9743" xr:uid="{DAD694EA-CA5D-4B8D-B8C6-45767CFEA56F}"/>
    <cellStyle name="Notas 2 3 2 3 4 4" xfId="4702" xr:uid="{5A74F8B9-4C5B-4335-8461-12600F543D8B}"/>
    <cellStyle name="Notas 2 3 2 3 4 4 2" xfId="10566" xr:uid="{4FD71FC2-1CDD-4EC0-8141-069269839A4E}"/>
    <cellStyle name="Notas 2 3 2 3 4 5" xfId="4941" xr:uid="{E2899B55-AB1C-450A-B6E0-D88363278073}"/>
    <cellStyle name="Notas 2 3 2 3 4 5 2" xfId="10787" xr:uid="{7A40A8FA-550C-488E-852D-1C605CB4A235}"/>
    <cellStyle name="Notas 2 3 2 3 4 6" xfId="5097" xr:uid="{10A47015-081F-4A5A-AF24-1FFD290AC25C}"/>
    <cellStyle name="Notas 2 3 2 3 4 6 2" xfId="10943" xr:uid="{B0721D4B-C28F-4CA2-B106-9383CE9BEA94}"/>
    <cellStyle name="Notas 2 3 2 3 4 7" xfId="5867" xr:uid="{80BA1B0A-822E-4A25-923E-080BF940CC5C}"/>
    <cellStyle name="Notas 2 3 2 3 4 7 2" xfId="11595" xr:uid="{851CFE9D-226B-49E6-AD51-1318AB900348}"/>
    <cellStyle name="Notas 2 3 2 3 4 8" xfId="6196" xr:uid="{2DF8CF5C-8FC8-491A-BCAA-0D822E40C792}"/>
    <cellStyle name="Notas 2 3 2 3 4 8 2" xfId="11900" xr:uid="{2A7B1B4E-9A70-4289-93BF-BC138247BE2B}"/>
    <cellStyle name="Notas 2 3 2 3 4 9" xfId="6404" xr:uid="{3D079C54-FB9E-437D-9A99-AF4E0820781A}"/>
    <cellStyle name="Notas 2 3 2 3 4 9 2" xfId="12108" xr:uid="{89E4F46B-D963-48A3-96B4-DC4E44DD013B}"/>
    <cellStyle name="Notas 2 3 2 3 5" xfId="2662" xr:uid="{0E5EA506-ED16-43C7-B3F9-3E31AE8C17F8}"/>
    <cellStyle name="Notas 2 3 2 3 5 2" xfId="3126" xr:uid="{520ACAC9-ACF7-49A9-BC08-6D42B4844F5F}"/>
    <cellStyle name="Notas 2 3 2 3 5 2 2" xfId="4084" xr:uid="{DEC709BB-B40B-4528-BD10-70D4D18C8E18}"/>
    <cellStyle name="Notas 2 3 2 3 5 2 2 2" xfId="10180" xr:uid="{1EF7FC6E-E881-4106-8719-48CC3DDAB420}"/>
    <cellStyle name="Notas 2 3 2 3 5 2 3" xfId="7055" xr:uid="{05AE9D72-805B-4EF5-B8C7-0CB63FC8F091}"/>
    <cellStyle name="Notas 2 3 2 3 5 2 3 2" xfId="12643" xr:uid="{92346A4A-626A-496D-9E76-457865C723A9}"/>
    <cellStyle name="Notas 2 3 2 3 5 2 4" xfId="7716" xr:uid="{B9077419-68B3-40B0-BF8D-B480FB9A0491}"/>
    <cellStyle name="Notas 2 3 2 3 5 2 4 2" xfId="13288" xr:uid="{E21EE04D-D72B-41DC-B720-3C67ADF40026}"/>
    <cellStyle name="Notas 2 3 2 3 5 2 5" xfId="8208" xr:uid="{A98E610E-43AB-4D4C-9CEE-D0ABD42FB958}"/>
    <cellStyle name="Notas 2 3 2 3 5 2 5 2" xfId="13780" xr:uid="{A2D47C4B-6418-4A24-953E-0B2EC648C511}"/>
    <cellStyle name="Notas 2 3 2 3 5 2 6" xfId="9460" xr:uid="{CF0FE7CA-EBEB-4EFC-A717-7ACCBCCFF133}"/>
    <cellStyle name="Notas 2 3 2 3 5 3" xfId="3604" xr:uid="{24D1656C-89A9-4E8E-A0FB-FB59109CC305}"/>
    <cellStyle name="Notas 2 3 2 3 5 3 2" xfId="9820" xr:uid="{F5559E3E-B4EC-4D97-83C5-D1B978F3C4E3}"/>
    <cellStyle name="Notas 2 3 2 3 5 4" xfId="6041" xr:uid="{C4BBCD9F-96BF-40AD-B7DA-C0F2F8A58677}"/>
    <cellStyle name="Notas 2 3 2 3 5 4 2" xfId="11753" xr:uid="{5486CBA0-679F-427B-9094-449CDF9DD772}"/>
    <cellStyle name="Notas 2 3 2 3 5 5" xfId="6559" xr:uid="{2E3EDD55-7B20-46E6-86CA-B3685F5A1936}"/>
    <cellStyle name="Notas 2 3 2 3 5 5 2" xfId="12263" xr:uid="{9DB9CD78-E91E-4AD4-BB69-8FF0A029CE26}"/>
    <cellStyle name="Notas 2 3 2 3 5 6" xfId="7313" xr:uid="{D45DC773-2CB8-4609-A8AE-06F295C8112B}"/>
    <cellStyle name="Notas 2 3 2 3 5 6 2" xfId="12885" xr:uid="{B8ABD3B2-5BF2-45ED-B43D-A668E461E51F}"/>
    <cellStyle name="Notas 2 3 2 3 5 7" xfId="7848" xr:uid="{C4989622-587F-4E13-818D-DE0F133B5A38}"/>
    <cellStyle name="Notas 2 3 2 3 5 7 2" xfId="13420" xr:uid="{9DACF724-5486-4CFD-BB3E-521614DAC319}"/>
    <cellStyle name="Notas 2 3 2 3 5 8" xfId="9100" xr:uid="{FC80F74C-6E49-465C-A116-07923AD4C554}"/>
    <cellStyle name="Notas 2 3 2 3 6" xfId="2754" xr:uid="{7AB2636D-5DFB-4FC3-8548-746BADD77A2C}"/>
    <cellStyle name="Notas 2 3 2 3 6 2" xfId="3186" xr:uid="{360E80C0-FD9C-4712-9931-8E56F75BCE36}"/>
    <cellStyle name="Notas 2 3 2 3 6 2 2" xfId="4144" xr:uid="{49976E78-D4BF-4114-8830-5869D286C4B6}"/>
    <cellStyle name="Notas 2 3 2 3 6 2 2 2" xfId="10240" xr:uid="{81CAAE8D-71A3-4993-954C-A42FB2B3F489}"/>
    <cellStyle name="Notas 2 3 2 3 6 2 3" xfId="7115" xr:uid="{CF5E8005-64D9-4C6C-A1A4-BBDD6AACA69B}"/>
    <cellStyle name="Notas 2 3 2 3 6 2 3 2" xfId="12703" xr:uid="{B590FA76-9AB1-4632-878F-E0BF11B7F727}"/>
    <cellStyle name="Notas 2 3 2 3 6 2 4" xfId="7776" xr:uid="{25B1B39B-E0C0-4B6C-A22B-92FA0FE91735}"/>
    <cellStyle name="Notas 2 3 2 3 6 2 4 2" xfId="13348" xr:uid="{059F594F-452A-4667-A110-BF7E071C6A72}"/>
    <cellStyle name="Notas 2 3 2 3 6 2 5" xfId="8268" xr:uid="{2230ECB7-1EAC-45A1-B9F0-5EF1C7982713}"/>
    <cellStyle name="Notas 2 3 2 3 6 2 5 2" xfId="13840" xr:uid="{3C6AF884-EF18-4E2B-9C55-4CE2994A538D}"/>
    <cellStyle name="Notas 2 3 2 3 6 2 6" xfId="9520" xr:uid="{081F46E7-AB6F-4938-8BCB-F6972D3479BC}"/>
    <cellStyle name="Notas 2 3 2 3 6 3" xfId="3664" xr:uid="{7BC26C9D-80B7-4515-B2BD-F9392856C2EC}"/>
    <cellStyle name="Notas 2 3 2 3 6 3 2" xfId="9880" xr:uid="{15280E96-E0C2-47DB-976C-D1EA11BE9C6D}"/>
    <cellStyle name="Notas 2 3 2 3 6 4" xfId="6121" xr:uid="{72DA2CA3-3E58-44D9-AE65-3DB71DD65E18}"/>
    <cellStyle name="Notas 2 3 2 3 6 4 2" xfId="11833" xr:uid="{A7BF0E59-953B-40B7-B3E4-5F51686237A8}"/>
    <cellStyle name="Notas 2 3 2 3 6 5" xfId="6631" xr:uid="{686CA3EF-9380-481B-BAB8-557273E2D728}"/>
    <cellStyle name="Notas 2 3 2 3 6 5 2" xfId="12335" xr:uid="{FE90A997-4112-4844-A047-2138B1FE8E84}"/>
    <cellStyle name="Notas 2 3 2 3 6 6" xfId="7375" xr:uid="{7349F958-496A-4744-8019-0A5E5AA97052}"/>
    <cellStyle name="Notas 2 3 2 3 6 6 2" xfId="12947" xr:uid="{204C0947-BE01-4B69-AD83-7D05BB6DF042}"/>
    <cellStyle name="Notas 2 3 2 3 6 7" xfId="7908" xr:uid="{12E9CC8D-1C27-493E-9890-74C3BF46AD8F}"/>
    <cellStyle name="Notas 2 3 2 3 6 7 2" xfId="13480" xr:uid="{EC0D9AB7-C0EB-4764-8BAA-63B57F3E2E16}"/>
    <cellStyle name="Notas 2 3 2 3 6 8" xfId="9160" xr:uid="{9D7A9C95-4700-4B17-802A-754FA855E737}"/>
    <cellStyle name="Notas 2 3 2 3 7" xfId="2854" xr:uid="{2596CAFF-5CF3-4A73-A3F0-6C2594A3F5C3}"/>
    <cellStyle name="Notas 2 3 2 3 7 2" xfId="3778" xr:uid="{3095AF5E-F3B3-47E1-9EC0-FE0F6CD31395}"/>
    <cellStyle name="Notas 2 3 2 3 7 2 2" xfId="9940" xr:uid="{4E58CC1D-BDB5-4E0B-BE2A-C775DB04258F}"/>
    <cellStyle name="Notas 2 3 2 3 7 3" xfId="6749" xr:uid="{3A1E675F-A50E-4EF1-A77E-38A4A7044C3E}"/>
    <cellStyle name="Notas 2 3 2 3 7 3 2" xfId="12403" xr:uid="{7F000829-34B1-49B4-89AF-BC5A62F4197F}"/>
    <cellStyle name="Notas 2 3 2 3 7 4" xfId="7459" xr:uid="{302FBD08-0393-4024-A157-7DBA4EEB567D}"/>
    <cellStyle name="Notas 2 3 2 3 7 4 2" xfId="13031" xr:uid="{A4C9C578-22C6-4ECE-9C11-99FFE6B91CC9}"/>
    <cellStyle name="Notas 2 3 2 3 7 5" xfId="7968" xr:uid="{69DB1746-AC3C-4A18-A4B3-8096CBCA35F9}"/>
    <cellStyle name="Notas 2 3 2 3 7 5 2" xfId="13540" xr:uid="{B574B6D8-A3AE-42B0-8106-1BB5FB17CD48}"/>
    <cellStyle name="Notas 2 3 2 3 7 6" xfId="9220" xr:uid="{C98ABCAD-CE72-41DC-A7D2-8E60AA106AC9}"/>
    <cellStyle name="Notas 2 3 2 3 8" xfId="3298" xr:uid="{7D348228-5E07-415C-9A9F-170D7E7025CB}"/>
    <cellStyle name="Notas 2 3 2 3 8 2" xfId="9580" xr:uid="{10AF18CF-DBAB-41DD-9765-1AE35218CAD3}"/>
    <cellStyle name="Notas 2 3 2 3 9" xfId="4465" xr:uid="{ADC7474A-531A-412A-B447-3B118C1809CE}"/>
    <cellStyle name="Notas 2 3 2 3 9 2" xfId="10377" xr:uid="{96C7170F-3510-424B-AB0C-67D71D12F703}"/>
    <cellStyle name="Notas 2 3 2 4" xfId="8850" xr:uid="{A3018C8A-53AD-4565-ADE4-1F55553189E2}"/>
    <cellStyle name="Notas 2 3 2 5" xfId="2129" xr:uid="{B1DAF3EA-54BF-4ADB-B71C-9F58EBFD8895}"/>
    <cellStyle name="Notas 2 3 3" xfId="1531" xr:uid="{9679F2C1-88DE-4E95-9EB0-8650BB14FA62}"/>
    <cellStyle name="Notas 2 3 3 10" xfId="4379" xr:uid="{78EAD2F5-B545-4E75-88ED-048BF18B598A}"/>
    <cellStyle name="Notas 2 3 3 10 2" xfId="10339" xr:uid="{1995128A-AB98-45A2-9FCD-2C5D96D9D956}"/>
    <cellStyle name="Notas 2 3 3 11" xfId="4803" xr:uid="{0E43E567-3652-4C3A-B227-50FBFF186C51}"/>
    <cellStyle name="Notas 2 3 3 11 2" xfId="10649" xr:uid="{5D767D8D-A6BD-4238-8B81-2B53930503E9}"/>
    <cellStyle name="Notas 2 3 3 12" xfId="5421" xr:uid="{0D5E3C5E-162E-4378-8F98-DF324056D8DC}"/>
    <cellStyle name="Notas 2 3 3 12 2" xfId="11219" xr:uid="{81CB782D-BD2C-47B4-BD52-95A45D095A9C}"/>
    <cellStyle name="Notas 2 3 3 13" xfId="5589" xr:uid="{60B71A61-50B1-4A5F-8728-819ACC94D3BC}"/>
    <cellStyle name="Notas 2 3 3 13 2" xfId="11317" xr:uid="{E149D573-1023-4760-92CA-08BB422D5693}"/>
    <cellStyle name="Notas 2 3 3 14" xfId="5323" xr:uid="{41347171-2AB6-42F4-95BD-681FCF419280}"/>
    <cellStyle name="Notas 2 3 3 14 2" xfId="11167" xr:uid="{E6622FC6-C41C-49C7-8DB9-B82E7466C8AA}"/>
    <cellStyle name="Notas 2 3 3 15" xfId="5524" xr:uid="{F7507E60-E70F-4623-898C-17FE2758166D}"/>
    <cellStyle name="Notas 2 3 3 15 2" xfId="11252" xr:uid="{05F4068B-A50F-4A81-B767-06E38418FBCF}"/>
    <cellStyle name="Notas 2 3 3 16" xfId="5205" xr:uid="{495CBF3D-F7C0-455D-8E3C-DB70DB78E866}"/>
    <cellStyle name="Notas 2 3 3 16 2" xfId="11051" xr:uid="{B302BE08-D26B-49BD-A975-E96AFEA87A14}"/>
    <cellStyle name="Notas 2 3 3 17" xfId="5653" xr:uid="{34395162-7576-49B7-AF30-A40FE180120D}"/>
    <cellStyle name="Notas 2 3 3 17 2" xfId="11381" xr:uid="{8C1C9498-E74D-4130-BAE3-FCEAAC3C081D}"/>
    <cellStyle name="Notas 2 3 3 18" xfId="6495" xr:uid="{7C0BA4CC-3DA5-4B57-B5A0-6AE1380FC9EF}"/>
    <cellStyle name="Notas 2 3 3 18 2" xfId="12199" xr:uid="{8AD4F0F6-1207-4EEC-8E52-421D09922E87}"/>
    <cellStyle name="Notas 2 3 3 19" xfId="8441" xr:uid="{1EFF0BFE-2BEF-4B46-82F0-DD437720EB6A}"/>
    <cellStyle name="Notas 2 3 3 19 2" xfId="13921" xr:uid="{D4013194-D4F2-4019-BC7E-428D777CDFC8}"/>
    <cellStyle name="Notas 2 3 3 2" xfId="2419" xr:uid="{FAFEE490-DAA4-4DB5-84E2-307F82259958}"/>
    <cellStyle name="Notas 2 3 3 2 10" xfId="6690" xr:uid="{09E3BACD-735A-437B-BF9D-8A2C4C035316}"/>
    <cellStyle name="Notas 2 3 3 2 10 2" xfId="12394" xr:uid="{05107D2D-D24A-49AE-B5E9-E053C24FB40D}"/>
    <cellStyle name="Notas 2 3 3 2 11" xfId="5550" xr:uid="{CF6BDC2D-5566-4A0A-B2C9-9927E2B054CD}"/>
    <cellStyle name="Notas 2 3 3 2 11 2" xfId="11278" xr:uid="{7705EE2A-7305-415C-BB96-C7E1EA1A4A63}"/>
    <cellStyle name="Notas 2 3 3 2 12" xfId="8633" xr:uid="{3C5FC224-CED7-4317-A12B-27DA85388F09}"/>
    <cellStyle name="Notas 2 3 3 2 12 2" xfId="14021" xr:uid="{0EE0E3D5-7BD9-4690-9530-C47BAD9D38E3}"/>
    <cellStyle name="Notas 2 3 3 2 13" xfId="8981" xr:uid="{EEFA34CB-3796-4EED-A162-5DEBD8A6A024}"/>
    <cellStyle name="Notas 2 3 3 2 2" xfId="3007" xr:uid="{8FCB6BF6-356D-407A-9088-3C4084DCDCCA}"/>
    <cellStyle name="Notas 2 3 3 2 2 2" xfId="3947" xr:uid="{C38EEB2D-8D4D-4B02-B413-F108DF5EBCC7}"/>
    <cellStyle name="Notas 2 3 3 2 2 2 2" xfId="10061" xr:uid="{9A98FE15-4264-4D80-B4D0-D5C1FE1D4836}"/>
    <cellStyle name="Notas 2 3 3 2 2 3" xfId="6918" xr:uid="{CFA74087-9532-45C6-B5D3-6BE3FB4605DB}"/>
    <cellStyle name="Notas 2 3 3 2 2 3 2" xfId="12524" xr:uid="{215256A2-3E65-45DE-9226-EDAC284B2964}"/>
    <cellStyle name="Notas 2 3 3 2 2 4" xfId="7596" xr:uid="{1CA95AD2-D69D-451B-8C04-047CA9BD4A1D}"/>
    <cellStyle name="Notas 2 3 3 2 2 4 2" xfId="13168" xr:uid="{B13A5831-FD96-4D76-84A6-A0CB4E20CBE8}"/>
    <cellStyle name="Notas 2 3 3 2 2 5" xfId="8089" xr:uid="{0074F6EF-B595-482B-8D16-C9CC138A0609}"/>
    <cellStyle name="Notas 2 3 3 2 2 5 2" xfId="13661" xr:uid="{6F90C16C-4EF0-46AA-AEEE-C5A2515A12E5}"/>
    <cellStyle name="Notas 2 3 3 2 2 6" xfId="9341" xr:uid="{FCB48F19-4CFD-4789-8735-582A2B79B854}"/>
    <cellStyle name="Notas 2 3 3 2 3" xfId="3467" xr:uid="{4FEF6427-BDDF-4C3B-894D-92D3379D9AE7}"/>
    <cellStyle name="Notas 2 3 3 2 3 2" xfId="9701" xr:uid="{D22D6DA2-1785-4E18-A542-4FDB3810A627}"/>
    <cellStyle name="Notas 2 3 3 2 4" xfId="4660" xr:uid="{38C67594-F8F6-4D38-BD5C-5780F747520D}"/>
    <cellStyle name="Notas 2 3 3 2 4 2" xfId="10524" xr:uid="{7656A45A-D451-4FC9-9824-4F4E4574D29F}"/>
    <cellStyle name="Notas 2 3 3 2 5" xfId="4899" xr:uid="{80F8A7D8-694B-4DD0-B160-BCD60CB86C9A}"/>
    <cellStyle name="Notas 2 3 3 2 5 2" xfId="10745" xr:uid="{F02B7EC2-7C3B-4433-8B4B-D2B9D061998C}"/>
    <cellStyle name="Notas 2 3 3 2 6" xfId="5055" xr:uid="{38AF5EE0-195C-4678-B9AF-0512611C5425}"/>
    <cellStyle name="Notas 2 3 3 2 6 2" xfId="10901" xr:uid="{A2C29C77-0D65-4E2C-BE98-7043518B2B69}"/>
    <cellStyle name="Notas 2 3 3 2 7" xfId="5825" xr:uid="{FB9AF9A0-9FAF-4D8F-87E4-CEE233B9EB2E}"/>
    <cellStyle name="Notas 2 3 3 2 7 2" xfId="11553" xr:uid="{C3089D52-1B5C-4008-BACC-14F7D8D89D0E}"/>
    <cellStyle name="Notas 2 3 3 2 8" xfId="5225" xr:uid="{8FE89A7E-0613-4A68-900D-869D3CD8129E}"/>
    <cellStyle name="Notas 2 3 3 2 8 2" xfId="11071" xr:uid="{2628D1E1-EF54-4A41-8902-712068DDCBC6}"/>
    <cellStyle name="Notas 2 3 3 2 9" xfId="6362" xr:uid="{18B8399D-A893-49C9-9B8C-478A154DE331}"/>
    <cellStyle name="Notas 2 3 3 2 9 2" xfId="12066" xr:uid="{B72EA5E1-0092-4709-B863-8FB80AFC474E}"/>
    <cellStyle name="Notas 2 3 3 20" xfId="8881" xr:uid="{7F0BFE0C-5040-4167-BDF0-23F669470EF5}"/>
    <cellStyle name="Notas 2 3 3 21" xfId="2227" xr:uid="{E79DEE97-397E-4764-9A7E-A41B920A38E1}"/>
    <cellStyle name="Notas 2 3 3 3" xfId="2525" xr:uid="{1A683FEF-6B7D-44A8-AC2B-CEA3DF63F9B2}"/>
    <cellStyle name="Notas 2 3 3 3 10" xfId="7217" xr:uid="{E2F95022-7E84-4F40-939F-07F6B83DEB50}"/>
    <cellStyle name="Notas 2 3 3 3 10 2" xfId="12789" xr:uid="{0024CA0E-7835-4460-8C92-FE82D9F3EC45}"/>
    <cellStyle name="Notas 2 3 3 3 11" xfId="5781" xr:uid="{5F863355-5E43-4D5C-B502-05989AE82548}"/>
    <cellStyle name="Notas 2 3 3 3 11 2" xfId="11509" xr:uid="{3FD02230-DA74-4D97-B72E-BC14F1DCF49E}"/>
    <cellStyle name="Notas 2 3 3 3 12" xfId="8739" xr:uid="{17F895AC-0D4A-4A89-8B90-480442373A2A}"/>
    <cellStyle name="Notas 2 3 3 3 12 2" xfId="14095" xr:uid="{2819571B-6CD5-419A-8E02-272F7DDA97D1}"/>
    <cellStyle name="Notas 2 3 3 3 13" xfId="9055" xr:uid="{70028EF1-2418-4197-B0FF-90FE8AF44ADA}"/>
    <cellStyle name="Notas 2 3 3 3 2" xfId="3081" xr:uid="{49B29348-3948-452C-99AC-8F54087A67AA}"/>
    <cellStyle name="Notas 2 3 3 3 2 2" xfId="4021" xr:uid="{704B3CA1-3821-4B97-91FE-6D864842660D}"/>
    <cellStyle name="Notas 2 3 3 3 2 2 2" xfId="10135" xr:uid="{44F9D8C9-E8EA-4BD9-A7E2-8424BBF35CAF}"/>
    <cellStyle name="Notas 2 3 3 3 2 3" xfId="6992" xr:uid="{03F176B5-1400-4D7E-A9A6-374C26FEA294}"/>
    <cellStyle name="Notas 2 3 3 3 2 3 2" xfId="12598" xr:uid="{9747C34A-8F49-43AC-927F-0C86F5446582}"/>
    <cellStyle name="Notas 2 3 3 3 2 4" xfId="7670" xr:uid="{8362241F-EB72-406C-8865-9DE9B5215A24}"/>
    <cellStyle name="Notas 2 3 3 3 2 4 2" xfId="13242" xr:uid="{049BC8E4-CD86-447B-AA82-9EFCFA7E4BE2}"/>
    <cellStyle name="Notas 2 3 3 3 2 5" xfId="8163" xr:uid="{F7AF1692-699D-4966-8A27-B52A09870358}"/>
    <cellStyle name="Notas 2 3 3 3 2 5 2" xfId="13735" xr:uid="{6D68966B-CDDB-4682-809D-C83E6D9C2E76}"/>
    <cellStyle name="Notas 2 3 3 3 2 6" xfId="9415" xr:uid="{499CD9B4-6203-474C-9EF3-57CB5F64F227}"/>
    <cellStyle name="Notas 2 3 3 3 3" xfId="3541" xr:uid="{CE3A1EF7-90D7-4978-9EB2-777F33245F8E}"/>
    <cellStyle name="Notas 2 3 3 3 3 2" xfId="9775" xr:uid="{81B883A5-B857-4DB1-BA66-4C3E932DAA9B}"/>
    <cellStyle name="Notas 2 3 3 3 4" xfId="4738" xr:uid="{7BAAB216-9F98-4BF1-8628-C127D3F61DE3}"/>
    <cellStyle name="Notas 2 3 3 3 4 2" xfId="10602" xr:uid="{AD9E491B-40F9-4D25-B811-B57711FFAA74}"/>
    <cellStyle name="Notas 2 3 3 3 5" xfId="4981" xr:uid="{FFF3772E-24C1-4E5D-B46E-00DDA43FB86C}"/>
    <cellStyle name="Notas 2 3 3 3 5 2" xfId="10827" xr:uid="{1825E12E-57AC-46EC-BCDC-B5525FE698AB}"/>
    <cellStyle name="Notas 2 3 3 3 6" xfId="5129" xr:uid="{C2D6156A-E6FB-4F29-AE9F-7D257B389E61}"/>
    <cellStyle name="Notas 2 3 3 3 6 2" xfId="10975" xr:uid="{3217B916-378C-4739-BA62-45D16EC7EEC8}"/>
    <cellStyle name="Notas 2 3 3 3 7" xfId="5920" xr:uid="{4283CED7-A0D8-4A9F-B2A4-94433A4B1C6E}"/>
    <cellStyle name="Notas 2 3 3 3 7 2" xfId="11648" xr:uid="{BE42CFC4-DDA3-4C0A-9B56-21D73127CBA8}"/>
    <cellStyle name="Notas 2 3 3 3 8" xfId="6250" xr:uid="{18DA2DEA-B3A8-417B-980E-F14056A520C8}"/>
    <cellStyle name="Notas 2 3 3 3 8 2" xfId="11954" xr:uid="{90067802-E8AF-4DCC-A956-DE019B9461D5}"/>
    <cellStyle name="Notas 2 3 3 3 9" xfId="6452" xr:uid="{80CC44F2-2A76-4D1A-9600-D7B0FCC8014C}"/>
    <cellStyle name="Notas 2 3 3 3 9 2" xfId="12156" xr:uid="{F2B7331C-DE8C-42A2-8A19-47856CC82C3B}"/>
    <cellStyle name="Notas 2 3 3 4" xfId="2280" xr:uid="{42704F0F-B07E-41CE-8384-E4140B21529E}"/>
    <cellStyle name="Notas 2 3 3 4 10" xfId="5307" xr:uid="{B08C55B4-DA8A-43FC-9CCB-70BCCD262C4A}"/>
    <cellStyle name="Notas 2 3 3 4 10 2" xfId="11151" xr:uid="{1DE5B877-D0C3-44C4-94D1-50A3D06ED6D9}"/>
    <cellStyle name="Notas 2 3 3 4 11" xfId="6021" xr:uid="{3A70E90B-81D9-49A9-AF33-D9F1F421CD9A}"/>
    <cellStyle name="Notas 2 3 3 4 11 2" xfId="11733" xr:uid="{93F542EF-BE8A-4C19-BD79-247FFE63BA4E}"/>
    <cellStyle name="Notas 2 3 3 4 12" xfId="8494" xr:uid="{6432E0B2-B6E1-480A-A0CA-D0F1E611B6BD}"/>
    <cellStyle name="Notas 2 3 3 4 12 2" xfId="13974" xr:uid="{1FD015CC-743D-4EA0-B6E9-F529D422EF77}"/>
    <cellStyle name="Notas 2 3 3 4 13" xfId="8934" xr:uid="{F7E1587F-9898-4AAA-BF39-C4A7FB195E23}"/>
    <cellStyle name="Notas 2 3 3 4 2" xfId="2960" xr:uid="{508116D0-8FAB-47E2-8A3D-391F5DA2B561}"/>
    <cellStyle name="Notas 2 3 3 4 2 2" xfId="3900" xr:uid="{6BB2DBDA-0C8F-4482-9EA0-19A3723212F6}"/>
    <cellStyle name="Notas 2 3 3 4 2 2 2" xfId="10014" xr:uid="{769C5492-F78C-4D82-867F-30D85EBB5D53}"/>
    <cellStyle name="Notas 2 3 3 4 2 3" xfId="6871" xr:uid="{34F97E50-A2E7-43C7-848D-3C56D3C5DFF8}"/>
    <cellStyle name="Notas 2 3 3 4 2 3 2" xfId="12477" xr:uid="{EDE5B949-3CAE-4F6A-BD7E-F147B05A73E5}"/>
    <cellStyle name="Notas 2 3 3 4 2 4" xfId="7549" xr:uid="{310525C1-E28E-442F-8B69-50EF2462B3DD}"/>
    <cellStyle name="Notas 2 3 3 4 2 4 2" xfId="13121" xr:uid="{184AFD3E-3FD6-4A1D-9A11-A892E108163C}"/>
    <cellStyle name="Notas 2 3 3 4 2 5" xfId="8042" xr:uid="{B5616366-82C8-4260-8911-5D5B762E2FFD}"/>
    <cellStyle name="Notas 2 3 3 4 2 5 2" xfId="13614" xr:uid="{9756FBC0-9F8F-4EB8-8F8E-8C0F8D4BE560}"/>
    <cellStyle name="Notas 2 3 3 4 2 6" xfId="9294" xr:uid="{1F7CFA2B-0E52-40EE-8053-3FA216DDFB70}"/>
    <cellStyle name="Notas 2 3 3 4 3" xfId="3420" xr:uid="{E06520CE-70F2-4B4F-A7EA-05783DAB2895}"/>
    <cellStyle name="Notas 2 3 3 4 3 2" xfId="9654" xr:uid="{5C85E69D-2296-4E78-AD8E-FB9A143D8309}"/>
    <cellStyle name="Notas 2 3 3 4 4" xfId="4587" xr:uid="{BD7D1C5A-C908-493B-8721-38FC76F2F273}"/>
    <cellStyle name="Notas 2 3 3 4 4 2" xfId="10451" xr:uid="{F87A7DD7-6292-4B20-8206-4E2069EE07D7}"/>
    <cellStyle name="Notas 2 3 3 4 5" xfId="4832" xr:uid="{137AB73A-3349-47BA-8D61-220C3F7C0F53}"/>
    <cellStyle name="Notas 2 3 3 4 5 2" xfId="10678" xr:uid="{B0BB45FA-F1AD-44D4-B3AC-A2C3C462D7ED}"/>
    <cellStyle name="Notas 2 3 3 4 6" xfId="4601" xr:uid="{D58981E8-0E53-4817-A7D3-385D3594317A}"/>
    <cellStyle name="Notas 2 3 3 4 6 2" xfId="10465" xr:uid="{FA2FB922-4613-4132-B86F-149F4325E3B8}"/>
    <cellStyle name="Notas 2 3 3 4 7" xfId="5718" xr:uid="{7B37932D-A486-44EF-BCE5-ECE9F28F8B7A}"/>
    <cellStyle name="Notas 2 3 3 4 7 2" xfId="11446" xr:uid="{D8D7549C-3E4D-431C-9AD2-BE47E48A8265}"/>
    <cellStyle name="Notas 2 3 3 4 8" xfId="6029" xr:uid="{C11E100A-D682-4EB7-9DE9-15B5332D5822}"/>
    <cellStyle name="Notas 2 3 3 4 8 2" xfId="11741" xr:uid="{379FE4D6-C227-44EC-BB22-038BA9FF03AE}"/>
    <cellStyle name="Notas 2 3 3 4 9" xfId="5633" xr:uid="{D40817A6-297E-461B-A291-A3758DE62FC2}"/>
    <cellStyle name="Notas 2 3 3 4 9 2" xfId="11361" xr:uid="{BD332173-22B3-444F-B0BF-40CCD4E22E94}"/>
    <cellStyle name="Notas 2 3 3 5" xfId="2683" xr:uid="{2B92BF4F-717B-44F3-9D21-23B17875AE42}"/>
    <cellStyle name="Notas 2 3 3 5 2" xfId="3147" xr:uid="{A8488228-AECD-461E-9013-87C7CA118502}"/>
    <cellStyle name="Notas 2 3 3 5 2 2" xfId="4105" xr:uid="{F91487CF-90FD-46EE-AF72-904D3741B6A4}"/>
    <cellStyle name="Notas 2 3 3 5 2 2 2" xfId="10201" xr:uid="{90DE521E-C6E8-4FD0-A1B8-4FDAADE254BC}"/>
    <cellStyle name="Notas 2 3 3 5 2 3" xfId="7076" xr:uid="{A1BA1A34-5C1F-478F-A3EB-3468CE004790}"/>
    <cellStyle name="Notas 2 3 3 5 2 3 2" xfId="12664" xr:uid="{1556665D-DB4C-4C32-AE31-7900A2B1C855}"/>
    <cellStyle name="Notas 2 3 3 5 2 4" xfId="7737" xr:uid="{E899EDF4-B929-4055-9996-BAB74243F7CA}"/>
    <cellStyle name="Notas 2 3 3 5 2 4 2" xfId="13309" xr:uid="{371FB416-FBF5-4A02-8D83-6D8A6A957B17}"/>
    <cellStyle name="Notas 2 3 3 5 2 5" xfId="8229" xr:uid="{5CC51B67-913D-4B7F-BADA-B6A9E702D91E}"/>
    <cellStyle name="Notas 2 3 3 5 2 5 2" xfId="13801" xr:uid="{D93F5BA3-7B64-4E89-A502-D4662ACBCE14}"/>
    <cellStyle name="Notas 2 3 3 5 2 6" xfId="9481" xr:uid="{797C75CF-6109-4DD6-898D-353CCEBA6B60}"/>
    <cellStyle name="Notas 2 3 3 5 3" xfId="3625" xr:uid="{7DFA8301-3BE3-4FED-892B-C6828EB457B0}"/>
    <cellStyle name="Notas 2 3 3 5 3 2" xfId="9841" xr:uid="{23ADA648-5DBD-42F3-A2AA-866F12CF9F3A}"/>
    <cellStyle name="Notas 2 3 3 5 4" xfId="6062" xr:uid="{950917A9-66E2-4E17-88B6-883535055263}"/>
    <cellStyle name="Notas 2 3 3 5 4 2" xfId="11774" xr:uid="{DC0F12E5-C58A-4383-AF95-DBA4727DCE0F}"/>
    <cellStyle name="Notas 2 3 3 5 5" xfId="6580" xr:uid="{A46260CA-EC34-4FA8-BB0E-52E0E3CCAC37}"/>
    <cellStyle name="Notas 2 3 3 5 5 2" xfId="12284" xr:uid="{BEB1127D-F60E-455E-B904-5551EBC7708B}"/>
    <cellStyle name="Notas 2 3 3 5 6" xfId="7334" xr:uid="{6014DB8B-F356-4907-A77B-AB4D9BB63336}"/>
    <cellStyle name="Notas 2 3 3 5 6 2" xfId="12906" xr:uid="{8B216FAB-75CE-4D73-92F5-7808EEB7D786}"/>
    <cellStyle name="Notas 2 3 3 5 7" xfId="7869" xr:uid="{47353975-DAAE-4152-872A-CAA0C91B480E}"/>
    <cellStyle name="Notas 2 3 3 5 7 2" xfId="13441" xr:uid="{C651F988-1794-4128-8D19-F50643E55403}"/>
    <cellStyle name="Notas 2 3 3 5 8" xfId="9121" xr:uid="{96E56E90-84FD-4C92-BCA2-D06B6325B19E}"/>
    <cellStyle name="Notas 2 3 3 6" xfId="2775" xr:uid="{3D486AC4-A9B5-461F-BA16-6505974C6CD5}"/>
    <cellStyle name="Notas 2 3 3 6 2" xfId="3207" xr:uid="{1737173C-BB42-48BB-A61A-7FCC26B98D0E}"/>
    <cellStyle name="Notas 2 3 3 6 2 2" xfId="4165" xr:uid="{50E6EF14-E9C4-4298-885E-3E514C5D4F56}"/>
    <cellStyle name="Notas 2 3 3 6 2 2 2" xfId="10261" xr:uid="{8639A10E-52AE-4CFD-80AB-CEEE8792DECE}"/>
    <cellStyle name="Notas 2 3 3 6 2 3" xfId="7136" xr:uid="{EFDFF1F3-57A4-4498-9C1B-03E30F17CAA0}"/>
    <cellStyle name="Notas 2 3 3 6 2 3 2" xfId="12724" xr:uid="{2592ADE1-E2C2-4CDA-8679-6DE2067DAAD9}"/>
    <cellStyle name="Notas 2 3 3 6 2 4" xfId="7797" xr:uid="{3F36338F-C4D6-4BAC-9F88-4483ED3FE122}"/>
    <cellStyle name="Notas 2 3 3 6 2 4 2" xfId="13369" xr:uid="{9B2130A6-9D8B-43EE-AD51-6999916718BE}"/>
    <cellStyle name="Notas 2 3 3 6 2 5" xfId="8289" xr:uid="{C48B68A1-D00E-4287-BACE-59799D787558}"/>
    <cellStyle name="Notas 2 3 3 6 2 5 2" xfId="13861" xr:uid="{55649702-3F37-48ED-954E-25BC194E80C6}"/>
    <cellStyle name="Notas 2 3 3 6 2 6" xfId="9541" xr:uid="{B86E7A88-BB91-4DAF-A059-9195403B7D9A}"/>
    <cellStyle name="Notas 2 3 3 6 3" xfId="3685" xr:uid="{372AE0F1-4337-487A-998D-3B659B3D28CD}"/>
    <cellStyle name="Notas 2 3 3 6 3 2" xfId="9901" xr:uid="{81D93A2C-F51C-40C8-BE5A-FA40F1FF9F69}"/>
    <cellStyle name="Notas 2 3 3 6 4" xfId="6142" xr:uid="{7DFD26F9-F98E-4B58-A351-AE650D9FE12F}"/>
    <cellStyle name="Notas 2 3 3 6 4 2" xfId="11854" xr:uid="{D3624DE7-884C-4B91-8B97-74227B446FE2}"/>
    <cellStyle name="Notas 2 3 3 6 5" xfId="6652" xr:uid="{13B68B48-B69F-42F2-BD4F-144332256E75}"/>
    <cellStyle name="Notas 2 3 3 6 5 2" xfId="12356" xr:uid="{28BE3B68-D1FB-420C-A1D5-FBA1E1E49CEE}"/>
    <cellStyle name="Notas 2 3 3 6 6" xfId="7396" xr:uid="{24F6FE3E-CC8F-4C29-89B3-FA4B18C7751B}"/>
    <cellStyle name="Notas 2 3 3 6 6 2" xfId="12968" xr:uid="{ABF51B22-38EF-4694-95B8-AECF7EA8B6F1}"/>
    <cellStyle name="Notas 2 3 3 6 7" xfId="7929" xr:uid="{D2671E06-FA45-4B45-865F-7C25CEBB7B78}"/>
    <cellStyle name="Notas 2 3 3 6 7 2" xfId="13501" xr:uid="{DBD6B873-AAB8-4277-896A-687B7D7D70DE}"/>
    <cellStyle name="Notas 2 3 3 6 8" xfId="9181" xr:uid="{A09BC7DB-7D17-4579-97DF-45AF703F38D2}"/>
    <cellStyle name="Notas 2 3 3 7" xfId="2875" xr:uid="{1BE4467E-8430-445E-B934-4386147D26DF}"/>
    <cellStyle name="Notas 2 3 3 7 2" xfId="3799" xr:uid="{86E838A8-1A06-489E-86A7-42EB557460E1}"/>
    <cellStyle name="Notas 2 3 3 7 2 2" xfId="9961" xr:uid="{C26F8D27-2F9F-44B5-960D-05E40B76B638}"/>
    <cellStyle name="Notas 2 3 3 7 3" xfId="6770" xr:uid="{BFBBC4F8-0B65-4881-9E8E-A534B25E4036}"/>
    <cellStyle name="Notas 2 3 3 7 3 2" xfId="12424" xr:uid="{46BFDD7A-D1B0-4151-B6DA-804154A34D13}"/>
    <cellStyle name="Notas 2 3 3 7 4" xfId="7480" xr:uid="{4D2DB4E7-460B-4C3D-84E1-441A831D7FD3}"/>
    <cellStyle name="Notas 2 3 3 7 4 2" xfId="13052" xr:uid="{513A0268-D2CC-41B6-BB3A-299E2BA1727D}"/>
    <cellStyle name="Notas 2 3 3 7 5" xfId="7989" xr:uid="{19D7FD2C-F73F-4735-AB1B-4F136886762D}"/>
    <cellStyle name="Notas 2 3 3 7 5 2" xfId="13561" xr:uid="{7AD36778-F52C-4E5F-9FBD-B9B14AE84993}"/>
    <cellStyle name="Notas 2 3 3 7 6" xfId="9241" xr:uid="{5E840580-F235-49B3-A342-B29361A3B9C6}"/>
    <cellStyle name="Notas 2 3 3 8" xfId="3319" xr:uid="{4A3A937E-C4FE-40D5-9B75-825C7C7F9BF5}"/>
    <cellStyle name="Notas 2 3 3 8 2" xfId="9601" xr:uid="{BF247088-BE58-4161-A275-5A95DAA0F180}"/>
    <cellStyle name="Notas 2 3 3 9" xfId="4486" xr:uid="{088D53ED-418C-44F6-91A1-44D822661635}"/>
    <cellStyle name="Notas 2 3 3 9 2" xfId="10398" xr:uid="{B35F79B6-5C30-43E9-9297-C205E349E0B0}"/>
    <cellStyle name="Notas 2 3 4" xfId="1537" xr:uid="{3270A36D-CBC6-4070-9E02-FF810DA50475}"/>
    <cellStyle name="Notas 2 3 4 10" xfId="4354" xr:uid="{586A8AEB-4DB2-408A-BAD1-F6AD914D40B4}"/>
    <cellStyle name="Notas 2 3 4 10 2" xfId="10314" xr:uid="{D2AA9199-1215-48C5-9177-DFA1E27212AE}"/>
    <cellStyle name="Notas 2 3 4 11" xfId="4627" xr:uid="{76E7F3CE-6EB7-40B6-848D-D13E066D9D73}"/>
    <cellStyle name="Notas 2 3 4 11 2" xfId="10491" xr:uid="{2000A36C-E9D5-48A2-AB68-A3A8413F9246}"/>
    <cellStyle name="Notas 2 3 4 12" xfId="5452" xr:uid="{F75DC78E-A03D-4877-8ED5-6A4C651A3CB7}"/>
    <cellStyle name="Notas 2 3 4 12 2" xfId="11246" xr:uid="{24869BD0-3280-4C61-9E6A-3F491E37EFC6}"/>
    <cellStyle name="Notas 2 3 4 13" xfId="5620" xr:uid="{FF22C4C3-5DBF-4FCE-884B-B06122F4EAD6}"/>
    <cellStyle name="Notas 2 3 4 13 2" xfId="11348" xr:uid="{E94110EE-837C-4859-AC6A-12F15C7D3626}"/>
    <cellStyle name="Notas 2 3 4 14" xfId="5209" xr:uid="{CA738CAE-4A40-40D7-9DB0-EB333EF5092E}"/>
    <cellStyle name="Notas 2 3 4 14 2" xfId="11055" xr:uid="{0C48AE6B-4FC8-4509-9150-AF236A6B6C0A}"/>
    <cellStyle name="Notas 2 3 4 15" xfId="6107" xr:uid="{547E78FE-A261-4F83-8A73-FC00B3788DD7}"/>
    <cellStyle name="Notas 2 3 4 15 2" xfId="11819" xr:uid="{FB8094AE-9B33-418A-88B9-BCB98C5BC777}"/>
    <cellStyle name="Notas 2 3 4 16" xfId="5595" xr:uid="{F9F0CB20-51C4-4B47-A5D2-8AD9EBF8EC25}"/>
    <cellStyle name="Notas 2 3 4 16 2" xfId="11323" xr:uid="{E2469B10-148E-48B7-8206-BCB9C1351E17}"/>
    <cellStyle name="Notas 2 3 4 17" xfId="6497" xr:uid="{FAB65BD1-77F1-460F-8EDC-7856F18215DC}"/>
    <cellStyle name="Notas 2 3 4 17 2" xfId="12201" xr:uid="{222EA9DE-F5C0-4F6A-9E1A-62FFDE2AEACB}"/>
    <cellStyle name="Notas 2 3 4 18" xfId="6327" xr:uid="{9AA38C3C-2E9F-4DC3-8BEC-57E62C1ECDB1}"/>
    <cellStyle name="Notas 2 3 4 18 2" xfId="12031" xr:uid="{274E87BA-6B3E-4C1D-B73D-9292772893C2}"/>
    <cellStyle name="Notas 2 3 4 19" xfId="8468" xr:uid="{48178EFF-8195-4354-B716-6F22280EEFCC}"/>
    <cellStyle name="Notas 2 3 4 19 2" xfId="13948" xr:uid="{90A84C19-FAF2-4A65-A5C2-9EE4BC80B683}"/>
    <cellStyle name="Notas 2 3 4 2" xfId="2448" xr:uid="{31BAC32F-9D3A-4DF5-8B68-0F16CBB50FAA}"/>
    <cellStyle name="Notas 2 3 4 2 10" xfId="5529" xr:uid="{8F4CC1B8-F079-4251-836C-E68143560AEB}"/>
    <cellStyle name="Notas 2 3 4 2 10 2" xfId="11257" xr:uid="{8ABE8766-2BD4-4632-88E7-1B9CBCA1ADC3}"/>
    <cellStyle name="Notas 2 3 4 2 11" xfId="5879" xr:uid="{A3B38485-2DCB-4A5A-B9BD-13357796C295}"/>
    <cellStyle name="Notas 2 3 4 2 11 2" xfId="11607" xr:uid="{1C5BD5AA-B738-4013-B935-1F0E8D64652D}"/>
    <cellStyle name="Notas 2 3 4 2 12" xfId="8662" xr:uid="{CC210001-B65E-4688-A876-E38FAA60253A}"/>
    <cellStyle name="Notas 2 3 4 2 12 2" xfId="14050" xr:uid="{C7408825-3130-42F6-AFEF-5E85D1C485B6}"/>
    <cellStyle name="Notas 2 3 4 2 13" xfId="9010" xr:uid="{789538F7-63F3-42C4-AA6B-21F8FD489D07}"/>
    <cellStyle name="Notas 2 3 4 2 2" xfId="3036" xr:uid="{E5539AC8-B792-4E3B-860A-3FA6620521A4}"/>
    <cellStyle name="Notas 2 3 4 2 2 2" xfId="3976" xr:uid="{0754CF3F-6F28-425F-913F-4DA5479831AB}"/>
    <cellStyle name="Notas 2 3 4 2 2 2 2" xfId="10090" xr:uid="{86FB1937-667E-4B0D-9AC1-468438119916}"/>
    <cellStyle name="Notas 2 3 4 2 2 3" xfId="6947" xr:uid="{EEA6F68B-F8F1-4804-BE16-31B0E7448F0B}"/>
    <cellStyle name="Notas 2 3 4 2 2 3 2" xfId="12553" xr:uid="{402894E3-B915-4F9C-94CE-2C8BA994DB97}"/>
    <cellStyle name="Notas 2 3 4 2 2 4" xfId="7625" xr:uid="{B8F2ED26-AEED-4A0B-B851-63DE188A2D05}"/>
    <cellStyle name="Notas 2 3 4 2 2 4 2" xfId="13197" xr:uid="{B6EFA5FD-BBE8-4D08-A6D3-5C1FB9959C7D}"/>
    <cellStyle name="Notas 2 3 4 2 2 5" xfId="8118" xr:uid="{081D322B-1832-49BC-B7F6-72766A3C9CF4}"/>
    <cellStyle name="Notas 2 3 4 2 2 5 2" xfId="13690" xr:uid="{1E4DF2BE-3872-4D59-B8BF-4E9F05A70EBE}"/>
    <cellStyle name="Notas 2 3 4 2 2 6" xfId="9370" xr:uid="{BDA3A31F-2944-4A27-A3C4-86FE15C10430}"/>
    <cellStyle name="Notas 2 3 4 2 3" xfId="3496" xr:uid="{1D37270D-6449-4587-9D49-280D33C37D48}"/>
    <cellStyle name="Notas 2 3 4 2 3 2" xfId="9730" xr:uid="{A0FB55DA-C7DC-4262-8713-255591A4708C}"/>
    <cellStyle name="Notas 2 3 4 2 4" xfId="4689" xr:uid="{07AE27AF-40F6-4629-AB20-1E6A76357C03}"/>
    <cellStyle name="Notas 2 3 4 2 4 2" xfId="10553" xr:uid="{58D6B32C-5132-444F-B7F5-0705A8C9FBAF}"/>
    <cellStyle name="Notas 2 3 4 2 5" xfId="4928" xr:uid="{7D1EC136-D7EB-4DB4-A9B6-C3968F54606B}"/>
    <cellStyle name="Notas 2 3 4 2 5 2" xfId="10774" xr:uid="{9DAE4434-ADD7-4628-81B8-C86417C39B51}"/>
    <cellStyle name="Notas 2 3 4 2 6" xfId="5084" xr:uid="{EFB9342A-F9E3-41D5-85B4-6A55EAEC941C}"/>
    <cellStyle name="Notas 2 3 4 2 6 2" xfId="10930" xr:uid="{4C406879-4C9B-483C-BA4B-D611FF03BEDD}"/>
    <cellStyle name="Notas 2 3 4 2 7" xfId="5854" xr:uid="{F467795D-036C-486D-B9B6-70BB942E8F58}"/>
    <cellStyle name="Notas 2 3 4 2 7 2" xfId="11582" xr:uid="{ED46893C-0435-4E41-952D-0D6A60B264AE}"/>
    <cellStyle name="Notas 2 3 4 2 8" xfId="6183" xr:uid="{5A403B3B-7D49-44FB-8F5B-DFCEDF9ADCCB}"/>
    <cellStyle name="Notas 2 3 4 2 8 2" xfId="11887" xr:uid="{06BE4ADF-2311-45DE-B010-DD96235984CF}"/>
    <cellStyle name="Notas 2 3 4 2 9" xfId="6391" xr:uid="{D1250815-6DA1-411A-A577-C776C8DCC93B}"/>
    <cellStyle name="Notas 2 3 4 2 9 2" xfId="12095" xr:uid="{194E7093-71DF-4A49-A905-D4C917B6F075}"/>
    <cellStyle name="Notas 2 3 4 20" xfId="8908" xr:uid="{9CA038C4-4106-4BE3-9A7C-2518CB061E38}"/>
    <cellStyle name="Notas 2 3 4 21" xfId="2254" xr:uid="{008739A2-7E1A-4950-B3EA-D226A64F0EB2}"/>
    <cellStyle name="Notas 2 3 4 3" xfId="2553" xr:uid="{EAFDF2FF-6386-4CD9-A20B-C5CE63008894}"/>
    <cellStyle name="Notas 2 3 4 3 10" xfId="7245" xr:uid="{7C31268C-45D0-4D7D-82AB-96DB7F7801FB}"/>
    <cellStyle name="Notas 2 3 4 3 10 2" xfId="12817" xr:uid="{06C89734-2582-4E88-BE40-2026B275A3BF}"/>
    <cellStyle name="Notas 2 3 4 3 11" xfId="7273" xr:uid="{3E362BEF-8880-4DDC-AAE8-7F39F93C8583}"/>
    <cellStyle name="Notas 2 3 4 3 11 2" xfId="12845" xr:uid="{ADD00BAB-4973-4EF9-96CE-64857FB272EF}"/>
    <cellStyle name="Notas 2 3 4 3 12" xfId="8767" xr:uid="{D2833FDE-5141-4D31-AB06-0605C58BE70E}"/>
    <cellStyle name="Notas 2 3 4 3 12 2" xfId="14123" xr:uid="{5AFFB1D6-450D-4B81-ACC8-863F47F88305}"/>
    <cellStyle name="Notas 2 3 4 3 13" xfId="9083" xr:uid="{EA4EB19E-0311-44C0-AB74-15D83C6763E5}"/>
    <cellStyle name="Notas 2 3 4 3 2" xfId="3109" xr:uid="{942BB75C-91B9-444B-9910-6837FCA6EC9F}"/>
    <cellStyle name="Notas 2 3 4 3 2 2" xfId="4049" xr:uid="{EA854D51-5575-4D80-A940-EA8D79A8E973}"/>
    <cellStyle name="Notas 2 3 4 3 2 2 2" xfId="10163" xr:uid="{9879689D-B198-4F1D-8DEF-1A5203A41B04}"/>
    <cellStyle name="Notas 2 3 4 3 2 3" xfId="7020" xr:uid="{FD067E05-EB27-4A21-BC38-4D89507E95F8}"/>
    <cellStyle name="Notas 2 3 4 3 2 3 2" xfId="12626" xr:uid="{0AD0C8A9-715D-4CBB-AEAE-2DA02A8F44C2}"/>
    <cellStyle name="Notas 2 3 4 3 2 4" xfId="7698" xr:uid="{B0A2E20B-9A4E-4965-AF20-525622284967}"/>
    <cellStyle name="Notas 2 3 4 3 2 4 2" xfId="13270" xr:uid="{5D41F96B-1FF7-4D8A-B955-10824631B54B}"/>
    <cellStyle name="Notas 2 3 4 3 2 5" xfId="8191" xr:uid="{9047CE50-09FB-4D09-8AD3-D674E02A332E}"/>
    <cellStyle name="Notas 2 3 4 3 2 5 2" xfId="13763" xr:uid="{DABC2452-86A1-465A-B388-A09DCDF1AA0F}"/>
    <cellStyle name="Notas 2 3 4 3 2 6" xfId="9443" xr:uid="{8F982ED6-CC7F-40E0-923C-E6D6A07F9D12}"/>
    <cellStyle name="Notas 2 3 4 3 3" xfId="3569" xr:uid="{3B1F4B33-9295-4C87-87A9-0FC55B613275}"/>
    <cellStyle name="Notas 2 3 4 3 3 2" xfId="9803" xr:uid="{AE1862A1-2A48-4EE8-91AD-038BBD724BC4}"/>
    <cellStyle name="Notas 2 3 4 3 4" xfId="4766" xr:uid="{2A31F64B-B6FE-4D06-96EB-2A3355749F98}"/>
    <cellStyle name="Notas 2 3 4 3 4 2" xfId="10630" xr:uid="{242006D5-777A-4934-92DD-D410888D31B3}"/>
    <cellStyle name="Notas 2 3 4 3 5" xfId="5009" xr:uid="{40152C96-C3F1-468E-B5AF-714B8230486B}"/>
    <cellStyle name="Notas 2 3 4 3 5 2" xfId="10855" xr:uid="{64F9BDF4-5336-43AE-BEEE-40CEA93E52C5}"/>
    <cellStyle name="Notas 2 3 4 3 6" xfId="5157" xr:uid="{E034EFF2-9E35-4D94-955F-E7CA9B2A0631}"/>
    <cellStyle name="Notas 2 3 4 3 6 2" xfId="11003" xr:uid="{0A732603-CB03-412F-A9F4-E8A81BA9ACF9}"/>
    <cellStyle name="Notas 2 3 4 3 7" xfId="5948" xr:uid="{87B685B4-9296-48A6-AE42-599D0427A2D6}"/>
    <cellStyle name="Notas 2 3 4 3 7 2" xfId="11676" xr:uid="{7E8590EF-6F8F-4121-84CC-070E6DFA038E}"/>
    <cellStyle name="Notas 2 3 4 3 8" xfId="6278" xr:uid="{C85C7C2A-B2AE-457C-ADB1-78B514090DA3}"/>
    <cellStyle name="Notas 2 3 4 3 8 2" xfId="11982" xr:uid="{0E752435-E279-4C3D-91D0-E9BAE1C7251D}"/>
    <cellStyle name="Notas 2 3 4 3 9" xfId="6480" xr:uid="{772FA2A5-9255-4D40-AA5A-40989218F640}"/>
    <cellStyle name="Notas 2 3 4 3 9 2" xfId="12184" xr:uid="{D5BF2812-0DA0-4E2C-9FC0-15BFB9071724}"/>
    <cellStyle name="Notas 2 3 4 4" xfId="2283" xr:uid="{687847D3-3024-4C96-8595-212F885D5EF3}"/>
    <cellStyle name="Notas 2 3 4 4 10" xfId="5309" xr:uid="{52C3C8D7-08F8-4D9C-9876-40927EC4E21E}"/>
    <cellStyle name="Notas 2 3 4 4 10 2" xfId="11153" xr:uid="{2012AB59-E19A-4123-A11D-E93D8025886C}"/>
    <cellStyle name="Notas 2 3 4 4 11" xfId="7434" xr:uid="{FC5BA7CE-BFF3-49B6-BA1B-CC7451C98895}"/>
    <cellStyle name="Notas 2 3 4 4 11 2" xfId="13006" xr:uid="{AED72E3F-8AE8-4799-A213-20505569EB3B}"/>
    <cellStyle name="Notas 2 3 4 4 12" xfId="8497" xr:uid="{421B1C9A-6635-43A7-9CC1-870898E8211B}"/>
    <cellStyle name="Notas 2 3 4 4 12 2" xfId="13977" xr:uid="{73BA7A1A-F4EE-4D0B-948D-4F82E68297F3}"/>
    <cellStyle name="Notas 2 3 4 4 13" xfId="8937" xr:uid="{E9A111F5-F420-487C-B369-CA99672ECF6D}"/>
    <cellStyle name="Notas 2 3 4 4 2" xfId="2963" xr:uid="{05BF91D3-5CAA-4871-8159-53E3147A44DD}"/>
    <cellStyle name="Notas 2 3 4 4 2 2" xfId="3903" xr:uid="{4198B7A6-23E1-4DA4-8256-2E0BC503E329}"/>
    <cellStyle name="Notas 2 3 4 4 2 2 2" xfId="10017" xr:uid="{0BC56330-3C2C-4CAE-B030-A10474EA893F}"/>
    <cellStyle name="Notas 2 3 4 4 2 3" xfId="6874" xr:uid="{B2442935-1543-4825-AF2A-A1A17EAE223D}"/>
    <cellStyle name="Notas 2 3 4 4 2 3 2" xfId="12480" xr:uid="{224443AB-CACF-4983-B54C-7560A980E01A}"/>
    <cellStyle name="Notas 2 3 4 4 2 4" xfId="7552" xr:uid="{EE3B6185-4944-4350-BDF7-808471712F64}"/>
    <cellStyle name="Notas 2 3 4 4 2 4 2" xfId="13124" xr:uid="{5AD5D896-AEFF-42BB-AA6F-86C0C87000FF}"/>
    <cellStyle name="Notas 2 3 4 4 2 5" xfId="8045" xr:uid="{049D61C5-7AEB-41CF-A589-9482B5BE2D67}"/>
    <cellStyle name="Notas 2 3 4 4 2 5 2" xfId="13617" xr:uid="{437CBA86-CE9D-410E-92B3-E79F387F0FDF}"/>
    <cellStyle name="Notas 2 3 4 4 2 6" xfId="9297" xr:uid="{B4998D3C-D307-42DA-BC80-8EC34016E607}"/>
    <cellStyle name="Notas 2 3 4 4 3" xfId="3423" xr:uid="{07BB3B2C-8B3F-4951-B50E-70444143AC9B}"/>
    <cellStyle name="Notas 2 3 4 4 3 2" xfId="9657" xr:uid="{9CADEB2E-D68D-4F73-B46E-A287C5B3F025}"/>
    <cellStyle name="Notas 2 3 4 4 4" xfId="4590" xr:uid="{67C97CE2-4C06-4E8E-95DF-B963DC08690B}"/>
    <cellStyle name="Notas 2 3 4 4 4 2" xfId="10454" xr:uid="{C027CFF6-61BD-4DC2-9D3B-2114EE2890EA}"/>
    <cellStyle name="Notas 2 3 4 4 5" xfId="4835" xr:uid="{355D6679-319C-4BC2-9D0F-8C122930329F}"/>
    <cellStyle name="Notas 2 3 4 4 5 2" xfId="10681" xr:uid="{5B4CFE04-F437-4B64-A836-4F4E55294223}"/>
    <cellStyle name="Notas 2 3 4 4 6" xfId="4944" xr:uid="{F5D46ABC-A362-4C43-9119-234FE500AC78}"/>
    <cellStyle name="Notas 2 3 4 4 6 2" xfId="10790" xr:uid="{DB4E8435-9859-4698-BA32-7D6CB4705ADB}"/>
    <cellStyle name="Notas 2 3 4 4 7" xfId="5721" xr:uid="{6AC448F7-2968-4F9F-A321-8E139817E255}"/>
    <cellStyle name="Notas 2 3 4 4 7 2" xfId="11449" xr:uid="{09B82C5F-2D37-4F8B-AE7A-0A805F4AD598}"/>
    <cellStyle name="Notas 2 3 4 4 8" xfId="5979" xr:uid="{D6E0B628-E8EE-4199-A165-E70C43745748}"/>
    <cellStyle name="Notas 2 3 4 4 8 2" xfId="11691" xr:uid="{881C52E3-E56D-4446-B7AC-A3340752C77E}"/>
    <cellStyle name="Notas 2 3 4 4 9" xfId="6201" xr:uid="{A7B7169F-A333-413C-8256-51422935DABE}"/>
    <cellStyle name="Notas 2 3 4 4 9 2" xfId="11905" xr:uid="{A8F0081A-240A-4535-9EBE-C86EB5F26925}"/>
    <cellStyle name="Notas 2 3 4 5" xfId="2710" xr:uid="{159ABBF8-3701-4AAD-A1E4-B832FC9AB277}"/>
    <cellStyle name="Notas 2 3 4 5 2" xfId="3174" xr:uid="{89F5A81D-1B15-4BD2-92BD-4FB996364A41}"/>
    <cellStyle name="Notas 2 3 4 5 2 2" xfId="4132" xr:uid="{9C532C8F-0C0B-4CC1-8D68-3E76F902F3D1}"/>
    <cellStyle name="Notas 2 3 4 5 2 2 2" xfId="10228" xr:uid="{5F8097C6-48B1-4BA0-BD74-11F85BDA062C}"/>
    <cellStyle name="Notas 2 3 4 5 2 3" xfId="7103" xr:uid="{AD196DFF-990F-4D9C-AA02-B24F157C5123}"/>
    <cellStyle name="Notas 2 3 4 5 2 3 2" xfId="12691" xr:uid="{589C0E53-71EB-485A-8BAD-F27C85982A0A}"/>
    <cellStyle name="Notas 2 3 4 5 2 4" xfId="7764" xr:uid="{760C421E-DB49-4D9F-A6F3-8B8F6358DB3A}"/>
    <cellStyle name="Notas 2 3 4 5 2 4 2" xfId="13336" xr:uid="{9B59B3A3-20F7-46B1-9B2F-C23D3A0B515C}"/>
    <cellStyle name="Notas 2 3 4 5 2 5" xfId="8256" xr:uid="{ACE1E65B-435D-4D0F-98BA-A8567A9CAB60}"/>
    <cellStyle name="Notas 2 3 4 5 2 5 2" xfId="13828" xr:uid="{9EE3C0EF-AE36-434D-A281-F771ED944877}"/>
    <cellStyle name="Notas 2 3 4 5 2 6" xfId="9508" xr:uid="{5D45E336-3EFE-4159-87EF-477B8C4958A1}"/>
    <cellStyle name="Notas 2 3 4 5 3" xfId="3652" xr:uid="{A5C5098C-588D-46BE-ADAF-032E43EBFEA0}"/>
    <cellStyle name="Notas 2 3 4 5 3 2" xfId="9868" xr:uid="{D38ACF5F-C1FE-4962-A956-B0D37B21A2E6}"/>
    <cellStyle name="Notas 2 3 4 5 4" xfId="6089" xr:uid="{2A3DA108-F9EB-4391-87A4-E2AD095145DB}"/>
    <cellStyle name="Notas 2 3 4 5 4 2" xfId="11801" xr:uid="{8B4B5203-E3E2-4F6F-A54F-6ECA43A23300}"/>
    <cellStyle name="Notas 2 3 4 5 5" xfId="6607" xr:uid="{FF2DEAAE-8F56-46BA-B474-EE4B65EC5972}"/>
    <cellStyle name="Notas 2 3 4 5 5 2" xfId="12311" xr:uid="{5DF9263F-C8A1-4774-ACFF-212C00E91BEA}"/>
    <cellStyle name="Notas 2 3 4 5 6" xfId="7361" xr:uid="{93F00DC7-A094-4527-95B6-994F2D059618}"/>
    <cellStyle name="Notas 2 3 4 5 6 2" xfId="12933" xr:uid="{E667D142-05EA-4F7F-AAEF-4D49CA035D96}"/>
    <cellStyle name="Notas 2 3 4 5 7" xfId="7896" xr:uid="{CB2743DD-B85F-4B0F-89D8-1BDED1EC70C3}"/>
    <cellStyle name="Notas 2 3 4 5 7 2" xfId="13468" xr:uid="{947CD7F4-FE49-4D06-8658-7DC76C17F3C1}"/>
    <cellStyle name="Notas 2 3 4 5 8" xfId="9148" xr:uid="{0FA987B7-D965-4B65-9905-AB561E4EAE8C}"/>
    <cellStyle name="Notas 2 3 4 6" xfId="2802" xr:uid="{DDEB691B-A7B1-4E8B-BF52-10A3CCB88444}"/>
    <cellStyle name="Notas 2 3 4 6 2" xfId="3234" xr:uid="{D7A94562-B5B8-4FDE-A46D-8CEC97C2EA80}"/>
    <cellStyle name="Notas 2 3 4 6 2 2" xfId="4192" xr:uid="{D617B63F-0660-4CFC-83D9-9F22251E156A}"/>
    <cellStyle name="Notas 2 3 4 6 2 2 2" xfId="10288" xr:uid="{D27CE8F1-1B0C-4075-9457-937D5893EBD5}"/>
    <cellStyle name="Notas 2 3 4 6 2 3" xfId="7163" xr:uid="{8044244B-9FBD-4C47-A898-97D7188E7329}"/>
    <cellStyle name="Notas 2 3 4 6 2 3 2" xfId="12751" xr:uid="{F5AC5C33-80FA-4141-8FC2-249DE39F194E}"/>
    <cellStyle name="Notas 2 3 4 6 2 4" xfId="7824" xr:uid="{DE008BF0-7A57-440B-ACCA-4A158265B2D4}"/>
    <cellStyle name="Notas 2 3 4 6 2 4 2" xfId="13396" xr:uid="{7E50EBA6-DA02-4420-B98A-7CDE2767779C}"/>
    <cellStyle name="Notas 2 3 4 6 2 5" xfId="8316" xr:uid="{57A37ED2-26E0-4FBE-9D99-1991D142B70E}"/>
    <cellStyle name="Notas 2 3 4 6 2 5 2" xfId="13888" xr:uid="{02C9AA57-2695-4C97-97B7-5FF1C6683074}"/>
    <cellStyle name="Notas 2 3 4 6 2 6" xfId="9568" xr:uid="{DCC4CD91-A5FA-4D10-AD66-8D01E1A0744D}"/>
    <cellStyle name="Notas 2 3 4 6 3" xfId="3712" xr:uid="{B2BFC02B-0D22-4A75-9BAA-D67E37153EB9}"/>
    <cellStyle name="Notas 2 3 4 6 3 2" xfId="9928" xr:uid="{372ACC99-6763-40B7-9ED7-BAA4597C2273}"/>
    <cellStyle name="Notas 2 3 4 6 4" xfId="6169" xr:uid="{BB11537D-6ADF-4809-A5BC-45ABC2EDC81B}"/>
    <cellStyle name="Notas 2 3 4 6 4 2" xfId="11881" xr:uid="{419BD95E-DD40-4E9A-A920-8105AAAE4776}"/>
    <cellStyle name="Notas 2 3 4 6 5" xfId="6679" xr:uid="{A579F141-DBF3-4F6D-91C7-32D8D472B8C0}"/>
    <cellStyle name="Notas 2 3 4 6 5 2" xfId="12383" xr:uid="{0172E96A-D04C-4772-985A-F8C5319E1CB2}"/>
    <cellStyle name="Notas 2 3 4 6 6" xfId="7423" xr:uid="{274ED50D-5A9D-44DF-8869-6A9D3B7CD5EC}"/>
    <cellStyle name="Notas 2 3 4 6 6 2" xfId="12995" xr:uid="{9666179B-0705-4CC1-A269-68EAFA8FACF4}"/>
    <cellStyle name="Notas 2 3 4 6 7" xfId="7956" xr:uid="{3B389BA2-2D53-4A38-B095-245A17287C80}"/>
    <cellStyle name="Notas 2 3 4 6 7 2" xfId="13528" xr:uid="{8917E765-9E54-4AA8-ACB2-E6F80107CCC1}"/>
    <cellStyle name="Notas 2 3 4 6 8" xfId="9208" xr:uid="{F922AA69-4920-4715-9CF2-7260E7CE2EFB}"/>
    <cellStyle name="Notas 2 3 4 7" xfId="2902" xr:uid="{4687F62F-A9F8-4AD8-AED0-BE75D43D6A5B}"/>
    <cellStyle name="Notas 2 3 4 7 2" xfId="3830" xr:uid="{C966F33A-C074-4922-9468-500A2641233E}"/>
    <cellStyle name="Notas 2 3 4 7 2 2" xfId="9988" xr:uid="{C7016B93-06B2-412F-94ED-5E4FDB37A164}"/>
    <cellStyle name="Notas 2 3 4 7 3" xfId="6801" xr:uid="{E6A4DD26-95E6-472B-A870-3075CD3C1684}"/>
    <cellStyle name="Notas 2 3 4 7 3 2" xfId="12451" xr:uid="{E79155E8-10A4-47F8-80B9-37166346DBA1}"/>
    <cellStyle name="Notas 2 3 4 7 4" xfId="7508" xr:uid="{928E07A5-E9A1-4110-B17E-C9709393D76A}"/>
    <cellStyle name="Notas 2 3 4 7 4 2" xfId="13080" xr:uid="{B3324101-8163-4794-8F7B-3478CAB039B0}"/>
    <cellStyle name="Notas 2 3 4 7 5" xfId="8016" xr:uid="{10914751-7614-4D8F-802D-6C23FD2D0294}"/>
    <cellStyle name="Notas 2 3 4 7 5 2" xfId="13588" xr:uid="{819F7D4F-886F-4DD4-9240-E5E317BEA004}"/>
    <cellStyle name="Notas 2 3 4 7 6" xfId="9268" xr:uid="{FFB6ABD6-35B0-4B97-9BEF-4A5FF79552FE}"/>
    <cellStyle name="Notas 2 3 4 8" xfId="3350" xr:uid="{C13AE784-B092-473F-A5E4-04C1FCB250B3}"/>
    <cellStyle name="Notas 2 3 4 8 2" xfId="9628" xr:uid="{C005E96B-723D-4C37-8012-995CF45BB782}"/>
    <cellStyle name="Notas 2 3 4 9" xfId="4517" xr:uid="{C7174742-4BFD-4092-ADEE-819F5013E9EE}"/>
    <cellStyle name="Notas 2 3 4 9 2" xfId="10425" xr:uid="{B0E79A52-4E1D-4746-94BB-545F661A78D8}"/>
    <cellStyle name="Notas 2 3 5" xfId="2084" xr:uid="{119D6D97-82BF-45E8-AFF0-45405AB22B28}"/>
    <cellStyle name="Notas 2 3 6" xfId="8835" xr:uid="{271758D1-5B7D-4B1E-A1E9-3BFEB96A7FA7}"/>
    <cellStyle name="Notas 2 3 7" xfId="1967" xr:uid="{F2C583EE-86D2-4E76-91D9-4F054BCDCDE1}"/>
    <cellStyle name="Notas 2 4" xfId="337" xr:uid="{00E5A460-C4E4-49F4-8221-EFDC8BBDFB37}"/>
    <cellStyle name="Notas 2 4 2" xfId="1445" xr:uid="{4079A8A3-B3A7-47D8-90F7-17D3F4AD4BA2}"/>
    <cellStyle name="Notas 2 4 2 10" xfId="4374" xr:uid="{222993B2-81A1-4E2C-990F-F84B90017AAE}"/>
    <cellStyle name="Notas 2 4 2 10 2" xfId="10334" xr:uid="{B2B7FA0B-2AA0-473C-8715-ADCA41A9D183}"/>
    <cellStyle name="Notas 2 4 2 11" xfId="4626" xr:uid="{1ED20338-A895-4110-BFE1-F1AD948137A0}"/>
    <cellStyle name="Notas 2 4 2 11 2" xfId="10490" xr:uid="{7F19308C-C9AD-4BE3-B2F2-AE2DB5D7B094}"/>
    <cellStyle name="Notas 2 4 2 12" xfId="5438" xr:uid="{23A68289-7A99-418E-B0CB-8466CC255A30}"/>
    <cellStyle name="Notas 2 4 2 12 2" xfId="11232" xr:uid="{DC1D7E58-BA17-4C46-AE89-A6C8D25F3ADC}"/>
    <cellStyle name="Notas 2 4 2 13" xfId="5606" xr:uid="{60BFBE8D-BC4B-41E4-A7C5-22C37F9F0D14}"/>
    <cellStyle name="Notas 2 4 2 13 2" xfId="11334" xr:uid="{1983CBDF-694F-4860-8504-8102A6F89DEE}"/>
    <cellStyle name="Notas 2 4 2 14" xfId="5298" xr:uid="{149128A3-0EAE-40E6-ACEE-46D3E9C1002B}"/>
    <cellStyle name="Notas 2 4 2 14 2" xfId="11142" xr:uid="{D73EDBC3-9905-4B09-B9DF-D7F60E2B2FF3}"/>
    <cellStyle name="Notas 2 4 2 15" xfId="6112" xr:uid="{AC4E6579-5CDB-468F-B909-18A5E4D98703}"/>
    <cellStyle name="Notas 2 4 2 15 2" xfId="11824" xr:uid="{95396FE4-8228-414C-A481-92C662DF7F57}"/>
    <cellStyle name="Notas 2 4 2 16" xfId="5768" xr:uid="{E93F88FF-8365-4B1D-A0A0-081B1F8A3CD7}"/>
    <cellStyle name="Notas 2 4 2 16 2" xfId="11496" xr:uid="{909AD2A0-A1E9-4B68-81FF-B4D19FC2591E}"/>
    <cellStyle name="Notas 2 4 2 17" xfId="6510" xr:uid="{E844BF34-37E0-4FA2-A056-FEB72866A41A}"/>
    <cellStyle name="Notas 2 4 2 17 2" xfId="12214" xr:uid="{665D2C59-5FA1-4081-84BD-C033E665D974}"/>
    <cellStyle name="Notas 2 4 2 18" xfId="6616" xr:uid="{22BD0797-F140-411F-AF0D-23D7888B47A4}"/>
    <cellStyle name="Notas 2 4 2 18 2" xfId="12320" xr:uid="{DA9E6953-0F74-4458-87DD-94B7CC7ADACE}"/>
    <cellStyle name="Notas 2 4 2 19" xfId="8454" xr:uid="{411401A7-B83F-43E2-9052-4CA2F2739E9D}"/>
    <cellStyle name="Notas 2 4 2 19 2" xfId="13934" xr:uid="{58C9665A-61CE-413F-8E5C-2FD5327361FC}"/>
    <cellStyle name="Notas 2 4 2 2" xfId="1558" xr:uid="{765AB704-F830-426E-9560-B58893EA7FC2}"/>
    <cellStyle name="Notas 2 4 2 2 10" xfId="5760" xr:uid="{1ABB85EC-3926-400E-8AC3-5F05EF943470}"/>
    <cellStyle name="Notas 2 4 2 2 10 2" xfId="11488" xr:uid="{8B46C564-5E54-4876-92E3-7F3A9D12EBDF}"/>
    <cellStyle name="Notas 2 4 2 2 11" xfId="7274" xr:uid="{5165F4E3-3864-416F-9371-858829FDCB83}"/>
    <cellStyle name="Notas 2 4 2 2 11 2" xfId="12846" xr:uid="{40C21BCA-BFDF-421D-84AA-1C47DC645E8A}"/>
    <cellStyle name="Notas 2 4 2 2 12" xfId="8648" xr:uid="{A92F47BA-2682-41D0-BD69-7934F1A8877E}"/>
    <cellStyle name="Notas 2 4 2 2 12 2" xfId="14036" xr:uid="{B23DCCBA-127E-4F9B-A02C-62BA39EA87D2}"/>
    <cellStyle name="Notas 2 4 2 2 13" xfId="8996" xr:uid="{6E70B151-8E63-4EE4-AB85-EF581E128162}"/>
    <cellStyle name="Notas 2 4 2 2 14" xfId="2434" xr:uid="{744B2543-0F1F-4652-B7C8-23471CA2C95D}"/>
    <cellStyle name="Notas 2 4 2 2 2" xfId="3022" xr:uid="{ABF33CD3-2F2C-43E9-B8F1-76C145081029}"/>
    <cellStyle name="Notas 2 4 2 2 2 2" xfId="3962" xr:uid="{AE871F3C-A70C-4F40-AB3F-2E0207130610}"/>
    <cellStyle name="Notas 2 4 2 2 2 2 2" xfId="10076" xr:uid="{375C1CC7-42A2-4666-9C1A-BD5290A4751A}"/>
    <cellStyle name="Notas 2 4 2 2 2 3" xfId="6933" xr:uid="{FD5FC887-CEC2-40D3-BA87-245707D62869}"/>
    <cellStyle name="Notas 2 4 2 2 2 3 2" xfId="12539" xr:uid="{D3658771-9AD7-43D9-B837-BC849EDE2A79}"/>
    <cellStyle name="Notas 2 4 2 2 2 4" xfId="7611" xr:uid="{145AF660-B5D8-4E4A-A958-3F22BF495239}"/>
    <cellStyle name="Notas 2 4 2 2 2 4 2" xfId="13183" xr:uid="{60E5E468-A950-4A0F-B176-2EA9C3D8FC9A}"/>
    <cellStyle name="Notas 2 4 2 2 2 5" xfId="8104" xr:uid="{3A7A8C4A-62D8-4F2C-9252-709CDEF992C0}"/>
    <cellStyle name="Notas 2 4 2 2 2 5 2" xfId="13676" xr:uid="{93A44411-6B6A-4FAE-9A11-BABA84DA0DF1}"/>
    <cellStyle name="Notas 2 4 2 2 2 6" xfId="9356" xr:uid="{A854BD6C-9F66-4D9B-88D1-0D64D0D1E090}"/>
    <cellStyle name="Notas 2 4 2 2 3" xfId="3482" xr:uid="{DC8656FB-3AEE-4EBA-8520-0A521A072DC0}"/>
    <cellStyle name="Notas 2 4 2 2 3 2" xfId="9716" xr:uid="{36C3B882-CF11-47B5-A9FD-AB331125627E}"/>
    <cellStyle name="Notas 2 4 2 2 4" xfId="4675" xr:uid="{851FF316-6CDC-4428-B19C-CABA90D1F147}"/>
    <cellStyle name="Notas 2 4 2 2 4 2" xfId="10539" xr:uid="{9730BAA1-30D7-41E7-89E5-2D274A32DB04}"/>
    <cellStyle name="Notas 2 4 2 2 5" xfId="4914" xr:uid="{CC62545C-AEC4-43AF-AE96-46C082428A98}"/>
    <cellStyle name="Notas 2 4 2 2 5 2" xfId="10760" xr:uid="{92DE38B9-B062-44DD-9BA9-95AE1A7A6407}"/>
    <cellStyle name="Notas 2 4 2 2 6" xfId="5070" xr:uid="{34C9BA21-D2C6-422B-BDE0-2264B9D8C602}"/>
    <cellStyle name="Notas 2 4 2 2 6 2" xfId="10916" xr:uid="{4069C2C4-C3F9-4E7B-8A3E-91990E2F71F0}"/>
    <cellStyle name="Notas 2 4 2 2 7" xfId="5840" xr:uid="{F71423A0-3614-49D3-967A-45F2A93C4002}"/>
    <cellStyle name="Notas 2 4 2 2 7 2" xfId="11568" xr:uid="{8BBD9462-778C-47F3-B462-E550010CF24B}"/>
    <cellStyle name="Notas 2 4 2 2 8" xfId="5264" xr:uid="{2AD3E4D8-AFD6-462E-AB6E-ACCE923A9706}"/>
    <cellStyle name="Notas 2 4 2 2 8 2" xfId="11110" xr:uid="{D4974921-1D3A-4BDB-B6AA-19F399E00EF8}"/>
    <cellStyle name="Notas 2 4 2 2 9" xfId="6377" xr:uid="{EAC6734D-C66E-404B-AD4B-50F6EDFBC899}"/>
    <cellStyle name="Notas 2 4 2 2 9 2" xfId="12081" xr:uid="{24D07A9D-79F9-48E5-BA99-65AFD629FAFB}"/>
    <cellStyle name="Notas 2 4 2 20" xfId="8894" xr:uid="{9912DAFE-2DE2-4ED0-999C-1AFA138E0ABB}"/>
    <cellStyle name="Notas 2 4 2 21" xfId="2240" xr:uid="{ACEC7997-A313-4400-AA05-9C86F1793F47}"/>
    <cellStyle name="Notas 2 4 2 3" xfId="1611" xr:uid="{20A217D1-19DA-490B-BCE6-5493638AB91D}"/>
    <cellStyle name="Notas 2 4 2 3 10" xfId="7231" xr:uid="{2E0E9A1B-939C-44B5-AF53-2FC7965A9291}"/>
    <cellStyle name="Notas 2 4 2 3 10 2" xfId="12803" xr:uid="{2D828B6F-38CD-4ABF-9F3C-B987A0446DF2}"/>
    <cellStyle name="Notas 2 4 2 3 11" xfId="6418" xr:uid="{3FFE4A2B-CBC6-4526-A375-6B3F9A7DB38F}"/>
    <cellStyle name="Notas 2 4 2 3 11 2" xfId="12122" xr:uid="{7571D0AC-5AEC-4673-8BBC-78394F4C65B0}"/>
    <cellStyle name="Notas 2 4 2 3 12" xfId="8753" xr:uid="{9E8785BC-10A6-4BFF-B3E1-CB3A339E2419}"/>
    <cellStyle name="Notas 2 4 2 3 12 2" xfId="14109" xr:uid="{0871D572-ABAB-46F8-BBE3-F669F2F3FD70}"/>
    <cellStyle name="Notas 2 4 2 3 13" xfId="9069" xr:uid="{26B6B368-7BD9-4CE2-9775-274954C58ED4}"/>
    <cellStyle name="Notas 2 4 2 3 14" xfId="2539" xr:uid="{2F680D77-7634-4357-BAD7-9F3709D975F6}"/>
    <cellStyle name="Notas 2 4 2 3 2" xfId="3095" xr:uid="{F65D2D2F-D4C7-433E-A46C-9976EC4FA563}"/>
    <cellStyle name="Notas 2 4 2 3 2 2" xfId="4035" xr:uid="{7927AED9-D499-4C35-84B2-D8C7E18F78AD}"/>
    <cellStyle name="Notas 2 4 2 3 2 2 2" xfId="10149" xr:uid="{502B33E4-456B-40AE-A53F-8A389D383618}"/>
    <cellStyle name="Notas 2 4 2 3 2 3" xfId="7006" xr:uid="{72A126B7-8339-41F7-9E91-81A0BA01A886}"/>
    <cellStyle name="Notas 2 4 2 3 2 3 2" xfId="12612" xr:uid="{652B141E-D5A3-428D-BFB7-9DD14235DCC8}"/>
    <cellStyle name="Notas 2 4 2 3 2 4" xfId="7684" xr:uid="{285E1BFD-146F-4DD7-9956-D8731F3F5CA2}"/>
    <cellStyle name="Notas 2 4 2 3 2 4 2" xfId="13256" xr:uid="{533C0A3C-9446-49AF-BB0C-4F824E18CA73}"/>
    <cellStyle name="Notas 2 4 2 3 2 5" xfId="8177" xr:uid="{E0F18A0F-BC11-4147-92E5-E9620702A8B1}"/>
    <cellStyle name="Notas 2 4 2 3 2 5 2" xfId="13749" xr:uid="{F45AAD91-6E50-4A27-955E-C5C9A6E66EEF}"/>
    <cellStyle name="Notas 2 4 2 3 2 6" xfId="9429" xr:uid="{D02AC54C-F861-4077-8480-75C3CD47C4B1}"/>
    <cellStyle name="Notas 2 4 2 3 3" xfId="3555" xr:uid="{C249869C-A775-4363-B19D-813C9FB8A57C}"/>
    <cellStyle name="Notas 2 4 2 3 3 2" xfId="9789" xr:uid="{7D58693C-9F07-4413-876A-BCACB552D3CE}"/>
    <cellStyle name="Notas 2 4 2 3 4" xfId="4752" xr:uid="{4FB713AE-C5A8-47C7-8634-8A504926FA99}"/>
    <cellStyle name="Notas 2 4 2 3 4 2" xfId="10616" xr:uid="{F5E95F8C-1B31-44A5-AEEC-4DABBE730941}"/>
    <cellStyle name="Notas 2 4 2 3 5" xfId="4995" xr:uid="{025D75D7-96F9-463F-B27D-750D6EF93461}"/>
    <cellStyle name="Notas 2 4 2 3 5 2" xfId="10841" xr:uid="{091E6322-1E91-4EB7-B241-9ED44383F78A}"/>
    <cellStyle name="Notas 2 4 2 3 6" xfId="5143" xr:uid="{F8AC4777-20B3-4BF2-924F-2AC6FC39C49A}"/>
    <cellStyle name="Notas 2 4 2 3 6 2" xfId="10989" xr:uid="{CCFD0EB6-0922-41F1-9336-7D70747196E5}"/>
    <cellStyle name="Notas 2 4 2 3 7" xfId="5934" xr:uid="{2F53B725-CF58-4D3F-9807-6931695480DA}"/>
    <cellStyle name="Notas 2 4 2 3 7 2" xfId="11662" xr:uid="{061A60FD-DEB6-4300-A4FE-48612A5B2318}"/>
    <cellStyle name="Notas 2 4 2 3 8" xfId="6264" xr:uid="{CB351E89-E591-45FD-99DA-1B4754E7D158}"/>
    <cellStyle name="Notas 2 4 2 3 8 2" xfId="11968" xr:uid="{DEEBD5BA-8C94-4F77-9433-CE6A0DF6323A}"/>
    <cellStyle name="Notas 2 4 2 3 9" xfId="6466" xr:uid="{A16C2409-5CC3-4C2F-8010-B1DAC193AE0E}"/>
    <cellStyle name="Notas 2 4 2 3 9 2" xfId="12170" xr:uid="{CF61412B-8326-4D07-8FFF-4C8DEF9DA9E7}"/>
    <cellStyle name="Notas 2 4 2 4" xfId="2455" xr:uid="{D98472B1-C18D-4C2B-93B8-92DD969D8D4B}"/>
    <cellStyle name="Notas 2 4 2 4 10" xfId="5233" xr:uid="{5900F7F4-13CA-4878-9CD9-4EE02CF6C601}"/>
    <cellStyle name="Notas 2 4 2 4 10 2" xfId="11079" xr:uid="{6010996C-513A-4450-B1D5-D6ADB53E712F}"/>
    <cellStyle name="Notas 2 4 2 4 11" xfId="6542" xr:uid="{9C6DCB6C-7035-4E02-B1A7-8D8000EDD1B6}"/>
    <cellStyle name="Notas 2 4 2 4 11 2" xfId="12246" xr:uid="{3B8667A0-7C20-4333-8A8C-BC47208EDBDB}"/>
    <cellStyle name="Notas 2 4 2 4 12" xfId="8669" xr:uid="{8568FC30-76A6-4CB8-9CEB-B35FEACFA9E1}"/>
    <cellStyle name="Notas 2 4 2 4 12 2" xfId="14057" xr:uid="{A28E01D8-55EF-42E1-B3B5-A8DC82F791A8}"/>
    <cellStyle name="Notas 2 4 2 4 13" xfId="9017" xr:uid="{F81183AF-93B2-4F83-A9BA-34EA009380DB}"/>
    <cellStyle name="Notas 2 4 2 4 2" xfId="3043" xr:uid="{BDD7D31A-3D93-4A4A-AE0F-EADF543B56FA}"/>
    <cellStyle name="Notas 2 4 2 4 2 2" xfId="3983" xr:uid="{42BF73FC-F6DB-4D77-B5CB-0D16D2EF2FCD}"/>
    <cellStyle name="Notas 2 4 2 4 2 2 2" xfId="10097" xr:uid="{3C843E1C-F812-4040-B353-BE768CC502AB}"/>
    <cellStyle name="Notas 2 4 2 4 2 3" xfId="6954" xr:uid="{DE7555B5-F435-43EC-A741-385E3459C6E9}"/>
    <cellStyle name="Notas 2 4 2 4 2 3 2" xfId="12560" xr:uid="{4824A5E5-30F4-4A0C-BBB9-63B36147F90F}"/>
    <cellStyle name="Notas 2 4 2 4 2 4" xfId="7632" xr:uid="{AECAB2C6-80F7-4779-BDA6-281FEF803B99}"/>
    <cellStyle name="Notas 2 4 2 4 2 4 2" xfId="13204" xr:uid="{6F5B7773-8530-49BA-B4A9-06963F28B74D}"/>
    <cellStyle name="Notas 2 4 2 4 2 5" xfId="8125" xr:uid="{A4D756DA-EB2D-426B-8DA0-B2BEC72307ED}"/>
    <cellStyle name="Notas 2 4 2 4 2 5 2" xfId="13697" xr:uid="{2C2D6C65-30E6-47BC-9C6A-5E1C5FA250E6}"/>
    <cellStyle name="Notas 2 4 2 4 2 6" xfId="9377" xr:uid="{2AAB573A-8201-4029-9058-933D0B78B838}"/>
    <cellStyle name="Notas 2 4 2 4 3" xfId="3503" xr:uid="{B61793CC-3F5A-448E-885B-E1AEE1D397D8}"/>
    <cellStyle name="Notas 2 4 2 4 3 2" xfId="9737" xr:uid="{E9A6F105-0FF4-4F03-928D-50720B958BB1}"/>
    <cellStyle name="Notas 2 4 2 4 4" xfId="4696" xr:uid="{31E30456-6BB7-43A8-84C3-3C833345478F}"/>
    <cellStyle name="Notas 2 4 2 4 4 2" xfId="10560" xr:uid="{7078A7E0-CE53-4BF4-9921-B8F1C80BF5EB}"/>
    <cellStyle name="Notas 2 4 2 4 5" xfId="4935" xr:uid="{8DE3F692-2AFD-426C-B9A6-83A97611815B}"/>
    <cellStyle name="Notas 2 4 2 4 5 2" xfId="10781" xr:uid="{95DE63EB-5E38-481C-B000-F78E5CEF00BC}"/>
    <cellStyle name="Notas 2 4 2 4 6" xfId="5091" xr:uid="{51978EAF-06B1-4A65-80F9-034152F97049}"/>
    <cellStyle name="Notas 2 4 2 4 6 2" xfId="10937" xr:uid="{AC666C9F-52E5-470B-9D9A-FCE82044B163}"/>
    <cellStyle name="Notas 2 4 2 4 7" xfId="5861" xr:uid="{762E231B-D082-4A85-9117-952080B56524}"/>
    <cellStyle name="Notas 2 4 2 4 7 2" xfId="11589" xr:uid="{2FBB944E-EED5-4BCD-A82B-AC09F91D7A50}"/>
    <cellStyle name="Notas 2 4 2 4 8" xfId="6190" xr:uid="{AEC7E7AF-4470-4057-9B4C-4900FFDD79CF}"/>
    <cellStyle name="Notas 2 4 2 4 8 2" xfId="11894" xr:uid="{C5F5373B-70F4-4A53-8FED-AF878A73F622}"/>
    <cellStyle name="Notas 2 4 2 4 9" xfId="6398" xr:uid="{AF272CE7-83BB-4144-8F8A-39EB1DC948DB}"/>
    <cellStyle name="Notas 2 4 2 4 9 2" xfId="12102" xr:uid="{4CCBF328-E00F-4F90-BBCE-FBB83C3B25E9}"/>
    <cellStyle name="Notas 2 4 2 5" xfId="2696" xr:uid="{A4142C56-0E2B-43D1-8565-161267834998}"/>
    <cellStyle name="Notas 2 4 2 5 2" xfId="3160" xr:uid="{A9CBFE38-24BE-4970-BEA4-BD452DAE2E4D}"/>
    <cellStyle name="Notas 2 4 2 5 2 2" xfId="4118" xr:uid="{8FCB4A75-283F-43A2-BC2E-F8EC40F9069E}"/>
    <cellStyle name="Notas 2 4 2 5 2 2 2" xfId="10214" xr:uid="{0B763F28-2274-407D-A8EB-41279F23CED1}"/>
    <cellStyle name="Notas 2 4 2 5 2 3" xfId="7089" xr:uid="{BF35049D-A82B-4FC4-AFA7-70FF274EA30B}"/>
    <cellStyle name="Notas 2 4 2 5 2 3 2" xfId="12677" xr:uid="{F650E77C-9E38-4A31-BFE1-84B30DF9C740}"/>
    <cellStyle name="Notas 2 4 2 5 2 4" xfId="7750" xr:uid="{1CB083B3-A973-4C96-976B-79A4B0816882}"/>
    <cellStyle name="Notas 2 4 2 5 2 4 2" xfId="13322" xr:uid="{62D35579-7A42-4C37-9F3F-F8FE24A49A25}"/>
    <cellStyle name="Notas 2 4 2 5 2 5" xfId="8242" xr:uid="{347239F5-471E-4113-B960-4220993B523F}"/>
    <cellStyle name="Notas 2 4 2 5 2 5 2" xfId="13814" xr:uid="{BD289066-6BD8-48E9-A549-80C258316FC2}"/>
    <cellStyle name="Notas 2 4 2 5 2 6" xfId="9494" xr:uid="{5EAABB9C-39B0-4A95-9BA6-856C86DF7E97}"/>
    <cellStyle name="Notas 2 4 2 5 3" xfId="3638" xr:uid="{60EE006C-A8DA-42CF-A332-569B261AEF9E}"/>
    <cellStyle name="Notas 2 4 2 5 3 2" xfId="9854" xr:uid="{54878662-787A-48C3-A739-B4647374F5CA}"/>
    <cellStyle name="Notas 2 4 2 5 4" xfId="6075" xr:uid="{4CB3DA06-DD27-4687-AE55-D6C154F5ED13}"/>
    <cellStyle name="Notas 2 4 2 5 4 2" xfId="11787" xr:uid="{F6EC507C-C8C1-4135-B513-1C399D1C2E88}"/>
    <cellStyle name="Notas 2 4 2 5 5" xfId="6593" xr:uid="{81B58911-24EF-4E9F-A075-DA0CB1A0081B}"/>
    <cellStyle name="Notas 2 4 2 5 5 2" xfId="12297" xr:uid="{64F10522-F331-4357-9C50-19F8823735B2}"/>
    <cellStyle name="Notas 2 4 2 5 6" xfId="7347" xr:uid="{43DE7D61-7479-47BE-AB43-34A2FE491F52}"/>
    <cellStyle name="Notas 2 4 2 5 6 2" xfId="12919" xr:uid="{C993310E-8C06-48DA-A0BB-248C6442266D}"/>
    <cellStyle name="Notas 2 4 2 5 7" xfId="7882" xr:uid="{6CB70C8C-BB78-41AA-B58A-624E359A0BFE}"/>
    <cellStyle name="Notas 2 4 2 5 7 2" xfId="13454" xr:uid="{5A211390-401F-499A-A25B-7E9CBDAD76AA}"/>
    <cellStyle name="Notas 2 4 2 5 8" xfId="9134" xr:uid="{C23D39DD-F2D5-4775-B999-F12D1B04DBC5}"/>
    <cellStyle name="Notas 2 4 2 6" xfId="2788" xr:uid="{A670A330-3036-4B0F-86A6-BC319BC8869C}"/>
    <cellStyle name="Notas 2 4 2 6 2" xfId="3220" xr:uid="{9941907E-858E-4807-9A16-86A8270C423C}"/>
    <cellStyle name="Notas 2 4 2 6 2 2" xfId="4178" xr:uid="{57CA6CDB-D4E2-4130-A967-D2F3FF7AF95F}"/>
    <cellStyle name="Notas 2 4 2 6 2 2 2" xfId="10274" xr:uid="{DB3BAEF2-B014-454B-B154-BCD22EE03BE7}"/>
    <cellStyle name="Notas 2 4 2 6 2 3" xfId="7149" xr:uid="{0E271EE0-5FF1-44A7-B89F-C3ED60BF5BA8}"/>
    <cellStyle name="Notas 2 4 2 6 2 3 2" xfId="12737" xr:uid="{EFC435DA-8306-4938-96EB-D483523AEABE}"/>
    <cellStyle name="Notas 2 4 2 6 2 4" xfId="7810" xr:uid="{3F4C17A4-0359-49CC-B988-0040648CE7C1}"/>
    <cellStyle name="Notas 2 4 2 6 2 4 2" xfId="13382" xr:uid="{28872563-3AC9-4920-861B-F939292CC19B}"/>
    <cellStyle name="Notas 2 4 2 6 2 5" xfId="8302" xr:uid="{347F643A-5DB8-4402-A41D-BF7153AECE8D}"/>
    <cellStyle name="Notas 2 4 2 6 2 5 2" xfId="13874" xr:uid="{9F4B0BFB-CA05-4130-827E-2CCE730ED418}"/>
    <cellStyle name="Notas 2 4 2 6 2 6" xfId="9554" xr:uid="{0846153C-6C70-4A04-96A0-3DA90F677CF1}"/>
    <cellStyle name="Notas 2 4 2 6 3" xfId="3698" xr:uid="{6A12BD48-23A2-4115-9D8C-7206B614268A}"/>
    <cellStyle name="Notas 2 4 2 6 3 2" xfId="9914" xr:uid="{C7618B68-3B20-4380-91D7-7D4DE811B27E}"/>
    <cellStyle name="Notas 2 4 2 6 4" xfId="6155" xr:uid="{1EECEC3C-5E44-4E5F-A03E-6FB146291612}"/>
    <cellStyle name="Notas 2 4 2 6 4 2" xfId="11867" xr:uid="{4AFE5EF3-690E-49CB-AA43-F6456E21E6F8}"/>
    <cellStyle name="Notas 2 4 2 6 5" xfId="6665" xr:uid="{5FBEEBFF-9169-4E05-A47E-936ABBA11F18}"/>
    <cellStyle name="Notas 2 4 2 6 5 2" xfId="12369" xr:uid="{C4F60951-4886-4C23-AED8-7785C44FF534}"/>
    <cellStyle name="Notas 2 4 2 6 6" xfId="7409" xr:uid="{D5D37294-10A5-4C0D-8695-2CE562E4F5F5}"/>
    <cellStyle name="Notas 2 4 2 6 6 2" xfId="12981" xr:uid="{F472B216-3063-4E95-BE51-38E50A91DBE9}"/>
    <cellStyle name="Notas 2 4 2 6 7" xfId="7942" xr:uid="{0CB772E5-93E1-4012-8A4E-BA5CE7281733}"/>
    <cellStyle name="Notas 2 4 2 6 7 2" xfId="13514" xr:uid="{F87272B6-36A8-433C-9FE9-64C946F1EA80}"/>
    <cellStyle name="Notas 2 4 2 6 8" xfId="9194" xr:uid="{AF95069F-70DC-4689-B81D-673C3241A023}"/>
    <cellStyle name="Notas 2 4 2 7" xfId="2888" xr:uid="{8F6F8F49-E8AA-4A97-9FD9-B6457980F090}"/>
    <cellStyle name="Notas 2 4 2 7 2" xfId="3816" xr:uid="{724C1D2B-06D7-48A3-9051-194995052DD4}"/>
    <cellStyle name="Notas 2 4 2 7 2 2" xfId="9974" xr:uid="{DC5AE7C0-8345-4695-A08D-3733E7246687}"/>
    <cellStyle name="Notas 2 4 2 7 3" xfId="6787" xr:uid="{699958C6-94CD-4445-9194-EE0A744D9E6C}"/>
    <cellStyle name="Notas 2 4 2 7 3 2" xfId="12437" xr:uid="{0F019984-4CB6-4F13-8346-8210448FE61D}"/>
    <cellStyle name="Notas 2 4 2 7 4" xfId="7494" xr:uid="{97ABCF21-8878-4008-B284-513E512015A4}"/>
    <cellStyle name="Notas 2 4 2 7 4 2" xfId="13066" xr:uid="{2719DD81-80B8-4118-A035-14E8F22C1C6E}"/>
    <cellStyle name="Notas 2 4 2 7 5" xfId="8002" xr:uid="{0160B9F6-73CB-4E3D-B333-A5508ABF5E86}"/>
    <cellStyle name="Notas 2 4 2 7 5 2" xfId="13574" xr:uid="{E2B39FEE-3F4A-4A70-AB07-6E1E58A2F7E3}"/>
    <cellStyle name="Notas 2 4 2 7 6" xfId="9254" xr:uid="{EF7A8757-4974-46A7-B31E-A380DE2F2E21}"/>
    <cellStyle name="Notas 2 4 2 8" xfId="3336" xr:uid="{4DB16555-C4A8-4F70-93F5-79BE90747E76}"/>
    <cellStyle name="Notas 2 4 2 8 2" xfId="9614" xr:uid="{1AAB516C-AEE3-4081-9E07-D36811836720}"/>
    <cellStyle name="Notas 2 4 2 9" xfId="4503" xr:uid="{46AE2BD3-FD12-4217-8604-5C286B0CECE3}"/>
    <cellStyle name="Notas 2 4 2 9 2" xfId="10411" xr:uid="{0F38D07B-E689-4B61-886D-340049916ADB}"/>
    <cellStyle name="Notas 2 4 3" xfId="1522" xr:uid="{8A887BA5-1342-493D-9495-EA7FC8A8C1D6}"/>
    <cellStyle name="Notas 2 4 3 10" xfId="4614" xr:uid="{FC0052FC-F2D0-45A1-8DAB-81B0F9454BC2}"/>
    <cellStyle name="Notas 2 4 3 10 2" xfId="10478" xr:uid="{F1C82FD7-C2C9-4A27-A0E7-FB34877AECFF}"/>
    <cellStyle name="Notas 2 4 3 11" xfId="4947" xr:uid="{39E4ED5A-0196-494D-8D38-5649F4AE56D9}"/>
    <cellStyle name="Notas 2 4 3 11 2" xfId="10793" xr:uid="{02E70A00-DAD2-4928-9091-FBF37A2F2E2D}"/>
    <cellStyle name="Notas 2 4 3 12" xfId="5397" xr:uid="{D97159BF-3D1B-4D99-A8A7-C348373646EA}"/>
    <cellStyle name="Notas 2 4 3 12 2" xfId="11195" xr:uid="{9F4B8441-F45D-4CAF-9A01-4336CFE9BA0A}"/>
    <cellStyle name="Notas 2 4 3 13" xfId="5565" xr:uid="{BEC767EE-44ED-439B-AC8C-654EEB747AD7}"/>
    <cellStyle name="Notas 2 4 3 13 2" xfId="11293" xr:uid="{0F8D5A75-560F-4A5F-9CD3-62D58E554E42}"/>
    <cellStyle name="Notas 2 4 3 14" xfId="5537" xr:uid="{67F8956A-CB36-4CEE-A214-3CED65D00119}"/>
    <cellStyle name="Notas 2 4 3 14 2" xfId="11265" xr:uid="{3C7A8767-D9A1-4ECE-8E9B-FB19204DA198}"/>
    <cellStyle name="Notas 2 4 3 15" xfId="5525" xr:uid="{254CEB5D-9CCB-41E5-846C-355764FFD8EE}"/>
    <cellStyle name="Notas 2 4 3 15 2" xfId="11253" xr:uid="{62CE34B2-A916-4D24-BD88-21DFC35C0FC6}"/>
    <cellStyle name="Notas 2 4 3 16" xfId="6205" xr:uid="{D2D06E49-34C7-44F0-BE17-81D5A2BD7A61}"/>
    <cellStyle name="Notas 2 4 3 16 2" xfId="11909" xr:uid="{289B5FCD-D894-4A6F-BF75-1A2A89CF38DD}"/>
    <cellStyle name="Notas 2 4 3 17" xfId="5281" xr:uid="{14367910-F2D8-4D13-97D3-393C904C5959}"/>
    <cellStyle name="Notas 2 4 3 17 2" xfId="11125" xr:uid="{2AA7EEB3-E804-4950-BBE9-D874AFDBD773}"/>
    <cellStyle name="Notas 2 4 3 18" xfId="5985" xr:uid="{D2C12E60-25EA-484B-B794-3322C5B8371D}"/>
    <cellStyle name="Notas 2 4 3 18 2" xfId="11697" xr:uid="{11DF2BDB-880F-4DA6-93E4-EB952B2E98A7}"/>
    <cellStyle name="Notas 2 4 3 19" xfId="8417" xr:uid="{50113F56-9B6E-442F-B929-EFD84580763A}"/>
    <cellStyle name="Notas 2 4 3 19 2" xfId="13897" xr:uid="{8284FA4D-46C0-4A2C-9975-3ED957A2AD10}"/>
    <cellStyle name="Notas 2 4 3 2" xfId="2395" xr:uid="{34917495-94A6-46F1-91C0-3CEDEA63D3F4}"/>
    <cellStyle name="Notas 2 4 3 2 10" xfId="6301" xr:uid="{666B95CB-EF81-421E-A2CC-6F94E77FFEAC}"/>
    <cellStyle name="Notas 2 4 3 2 10 2" xfId="12005" xr:uid="{5159E937-7473-4C53-A20B-3A31879ECDAD}"/>
    <cellStyle name="Notas 2 4 3 2 11" xfId="6506" xr:uid="{C7E145A7-43C7-4BB6-B4F3-ED36573487FF}"/>
    <cellStyle name="Notas 2 4 3 2 11 2" xfId="12210" xr:uid="{0F4647F8-1D1C-4205-8F21-2C05AF56CA76}"/>
    <cellStyle name="Notas 2 4 3 2 12" xfId="8609" xr:uid="{F70708CA-5382-4B22-A69B-D141AE324F6C}"/>
    <cellStyle name="Notas 2 4 3 2 12 2" xfId="13997" xr:uid="{19EF9212-FD30-4DB2-88EB-85783F631102}"/>
    <cellStyle name="Notas 2 4 3 2 13" xfId="8957" xr:uid="{D67F0D0D-1F66-4341-8EF9-3F20B591A028}"/>
    <cellStyle name="Notas 2 4 3 2 2" xfId="2983" xr:uid="{4ADAF584-8B06-49A2-8B79-75DEA004F42F}"/>
    <cellStyle name="Notas 2 4 3 2 2 2" xfId="3923" xr:uid="{51854C6E-9900-41E4-96A1-17AB37D6E983}"/>
    <cellStyle name="Notas 2 4 3 2 2 2 2" xfId="10037" xr:uid="{C57B16DB-2814-4768-9425-75C6F1A8BC93}"/>
    <cellStyle name="Notas 2 4 3 2 2 3" xfId="6894" xr:uid="{7B3B5D93-592C-474F-BCB5-1B874B30EEE3}"/>
    <cellStyle name="Notas 2 4 3 2 2 3 2" xfId="12500" xr:uid="{E785D693-BF1C-48FD-B336-386FE60F7FF1}"/>
    <cellStyle name="Notas 2 4 3 2 2 4" xfId="7572" xr:uid="{D97D172E-3E3B-4792-84C2-CAD4AC5BE6CF}"/>
    <cellStyle name="Notas 2 4 3 2 2 4 2" xfId="13144" xr:uid="{FDA3642A-4A95-4123-98E5-211B1B478968}"/>
    <cellStyle name="Notas 2 4 3 2 2 5" xfId="8065" xr:uid="{ABFB33BE-63DA-4D73-8FF6-9B1C76A651CE}"/>
    <cellStyle name="Notas 2 4 3 2 2 5 2" xfId="13637" xr:uid="{E4815AF0-4681-4D43-9C34-822D7222972E}"/>
    <cellStyle name="Notas 2 4 3 2 2 6" xfId="9317" xr:uid="{7011ACAE-AF21-402C-A34A-A9251A7DB042}"/>
    <cellStyle name="Notas 2 4 3 2 3" xfId="3443" xr:uid="{7BE89FAF-3F1D-4EAD-A074-68260F1BE44F}"/>
    <cellStyle name="Notas 2 4 3 2 3 2" xfId="9677" xr:uid="{EC05C63F-DBFF-4FB6-B550-649D69C8B40A}"/>
    <cellStyle name="Notas 2 4 3 2 4" xfId="4636" xr:uid="{DE00D7B1-2138-480A-BE4E-7E1746E25FCF}"/>
    <cellStyle name="Notas 2 4 3 2 4 2" xfId="10500" xr:uid="{F52133CB-AFED-4811-ACD9-C156352D9E17}"/>
    <cellStyle name="Notas 2 4 3 2 5" xfId="4875" xr:uid="{24975169-261A-4470-BEC0-D2E379C00F96}"/>
    <cellStyle name="Notas 2 4 3 2 5 2" xfId="10721" xr:uid="{7A796F94-A465-4613-AFC8-FD0E91E860CD}"/>
    <cellStyle name="Notas 2 4 3 2 6" xfId="5031" xr:uid="{2AA3BF0B-400E-434B-BDB6-0CAEB1E9CD4F}"/>
    <cellStyle name="Notas 2 4 3 2 6 2" xfId="10877" xr:uid="{0EF61E1F-8E1D-4A40-BC96-78CC721EA343}"/>
    <cellStyle name="Notas 2 4 3 2 7" xfId="5801" xr:uid="{A972ECD9-E5D3-4E85-90CD-3671DE2E0A47}"/>
    <cellStyle name="Notas 2 4 3 2 7 2" xfId="11529" xr:uid="{12BBB088-5D3F-4ED3-BA55-9F7B05C69FE7}"/>
    <cellStyle name="Notas 2 4 3 2 8" xfId="5306" xr:uid="{2E03A67D-31F7-409E-A038-CDFECA6B3CEA}"/>
    <cellStyle name="Notas 2 4 3 2 8 2" xfId="11150" xr:uid="{6CA1693B-D242-4AD1-BE19-7C3EAC276999}"/>
    <cellStyle name="Notas 2 4 3 2 9" xfId="6338" xr:uid="{9C26AE7E-106E-40E9-B271-0EE67FF9BBA7}"/>
    <cellStyle name="Notas 2 4 3 2 9 2" xfId="12042" xr:uid="{04A02955-B7E6-42D3-A4AB-A561E10DCABD}"/>
    <cellStyle name="Notas 2 4 3 20" xfId="8857" xr:uid="{1D8481C9-25AE-4735-BA38-636E7CCCCABA}"/>
    <cellStyle name="Notas 2 4 3 21" xfId="2203" xr:uid="{B44D4ED4-69B7-4F32-BAF6-D691C0824E0A}"/>
    <cellStyle name="Notas 2 4 3 3" xfId="2501" xr:uid="{449A0436-980A-49CD-BB74-FAF69178D8D8}"/>
    <cellStyle name="Notas 2 4 3 3 10" xfId="7193" xr:uid="{4DB311A5-7B72-40C3-9766-FB479AEC499A}"/>
    <cellStyle name="Notas 2 4 3 3 10 2" xfId="12765" xr:uid="{2F00EBC4-04C5-4E88-8B30-087268050C4C}"/>
    <cellStyle name="Notas 2 4 3 3 11" xfId="6328" xr:uid="{0901AB50-BFED-466C-AD42-68D2E73CF95B}"/>
    <cellStyle name="Notas 2 4 3 3 11 2" xfId="12032" xr:uid="{4FBB5E73-C9B5-4F0A-BFAB-14428AE3ACBC}"/>
    <cellStyle name="Notas 2 4 3 3 12" xfId="8715" xr:uid="{6C3259A3-285E-4C3C-85A9-7B1D4273137C}"/>
    <cellStyle name="Notas 2 4 3 3 12 2" xfId="14071" xr:uid="{11404636-44FF-488F-8488-FCE901A311E3}"/>
    <cellStyle name="Notas 2 4 3 3 13" xfId="9031" xr:uid="{BE6BE6D4-40B4-416A-8C0B-23EC228B04F8}"/>
    <cellStyle name="Notas 2 4 3 3 2" xfId="3057" xr:uid="{140018C8-DB78-4CAC-8C88-0326E5E680FB}"/>
    <cellStyle name="Notas 2 4 3 3 2 2" xfId="3997" xr:uid="{43019023-A81E-46CE-8993-C4FC4F16602E}"/>
    <cellStyle name="Notas 2 4 3 3 2 2 2" xfId="10111" xr:uid="{8D241187-9FEB-457C-831B-BFD043A7DD1B}"/>
    <cellStyle name="Notas 2 4 3 3 2 3" xfId="6968" xr:uid="{971D6290-2AF1-43F8-872A-F84B62EA95F4}"/>
    <cellStyle name="Notas 2 4 3 3 2 3 2" xfId="12574" xr:uid="{F4C0905F-52D5-4707-A36E-C602EF9F2422}"/>
    <cellStyle name="Notas 2 4 3 3 2 4" xfId="7646" xr:uid="{B43BCDC2-BE3B-4917-AE49-374DC1B4B14B}"/>
    <cellStyle name="Notas 2 4 3 3 2 4 2" xfId="13218" xr:uid="{05C3EC88-A6F8-4988-AF73-D56A1A98C0F7}"/>
    <cellStyle name="Notas 2 4 3 3 2 5" xfId="8139" xr:uid="{C55EC524-A31C-4FAA-9DE8-47C2F1D7DAD4}"/>
    <cellStyle name="Notas 2 4 3 3 2 5 2" xfId="13711" xr:uid="{D6BF8FAB-59BD-46EB-9F44-910ECEA16692}"/>
    <cellStyle name="Notas 2 4 3 3 2 6" xfId="9391" xr:uid="{C75D6B22-5D07-461B-A6DA-EB30FCD694C8}"/>
    <cellStyle name="Notas 2 4 3 3 3" xfId="3517" xr:uid="{C02FCAA0-F02B-42A2-B851-A0648DF93F24}"/>
    <cellStyle name="Notas 2 4 3 3 3 2" xfId="9751" xr:uid="{2AB62555-8220-4F17-A85D-BC623CF28A36}"/>
    <cellStyle name="Notas 2 4 3 3 4" xfId="4714" xr:uid="{D62AE0E9-08F5-4D4C-A67A-3C79540B45DD}"/>
    <cellStyle name="Notas 2 4 3 3 4 2" xfId="10578" xr:uid="{D7CA73BB-8C97-4C7E-AF8E-6D08BC9134DF}"/>
    <cellStyle name="Notas 2 4 3 3 5" xfId="4957" xr:uid="{CB771BF4-710D-4DBA-B971-43C78DEF6D0C}"/>
    <cellStyle name="Notas 2 4 3 3 5 2" xfId="10803" xr:uid="{95E3C864-E1E4-41F6-A664-1B799A8D0C29}"/>
    <cellStyle name="Notas 2 4 3 3 6" xfId="5105" xr:uid="{BD8B4311-A477-46E0-A689-210A18A2A5E0}"/>
    <cellStyle name="Notas 2 4 3 3 6 2" xfId="10951" xr:uid="{B21DA683-9F33-40DA-ABB1-872024A64179}"/>
    <cellStyle name="Notas 2 4 3 3 7" xfId="5896" xr:uid="{57318A81-A774-4389-B8A4-2657E82FDD53}"/>
    <cellStyle name="Notas 2 4 3 3 7 2" xfId="11624" xr:uid="{2B5332EC-BC48-4F6F-A96B-9F17C3128FEA}"/>
    <cellStyle name="Notas 2 4 3 3 8" xfId="6226" xr:uid="{9063E265-2A2F-43D1-9BA1-959E35CCE490}"/>
    <cellStyle name="Notas 2 4 3 3 8 2" xfId="11930" xr:uid="{6969545B-7E76-43E9-9FAD-05E4E440DD20}"/>
    <cellStyle name="Notas 2 4 3 3 9" xfId="6428" xr:uid="{2316968F-6E4F-4FD5-92F8-538751EAD864}"/>
    <cellStyle name="Notas 2 4 3 3 9 2" xfId="12132" xr:uid="{78122E53-DAA5-462F-9BC2-DC4216660C6B}"/>
    <cellStyle name="Notas 2 4 3 4" xfId="2266" xr:uid="{823CDBA7-DCA4-461B-8B11-678493F312E4}"/>
    <cellStyle name="Notas 2 4 3 4 10" xfId="6210" xr:uid="{5927C6F7-DEC0-4F2C-B646-E7E485FD1BAE}"/>
    <cellStyle name="Notas 2 4 3 4 10 2" xfId="11914" xr:uid="{F7170E67-2413-4190-B351-31F28B9C8C91}"/>
    <cellStyle name="Notas 2 4 3 4 11" xfId="7262" xr:uid="{E2BA8D01-0855-4AFC-BD34-47087B27DDA6}"/>
    <cellStyle name="Notas 2 4 3 4 11 2" xfId="12834" xr:uid="{47C35517-5993-44C9-8BE3-39C182FD0046}"/>
    <cellStyle name="Notas 2 4 3 4 12" xfId="8480" xr:uid="{7E87D41C-910B-42B4-A364-0A8D254600C3}"/>
    <cellStyle name="Notas 2 4 3 4 12 2" xfId="13960" xr:uid="{4AC592C9-EF32-416D-8FB4-734EE503FAB8}"/>
    <cellStyle name="Notas 2 4 3 4 13" xfId="8920" xr:uid="{CD45CBC7-C06D-4A22-B6E9-60ED9B4184DB}"/>
    <cellStyle name="Notas 2 4 3 4 2" xfId="2946" xr:uid="{8A4D6CB9-D50D-473C-B285-D6269AADBF12}"/>
    <cellStyle name="Notas 2 4 3 4 2 2" xfId="3886" xr:uid="{C7DFA1B7-7D29-4F8D-A956-3C13674F21EE}"/>
    <cellStyle name="Notas 2 4 3 4 2 2 2" xfId="10000" xr:uid="{9A565461-C172-466A-915A-1F968F4E6031}"/>
    <cellStyle name="Notas 2 4 3 4 2 3" xfId="6857" xr:uid="{3103D549-70D5-4382-AF7E-E569E0964030}"/>
    <cellStyle name="Notas 2 4 3 4 2 3 2" xfId="12463" xr:uid="{2ADEF360-F55E-4DCF-AB48-E946F347B924}"/>
    <cellStyle name="Notas 2 4 3 4 2 4" xfId="7535" xr:uid="{3110D650-F403-4465-8C51-435A87E55859}"/>
    <cellStyle name="Notas 2 4 3 4 2 4 2" xfId="13107" xr:uid="{D78C9816-077E-4E98-8910-3175BD7C1220}"/>
    <cellStyle name="Notas 2 4 3 4 2 5" xfId="8028" xr:uid="{967E5957-3B03-4CB5-8FCA-144A2D4482A3}"/>
    <cellStyle name="Notas 2 4 3 4 2 5 2" xfId="13600" xr:uid="{65195454-F8EE-4CBE-99DE-5F48753D19C9}"/>
    <cellStyle name="Notas 2 4 3 4 2 6" xfId="9280" xr:uid="{9D9C00F3-B965-4C1D-B421-F3057076C0FA}"/>
    <cellStyle name="Notas 2 4 3 4 3" xfId="3406" xr:uid="{09A084B0-4564-4757-9493-02D12B8D672A}"/>
    <cellStyle name="Notas 2 4 3 4 3 2" xfId="9640" xr:uid="{C2DF4648-3F94-4863-B9B6-1B87787BB667}"/>
    <cellStyle name="Notas 2 4 3 4 4" xfId="4573" xr:uid="{D783ECA8-A98C-4A99-9922-B2F72685F0C5}"/>
    <cellStyle name="Notas 2 4 3 4 4 2" xfId="10437" xr:uid="{6637F656-5B1A-4D7D-B8CA-E2A78511339D}"/>
    <cellStyle name="Notas 2 4 3 4 5" xfId="4818" xr:uid="{92226EEC-17C3-4B66-9635-D606578C9BEF}"/>
    <cellStyle name="Notas 2 4 3 4 5 2" xfId="10664" xr:uid="{ED2C741E-05F6-476E-8CFC-FEA6C685DA39}"/>
    <cellStyle name="Notas 2 4 3 4 6" xfId="4810" xr:uid="{23FD6BFB-9552-45CC-917D-993850AB0E3D}"/>
    <cellStyle name="Notas 2 4 3 4 6 2" xfId="10656" xr:uid="{A8E81492-9FCE-4BC5-A8C9-A89A30544760}"/>
    <cellStyle name="Notas 2 4 3 4 7" xfId="5704" xr:uid="{8A8B4006-BB86-4058-9D07-7DC5E2614F47}"/>
    <cellStyle name="Notas 2 4 3 4 7 2" xfId="11432" xr:uid="{A84B339C-4FB2-49FD-BABC-6AEC7CFCFB4E}"/>
    <cellStyle name="Notas 2 4 3 4 8" xfId="5677" xr:uid="{1E3670B8-072D-44A5-87DF-6ADB6852A8BA}"/>
    <cellStyle name="Notas 2 4 3 4 8 2" xfId="11405" xr:uid="{1D25E19F-D93D-4A9B-A074-4EF776C144F5}"/>
    <cellStyle name="Notas 2 4 3 4 9" xfId="5637" xr:uid="{C1A4BBF4-3DA2-4CA1-9AE3-4ED6B6BEB5A2}"/>
    <cellStyle name="Notas 2 4 3 4 9 2" xfId="11365" xr:uid="{8FA44FCA-3CF5-4517-BC6F-7367F4A08575}"/>
    <cellStyle name="Notas 2 4 3 5" xfId="2659" xr:uid="{1AFCBD47-5739-42A9-8FF1-0FBEF76EB7F1}"/>
    <cellStyle name="Notas 2 4 3 5 2" xfId="3123" xr:uid="{660487A5-CFB0-4FBB-861C-25A22B0E1711}"/>
    <cellStyle name="Notas 2 4 3 5 2 2" xfId="4081" xr:uid="{9A8CEA61-8FA3-4D76-9007-E09ACDB0C65F}"/>
    <cellStyle name="Notas 2 4 3 5 2 2 2" xfId="10177" xr:uid="{44187260-EE91-4ADF-8E1C-DD96CE7548D4}"/>
    <cellStyle name="Notas 2 4 3 5 2 3" xfId="7052" xr:uid="{19FBC404-EDAD-48A7-BAAB-73668131F542}"/>
    <cellStyle name="Notas 2 4 3 5 2 3 2" xfId="12640" xr:uid="{5907AA48-7BD5-42AC-A0D4-EFF3C6ABAD2C}"/>
    <cellStyle name="Notas 2 4 3 5 2 4" xfId="7713" xr:uid="{AFF68DA5-8D55-495F-95DB-5B6235FC5C45}"/>
    <cellStyle name="Notas 2 4 3 5 2 4 2" xfId="13285" xr:uid="{C6C439A8-DB05-4FAE-9DB8-5B87293F369D}"/>
    <cellStyle name="Notas 2 4 3 5 2 5" xfId="8205" xr:uid="{837C32BC-41E6-40B7-AA74-CF40400237B9}"/>
    <cellStyle name="Notas 2 4 3 5 2 5 2" xfId="13777" xr:uid="{D8BEA036-9D09-4993-972C-BC6045320ECD}"/>
    <cellStyle name="Notas 2 4 3 5 2 6" xfId="9457" xr:uid="{E6D0EFE8-02E6-47ED-BCF0-BD944750C4E9}"/>
    <cellStyle name="Notas 2 4 3 5 3" xfId="3601" xr:uid="{45D18976-6A78-4BA6-9B6F-AD00AED88D22}"/>
    <cellStyle name="Notas 2 4 3 5 3 2" xfId="9817" xr:uid="{DA38409B-2568-4E20-9D78-D9763A3BD92A}"/>
    <cellStyle name="Notas 2 4 3 5 4" xfId="6038" xr:uid="{9EF8B386-A827-4856-9A4E-35DC7C1C89E5}"/>
    <cellStyle name="Notas 2 4 3 5 4 2" xfId="11750" xr:uid="{138163A2-F96E-4008-ABCA-B9EBD784C004}"/>
    <cellStyle name="Notas 2 4 3 5 5" xfId="6556" xr:uid="{88C1FA1E-F955-4369-9549-067A6FA852AF}"/>
    <cellStyle name="Notas 2 4 3 5 5 2" xfId="12260" xr:uid="{3EEF4AC7-7903-4FA0-85A2-4622FEA33753}"/>
    <cellStyle name="Notas 2 4 3 5 6" xfId="7310" xr:uid="{0163CE2D-7030-41AF-ABD5-87E8D271778C}"/>
    <cellStyle name="Notas 2 4 3 5 6 2" xfId="12882" xr:uid="{829C1204-5713-483E-B7FD-0DC039667050}"/>
    <cellStyle name="Notas 2 4 3 5 7" xfId="7845" xr:uid="{65C93AB4-CB89-4E74-B417-3064ECFD6C1B}"/>
    <cellStyle name="Notas 2 4 3 5 7 2" xfId="13417" xr:uid="{95CED797-C9DF-487B-9BF1-6419FB4E2BEA}"/>
    <cellStyle name="Notas 2 4 3 5 8" xfId="9097" xr:uid="{F7A87E2F-1D44-4609-8E31-76E7E008453A}"/>
    <cellStyle name="Notas 2 4 3 6" xfId="2751" xr:uid="{EF22427E-1C90-47D8-8214-F4E5B4F46DBA}"/>
    <cellStyle name="Notas 2 4 3 6 2" xfId="3183" xr:uid="{F877F0F4-2109-4FE7-A930-B01C69D7E96F}"/>
    <cellStyle name="Notas 2 4 3 6 2 2" xfId="4141" xr:uid="{FBB9D251-DEF7-4826-AFBB-0014920A6D96}"/>
    <cellStyle name="Notas 2 4 3 6 2 2 2" xfId="10237" xr:uid="{D0AFF400-8183-4F9A-9E42-1850A332F4C0}"/>
    <cellStyle name="Notas 2 4 3 6 2 3" xfId="7112" xr:uid="{1390D102-9FAE-4D83-AE8D-508546A050DC}"/>
    <cellStyle name="Notas 2 4 3 6 2 3 2" xfId="12700" xr:uid="{E1606040-F6D9-44A3-9955-85FE1311B924}"/>
    <cellStyle name="Notas 2 4 3 6 2 4" xfId="7773" xr:uid="{F52EBC01-EB6B-4386-A2AE-2307DF565664}"/>
    <cellStyle name="Notas 2 4 3 6 2 4 2" xfId="13345" xr:uid="{11B8A6FA-4E4D-4782-95A8-32110F0D9B31}"/>
    <cellStyle name="Notas 2 4 3 6 2 5" xfId="8265" xr:uid="{FF30ABAD-EA42-40D3-8B3E-41302139E9E9}"/>
    <cellStyle name="Notas 2 4 3 6 2 5 2" xfId="13837" xr:uid="{507A444B-CC10-4B38-AE89-8EBA8BF1C562}"/>
    <cellStyle name="Notas 2 4 3 6 2 6" xfId="9517" xr:uid="{66F6C207-CA08-410A-A766-A922AAC274FB}"/>
    <cellStyle name="Notas 2 4 3 6 3" xfId="3661" xr:uid="{05B0152F-CAC8-4BD2-8989-5CFF516094F0}"/>
    <cellStyle name="Notas 2 4 3 6 3 2" xfId="9877" xr:uid="{BB5CE176-3027-41DB-B9B7-4AB486429CE4}"/>
    <cellStyle name="Notas 2 4 3 6 4" xfId="6118" xr:uid="{119FEBF8-2037-40F6-A796-B56F5A5E6F21}"/>
    <cellStyle name="Notas 2 4 3 6 4 2" xfId="11830" xr:uid="{F86D2376-B134-47A6-A934-184D1F2F843B}"/>
    <cellStyle name="Notas 2 4 3 6 5" xfId="6628" xr:uid="{59EB4DF3-6805-4DE8-8FA6-BEE35A7403BB}"/>
    <cellStyle name="Notas 2 4 3 6 5 2" xfId="12332" xr:uid="{D68A33A7-998A-456D-B09D-40B673DA4855}"/>
    <cellStyle name="Notas 2 4 3 6 6" xfId="7372" xr:uid="{12BFBA12-A586-49BA-8927-FC3EB93B230F}"/>
    <cellStyle name="Notas 2 4 3 6 6 2" xfId="12944" xr:uid="{1AF01A7E-F83F-4740-B062-5D7159480697}"/>
    <cellStyle name="Notas 2 4 3 6 7" xfId="7905" xr:uid="{12CE35C3-A0A9-4584-8323-BD4D14BF2CEC}"/>
    <cellStyle name="Notas 2 4 3 6 7 2" xfId="13477" xr:uid="{03742840-5FDE-45DC-94EC-386DCC3BAB7B}"/>
    <cellStyle name="Notas 2 4 3 6 8" xfId="9157" xr:uid="{946918B5-5FCE-45FF-9247-973721CADBD0}"/>
    <cellStyle name="Notas 2 4 3 7" xfId="2851" xr:uid="{6E07426E-9EE5-4D0A-9B1E-B8153A54A43A}"/>
    <cellStyle name="Notas 2 4 3 7 2" xfId="3775" xr:uid="{B99D86D3-2012-4858-BA1E-78F4221B10CB}"/>
    <cellStyle name="Notas 2 4 3 7 2 2" xfId="9937" xr:uid="{5B7CBC92-ECB8-4489-A05B-181214DD7359}"/>
    <cellStyle name="Notas 2 4 3 7 3" xfId="6746" xr:uid="{4F1A5B11-AA5B-406B-B391-14DC7EDB437F}"/>
    <cellStyle name="Notas 2 4 3 7 3 2" xfId="12400" xr:uid="{668BC898-4A4A-4BF8-9EA3-72307F813B92}"/>
    <cellStyle name="Notas 2 4 3 7 4" xfId="7456" xr:uid="{96793982-799A-4472-AE5D-F226A2AB139A}"/>
    <cellStyle name="Notas 2 4 3 7 4 2" xfId="13028" xr:uid="{2AA58076-10C6-4C8D-A341-544E0E6CB137}"/>
    <cellStyle name="Notas 2 4 3 7 5" xfId="7965" xr:uid="{6479B905-46AD-42DA-A3B6-0ABF2973521C}"/>
    <cellStyle name="Notas 2 4 3 7 5 2" xfId="13537" xr:uid="{FF180F86-1D0C-4638-9FCE-2136D2047FFE}"/>
    <cellStyle name="Notas 2 4 3 7 6" xfId="9217" xr:uid="{530DBB5A-6B3F-4935-9E62-82BABB818EED}"/>
    <cellStyle name="Notas 2 4 3 8" xfId="3295" xr:uid="{9585ECA5-52B5-4666-9552-44BDCBF86148}"/>
    <cellStyle name="Notas 2 4 3 8 2" xfId="9577" xr:uid="{B420D411-424A-4C5A-9647-1D79569B70F1}"/>
    <cellStyle name="Notas 2 4 3 9" xfId="4462" xr:uid="{964CE9DB-C426-4A8A-9F11-F0003F3E840C}"/>
    <cellStyle name="Notas 2 4 3 9 2" xfId="10374" xr:uid="{5FE12AE9-81E0-418F-8686-2467887560BD}"/>
    <cellStyle name="Notas 2 4 4" xfId="1540" xr:uid="{6A48EEDD-8DCD-4B63-9C68-1A8A68C3F8E1}"/>
    <cellStyle name="Notas 2 4 4 2" xfId="2120" xr:uid="{7DC2E676-EA73-4065-AD5F-D4A2600D574A}"/>
    <cellStyle name="Notas 2 4 5" xfId="8841" xr:uid="{A7FB15B1-09E0-4E5D-B3EB-C2D4B84A9355}"/>
    <cellStyle name="Notas 2 4 6" xfId="1853" xr:uid="{8A497862-026B-48D6-9D21-4A7F54416B58}"/>
    <cellStyle name="Notas 2 5" xfId="1440" xr:uid="{45185101-09C5-43AE-BD49-6D4CC01D3CE6}"/>
    <cellStyle name="Notas 2 5 10" xfId="4611" xr:uid="{C110BF68-A27F-4C71-97B7-6609A5D2A4EA}"/>
    <cellStyle name="Notas 2 5 10 2" xfId="10475" xr:uid="{DA33C9C6-B039-42B7-991B-0EFC759D0D84}"/>
    <cellStyle name="Notas 2 5 11" xfId="4811" xr:uid="{C64FFA0F-2013-4C5B-83C9-4A1A53B5B9EB}"/>
    <cellStyle name="Notas 2 5 11 2" xfId="10657" xr:uid="{FB3F953F-DA13-44F6-9D01-420A4D2193AB}"/>
    <cellStyle name="Notas 2 5 12" xfId="5409" xr:uid="{4BEF0E03-15E5-4EB4-811A-4F25B21EBB00}"/>
    <cellStyle name="Notas 2 5 12 2" xfId="11207" xr:uid="{4F8C8947-4D68-4B4D-BE0A-23007CFDDB9D}"/>
    <cellStyle name="Notas 2 5 13" xfId="5577" xr:uid="{5E831A6F-25FF-490E-9A4A-15D691EB3648}"/>
    <cellStyle name="Notas 2 5 13 2" xfId="11305" xr:uid="{7B7F9B01-CCC1-4D55-AD2A-33DAFB7FDEA6}"/>
    <cellStyle name="Notas 2 5 14" xfId="5252" xr:uid="{A7570791-E20E-4CD2-8FB1-E50343BA8303}"/>
    <cellStyle name="Notas 2 5 14 2" xfId="11098" xr:uid="{DDC390D6-164F-4792-8811-30EBD994E84D}"/>
    <cellStyle name="Notas 2 5 15" xfId="5752" xr:uid="{4C43E6CC-8956-4EF3-A374-CD5A7507CAF5}"/>
    <cellStyle name="Notas 2 5 15 2" xfId="11480" xr:uid="{7DC98B09-49E0-475B-B2C3-F15CD6BFE594}"/>
    <cellStyle name="Notas 2 5 16" xfId="5632" xr:uid="{2E5ABF8F-F53A-4489-A6A0-9410A7D012B0}"/>
    <cellStyle name="Notas 2 5 16 2" xfId="11360" xr:uid="{8892D90E-3F44-4062-B1EF-EE065679E557}"/>
    <cellStyle name="Notas 2 5 17" xfId="5287" xr:uid="{84192855-8E27-4136-8213-3999E728ED8C}"/>
    <cellStyle name="Notas 2 5 17 2" xfId="11131" xr:uid="{5BBF88F4-536B-4FB2-959B-099E51CC0BE2}"/>
    <cellStyle name="Notas 2 5 18" xfId="5651" xr:uid="{8A09B3C4-78D3-4E72-9758-CB2F3A5ADE22}"/>
    <cellStyle name="Notas 2 5 18 2" xfId="11379" xr:uid="{A24E86CB-2CA2-461D-B5D0-5B4B2409548E}"/>
    <cellStyle name="Notas 2 5 19" xfId="8429" xr:uid="{723D7659-5304-427A-8487-F1E2578A106B}"/>
    <cellStyle name="Notas 2 5 19 2" xfId="13909" xr:uid="{A77E1CB0-984F-4AF2-B68B-35470E7DF8B6}"/>
    <cellStyle name="Notas 2 5 2" xfId="1553" xr:uid="{E74BA7E0-A314-4ECF-A46D-0DB789042DB5}"/>
    <cellStyle name="Notas 2 5 2 10" xfId="6028" xr:uid="{88F5C5D1-60A7-4B1E-B0A1-7AD910D46981}"/>
    <cellStyle name="Notas 2 5 2 10 2" xfId="11740" xr:uid="{73BA9E99-35CB-436D-A9AC-345EF3C57D73}"/>
    <cellStyle name="Notas 2 5 2 11" xfId="5278" xr:uid="{7C893781-2667-43E1-83FC-07D251877C80}"/>
    <cellStyle name="Notas 2 5 2 11 2" xfId="11122" xr:uid="{A52F5385-DEB4-4253-9BC2-D14E6BBE466F}"/>
    <cellStyle name="Notas 2 5 2 12" xfId="8621" xr:uid="{D391881B-422F-4F81-BD1E-F078F48C6144}"/>
    <cellStyle name="Notas 2 5 2 12 2" xfId="14009" xr:uid="{98492862-A397-432A-A9A2-480A8F4BC1BF}"/>
    <cellStyle name="Notas 2 5 2 13" xfId="8969" xr:uid="{332BDEC5-F663-44AC-AEF6-F67513F68A10}"/>
    <cellStyle name="Notas 2 5 2 14" xfId="2407" xr:uid="{4BF788F6-DADF-4C1E-8832-21B9F29FCA93}"/>
    <cellStyle name="Notas 2 5 2 2" xfId="2995" xr:uid="{4F5E1C7B-935F-4289-8DBD-066FEEBB020E}"/>
    <cellStyle name="Notas 2 5 2 2 2" xfId="3935" xr:uid="{3CDAE8E4-E7F6-43B3-B099-6B708FE95DC1}"/>
    <cellStyle name="Notas 2 5 2 2 2 2" xfId="10049" xr:uid="{C219DEC0-D5AB-4687-8EC9-69F433FA4962}"/>
    <cellStyle name="Notas 2 5 2 2 3" xfId="6906" xr:uid="{45FA3AB9-A605-49E6-A452-DDBB3AD7DB4A}"/>
    <cellStyle name="Notas 2 5 2 2 3 2" xfId="12512" xr:uid="{53E11956-C254-412C-B2E4-1062259F96CC}"/>
    <cellStyle name="Notas 2 5 2 2 4" xfId="7584" xr:uid="{2C2709C0-2DBB-4077-BCC0-56E7E1049575}"/>
    <cellStyle name="Notas 2 5 2 2 4 2" xfId="13156" xr:uid="{0CD93E58-DBBD-495F-97EE-B2C5320DD06B}"/>
    <cellStyle name="Notas 2 5 2 2 5" xfId="8077" xr:uid="{507CB4A2-DF7D-4FF5-8B80-59932502F3E3}"/>
    <cellStyle name="Notas 2 5 2 2 5 2" xfId="13649" xr:uid="{BE0B4F55-77E9-4A81-B668-0B24D92B7A2A}"/>
    <cellStyle name="Notas 2 5 2 2 6" xfId="9329" xr:uid="{3C609BB8-98D0-4936-A777-64C74BBCA363}"/>
    <cellStyle name="Notas 2 5 2 3" xfId="3455" xr:uid="{EA5997A0-5D40-42A4-B50D-0BA389DFEB05}"/>
    <cellStyle name="Notas 2 5 2 3 2" xfId="9689" xr:uid="{BE3720E6-F786-4890-8C74-EA7DECDEE018}"/>
    <cellStyle name="Notas 2 5 2 4" xfId="4648" xr:uid="{55A6E9F7-3835-43A1-81A7-38F9B1C04E8C}"/>
    <cellStyle name="Notas 2 5 2 4 2" xfId="10512" xr:uid="{A37155C9-D338-477E-8E61-4F0571C712FE}"/>
    <cellStyle name="Notas 2 5 2 5" xfId="4887" xr:uid="{C5C21614-3083-4D29-9692-E4346B7C070F}"/>
    <cellStyle name="Notas 2 5 2 5 2" xfId="10733" xr:uid="{567A75DD-6D31-42E3-BEF7-87FF3D339665}"/>
    <cellStyle name="Notas 2 5 2 6" xfId="5043" xr:uid="{312B1F4D-3315-4189-A742-E8FFB75B3A19}"/>
    <cellStyle name="Notas 2 5 2 6 2" xfId="10889" xr:uid="{9C9BD58D-C20F-46C7-8FB6-DD58C75838FA}"/>
    <cellStyle name="Notas 2 5 2 7" xfId="5813" xr:uid="{05175BE6-BF58-4068-93FB-F2571F251359}"/>
    <cellStyle name="Notas 2 5 2 7 2" xfId="11541" xr:uid="{7C7B5094-46D9-4A90-A88F-4D3FCAC2702D}"/>
    <cellStyle name="Notas 2 5 2 8" xfId="5226" xr:uid="{E3B9D993-76AB-44DC-A798-D1E7283329C4}"/>
    <cellStyle name="Notas 2 5 2 8 2" xfId="11072" xr:uid="{97D4318A-C414-418F-8794-0DFFD47F0BCB}"/>
    <cellStyle name="Notas 2 5 2 9" xfId="6350" xr:uid="{5721CD23-EA42-4FA2-9289-B0C547DD63B2}"/>
    <cellStyle name="Notas 2 5 2 9 2" xfId="12054" xr:uid="{9E3BAACE-283F-4A5F-8CD3-1A24BD2D7F39}"/>
    <cellStyle name="Notas 2 5 20" xfId="8869" xr:uid="{DF8E3ECE-1E18-4CD9-820C-8EF31DDD7696}"/>
    <cellStyle name="Notas 2 5 21" xfId="2215" xr:uid="{72918C8D-A5A2-4CC4-9032-1113D32B4514}"/>
    <cellStyle name="Notas 2 5 3" xfId="1606" xr:uid="{4299728D-54A0-4746-AC14-CB66BA8E4211}"/>
    <cellStyle name="Notas 2 5 3 10" xfId="7205" xr:uid="{FDFA0C83-A2FC-4DC3-8BDA-417EFC9653BA}"/>
    <cellStyle name="Notas 2 5 3 10 2" xfId="12777" xr:uid="{5F05A3D5-6CA9-4390-9D28-EA77CF9F72B1}"/>
    <cellStyle name="Notas 2 5 3 11" xfId="6552" xr:uid="{574FB003-68BE-47DA-98C3-A515B686BDBE}"/>
    <cellStyle name="Notas 2 5 3 11 2" xfId="12256" xr:uid="{DB6A1931-5AE0-4E92-93E4-11934FF76355}"/>
    <cellStyle name="Notas 2 5 3 12" xfId="8727" xr:uid="{0E8FC68E-0694-431B-AD76-005BC65B9427}"/>
    <cellStyle name="Notas 2 5 3 12 2" xfId="14083" xr:uid="{F81585AB-E343-4187-8443-D941038C2DDD}"/>
    <cellStyle name="Notas 2 5 3 13" xfId="9043" xr:uid="{F889D967-65DA-4CC0-986C-4E8CBF94E229}"/>
    <cellStyle name="Notas 2 5 3 14" xfId="2513" xr:uid="{9281DF59-B4A7-4495-9D11-27B8F21FE929}"/>
    <cellStyle name="Notas 2 5 3 2" xfId="3069" xr:uid="{9916CC7C-B634-4309-8439-8A4145295258}"/>
    <cellStyle name="Notas 2 5 3 2 2" xfId="4009" xr:uid="{0A5021B6-3B80-4053-A305-84EC7A06A4A6}"/>
    <cellStyle name="Notas 2 5 3 2 2 2" xfId="10123" xr:uid="{4611C91D-A0A8-4E28-8669-F3483BA76C24}"/>
    <cellStyle name="Notas 2 5 3 2 3" xfId="6980" xr:uid="{C0B9C066-B06F-4966-B411-85B0002D2160}"/>
    <cellStyle name="Notas 2 5 3 2 3 2" xfId="12586" xr:uid="{6397B732-95F9-44DF-9E75-29FF510C8266}"/>
    <cellStyle name="Notas 2 5 3 2 4" xfId="7658" xr:uid="{BDC0A4D7-B61D-400D-8A3A-72E4BF563D8F}"/>
    <cellStyle name="Notas 2 5 3 2 4 2" xfId="13230" xr:uid="{107F7FBD-14E9-4F81-811F-375796227EBD}"/>
    <cellStyle name="Notas 2 5 3 2 5" xfId="8151" xr:uid="{C11569E2-E350-4957-95CB-C566326485A0}"/>
    <cellStyle name="Notas 2 5 3 2 5 2" xfId="13723" xr:uid="{8362A52F-EC54-49FB-8DF3-B8EFBEAC5AC3}"/>
    <cellStyle name="Notas 2 5 3 2 6" xfId="9403" xr:uid="{78D669BC-1949-4F7F-A3EE-698E5C249F34}"/>
    <cellStyle name="Notas 2 5 3 3" xfId="3529" xr:uid="{42FD5B5D-5CA7-4DD5-BA86-2995A2F0F6B7}"/>
    <cellStyle name="Notas 2 5 3 3 2" xfId="9763" xr:uid="{34A0C10B-400F-4567-8C9C-22E8741E0D9B}"/>
    <cellStyle name="Notas 2 5 3 4" xfId="4726" xr:uid="{86D3173F-9A17-493E-94F2-2DDBC338B0A6}"/>
    <cellStyle name="Notas 2 5 3 4 2" xfId="10590" xr:uid="{9A810074-0E9A-4129-A3B5-4BDB7D35F86C}"/>
    <cellStyle name="Notas 2 5 3 5" xfId="4969" xr:uid="{D1FF11D6-9AA1-4434-8D05-C74F9E85D23E}"/>
    <cellStyle name="Notas 2 5 3 5 2" xfId="10815" xr:uid="{498E676B-7DF9-4C51-9F77-EC122E3D0E30}"/>
    <cellStyle name="Notas 2 5 3 6" xfId="5117" xr:uid="{5FE1336E-7F1A-4C26-B56A-217DFF9ECC7F}"/>
    <cellStyle name="Notas 2 5 3 6 2" xfId="10963" xr:uid="{0FC438D6-1F52-4F54-B7C4-A58E70C88674}"/>
    <cellStyle name="Notas 2 5 3 7" xfId="5908" xr:uid="{13A69519-1238-42F3-853F-D44D525464EB}"/>
    <cellStyle name="Notas 2 5 3 7 2" xfId="11636" xr:uid="{B0C44217-7619-45FC-9D05-6592B3673E3C}"/>
    <cellStyle name="Notas 2 5 3 8" xfId="6238" xr:uid="{80B55041-0B1C-4E27-971C-0D4371D87F75}"/>
    <cellStyle name="Notas 2 5 3 8 2" xfId="11942" xr:uid="{550D8658-E736-4282-BFA6-17EA54AC80D9}"/>
    <cellStyle name="Notas 2 5 3 9" xfId="6440" xr:uid="{D138396C-AA7D-49CC-89FE-1EBA058590C4}"/>
    <cellStyle name="Notas 2 5 3 9 2" xfId="12144" xr:uid="{D8726AEC-D4B0-493D-8779-8F7660B6BD9F}"/>
    <cellStyle name="Notas 2 5 4" xfId="2495" xr:uid="{618024F9-B97F-49EA-AB95-52B7DAB1015F}"/>
    <cellStyle name="Notas 2 5 4 10" xfId="7187" xr:uid="{CBBD54F6-5BE6-410F-8AD7-0A1FF99A49F6}"/>
    <cellStyle name="Notas 2 5 4 10 2" xfId="12759" xr:uid="{2E57D65A-169B-4B0A-9FAE-557724536EB1}"/>
    <cellStyle name="Notas 2 5 4 11" xfId="5783" xr:uid="{D9BAA1B8-5F86-4504-805E-A99367ABBDE6}"/>
    <cellStyle name="Notas 2 5 4 11 2" xfId="11511" xr:uid="{4545E393-6E26-4FCF-A2AC-B0D92C35038A}"/>
    <cellStyle name="Notas 2 5 4 12" xfId="8709" xr:uid="{F48D6F46-8FB2-4213-B9BA-7D4AE9FE56AA}"/>
    <cellStyle name="Notas 2 5 4 12 2" xfId="14065" xr:uid="{29E4EE41-E90A-4725-A3CB-45E8D1E06B3E}"/>
    <cellStyle name="Notas 2 5 4 13" xfId="9025" xr:uid="{62D3E303-5C77-4A61-A82E-C5DFB0EF6BFE}"/>
    <cellStyle name="Notas 2 5 4 2" xfId="3051" xr:uid="{8B17EF5C-3CF0-4B0D-A7FA-CB00EEE14F2A}"/>
    <cellStyle name="Notas 2 5 4 2 2" xfId="3991" xr:uid="{10501C3D-B3A7-4498-8D00-67708446AC22}"/>
    <cellStyle name="Notas 2 5 4 2 2 2" xfId="10105" xr:uid="{A46D9647-FC22-4A59-977A-1D2540759CEE}"/>
    <cellStyle name="Notas 2 5 4 2 3" xfId="6962" xr:uid="{F4BF1BE4-71BB-487B-BF55-E4C6DAE397C6}"/>
    <cellStyle name="Notas 2 5 4 2 3 2" xfId="12568" xr:uid="{19792A7F-0E9C-4117-8BD3-AB03478AF706}"/>
    <cellStyle name="Notas 2 5 4 2 4" xfId="7640" xr:uid="{B7E3CCC6-297C-4BEF-82B5-E5FAEFF7821E}"/>
    <cellStyle name="Notas 2 5 4 2 4 2" xfId="13212" xr:uid="{6BFA501A-0C68-4E46-A613-43AABC4FA7C5}"/>
    <cellStyle name="Notas 2 5 4 2 5" xfId="8133" xr:uid="{FE1299F4-73EB-4DD2-BFB6-F5A970513F97}"/>
    <cellStyle name="Notas 2 5 4 2 5 2" xfId="13705" xr:uid="{5097EBE4-9A2D-4219-8B50-A4E973818578}"/>
    <cellStyle name="Notas 2 5 4 2 6" xfId="9385" xr:uid="{8682B26B-CAC3-4FFA-A554-096CDC03BCFD}"/>
    <cellStyle name="Notas 2 5 4 3" xfId="3511" xr:uid="{435DB171-1482-44C5-9429-B61DCA8E8506}"/>
    <cellStyle name="Notas 2 5 4 3 2" xfId="9745" xr:uid="{D5EFC67C-C09A-4681-B090-3F97A71CE526}"/>
    <cellStyle name="Notas 2 5 4 4" xfId="4708" xr:uid="{A1512299-C556-43F8-A1E5-5A5FDDD6DD81}"/>
    <cellStyle name="Notas 2 5 4 4 2" xfId="10572" xr:uid="{75899872-28CD-4757-A1D1-D6D4C5D869E9}"/>
    <cellStyle name="Notas 2 5 4 5" xfId="4951" xr:uid="{8661172B-F959-4112-96A5-7C417D041DE6}"/>
    <cellStyle name="Notas 2 5 4 5 2" xfId="10797" xr:uid="{38BE36E2-8BA6-4CB1-BFCF-E7FCDF3A0880}"/>
    <cellStyle name="Notas 2 5 4 6" xfId="5099" xr:uid="{37F6AE92-D6C8-44E3-911E-AFD2F20E2C1F}"/>
    <cellStyle name="Notas 2 5 4 6 2" xfId="10945" xr:uid="{AD656EA9-CB78-48B5-8799-C22D601F5700}"/>
    <cellStyle name="Notas 2 5 4 7" xfId="5890" xr:uid="{AE58656B-0943-467B-BAE8-F10FE1501D17}"/>
    <cellStyle name="Notas 2 5 4 7 2" xfId="11618" xr:uid="{5C564196-104E-4779-8C9F-79BDFCDE5310}"/>
    <cellStyle name="Notas 2 5 4 8" xfId="6220" xr:uid="{89F18DFE-F308-4888-A2CD-CC1CBF39E463}"/>
    <cellStyle name="Notas 2 5 4 8 2" xfId="11924" xr:uid="{E1B4098D-BEE1-4745-AD7F-C34DD6D4527E}"/>
    <cellStyle name="Notas 2 5 4 9" xfId="6422" xr:uid="{ECBB442D-2FD7-4316-9E44-083621A5895E}"/>
    <cellStyle name="Notas 2 5 4 9 2" xfId="12126" xr:uid="{01396FF0-3B0F-4C3E-82C4-006D0D4C0231}"/>
    <cellStyle name="Notas 2 5 5" xfId="2671" xr:uid="{32978905-169E-459C-9B7F-5B6E85E610D1}"/>
    <cellStyle name="Notas 2 5 5 2" xfId="3135" xr:uid="{3009CD12-EC83-4548-81E6-9F6944B07A2F}"/>
    <cellStyle name="Notas 2 5 5 2 2" xfId="4093" xr:uid="{C78020F8-64F5-4462-AF1B-C0CE7A5AC1DC}"/>
    <cellStyle name="Notas 2 5 5 2 2 2" xfId="10189" xr:uid="{AEB092D5-FBBC-4568-B796-AEF9D4C3E417}"/>
    <cellStyle name="Notas 2 5 5 2 3" xfId="7064" xr:uid="{35886580-0988-48A9-9384-18EB115B9972}"/>
    <cellStyle name="Notas 2 5 5 2 3 2" xfId="12652" xr:uid="{AFEB6DAA-4101-4C3D-8C52-70444B92A7CB}"/>
    <cellStyle name="Notas 2 5 5 2 4" xfId="7725" xr:uid="{CA63B6AD-694F-42AA-9700-3693B28AC1E3}"/>
    <cellStyle name="Notas 2 5 5 2 4 2" xfId="13297" xr:uid="{6D299B22-262A-4BA9-9CAC-D75798F9B133}"/>
    <cellStyle name="Notas 2 5 5 2 5" xfId="8217" xr:uid="{21E7A03D-69E0-428C-8C37-1B205D8E9A09}"/>
    <cellStyle name="Notas 2 5 5 2 5 2" xfId="13789" xr:uid="{30DD9041-D76C-4196-A0A0-67FFFE2C7FA4}"/>
    <cellStyle name="Notas 2 5 5 2 6" xfId="9469" xr:uid="{E71BA981-7F1B-4414-B694-8EFF091F9237}"/>
    <cellStyle name="Notas 2 5 5 3" xfId="3613" xr:uid="{0F5C701D-0622-4E91-AE3C-94965E907DB9}"/>
    <cellStyle name="Notas 2 5 5 3 2" xfId="9829" xr:uid="{24467E11-BD1B-4683-9F6B-D19D95128901}"/>
    <cellStyle name="Notas 2 5 5 4" xfId="6050" xr:uid="{322AC542-C0EE-4C95-B173-AFB2B2063592}"/>
    <cellStyle name="Notas 2 5 5 4 2" xfId="11762" xr:uid="{22FD26A7-01BE-4706-B212-86E8FFBA34A7}"/>
    <cellStyle name="Notas 2 5 5 5" xfId="6568" xr:uid="{8D47415E-331E-4FC5-A974-B3128CCCC075}"/>
    <cellStyle name="Notas 2 5 5 5 2" xfId="12272" xr:uid="{53C14235-EE79-4D85-A8D0-91F610962E07}"/>
    <cellStyle name="Notas 2 5 5 6" xfId="7322" xr:uid="{6986BEE2-CCD0-421F-BAFC-0F1C04DD21E0}"/>
    <cellStyle name="Notas 2 5 5 6 2" xfId="12894" xr:uid="{35224DB4-D413-40CE-A270-0A8745FB4659}"/>
    <cellStyle name="Notas 2 5 5 7" xfId="7857" xr:uid="{84CAB7BA-0BA8-433E-A152-F167C31612C6}"/>
    <cellStyle name="Notas 2 5 5 7 2" xfId="13429" xr:uid="{7597B9C5-8C4C-462B-8AC0-2B41EDF15FB0}"/>
    <cellStyle name="Notas 2 5 5 8" xfId="9109" xr:uid="{A774F636-46BA-4A82-B6DB-F000E79C9D90}"/>
    <cellStyle name="Notas 2 5 6" xfId="2763" xr:uid="{5BFE2CCB-6EA8-4342-B8EA-4185CBEFF11A}"/>
    <cellStyle name="Notas 2 5 6 2" xfId="3195" xr:uid="{A3541BE9-A165-4D1D-9E5A-F7E0E153FEC2}"/>
    <cellStyle name="Notas 2 5 6 2 2" xfId="4153" xr:uid="{0D96B6A5-2B89-488A-A73F-0FE8348777AB}"/>
    <cellStyle name="Notas 2 5 6 2 2 2" xfId="10249" xr:uid="{8458F7D5-85AA-4778-9175-0C93991D7906}"/>
    <cellStyle name="Notas 2 5 6 2 3" xfId="7124" xr:uid="{92E5455E-D6F1-4A7E-B17F-2840C21EB9B7}"/>
    <cellStyle name="Notas 2 5 6 2 3 2" xfId="12712" xr:uid="{60F13A55-BDCF-4BA7-9429-19245B699B6A}"/>
    <cellStyle name="Notas 2 5 6 2 4" xfId="7785" xr:uid="{7717679E-7144-4B0B-9AB3-D9C9A34E97A3}"/>
    <cellStyle name="Notas 2 5 6 2 4 2" xfId="13357" xr:uid="{52B4276A-BCE8-444F-A045-2CB8B051D2F4}"/>
    <cellStyle name="Notas 2 5 6 2 5" xfId="8277" xr:uid="{56C40D40-3FF5-4511-8090-10850E0D70E6}"/>
    <cellStyle name="Notas 2 5 6 2 5 2" xfId="13849" xr:uid="{BBC11FCE-596A-4A2F-9253-EE44023426EE}"/>
    <cellStyle name="Notas 2 5 6 2 6" xfId="9529" xr:uid="{E0B828F4-4C2D-4567-8590-62397F946E6F}"/>
    <cellStyle name="Notas 2 5 6 3" xfId="3673" xr:uid="{325C68F5-06E3-40BB-AD36-BF4A276A5931}"/>
    <cellStyle name="Notas 2 5 6 3 2" xfId="9889" xr:uid="{7FA1FD04-18D1-4B54-A8FB-752A7E164FA6}"/>
    <cellStyle name="Notas 2 5 6 4" xfId="6130" xr:uid="{0FF3473A-3E3E-4AD8-913A-4BDFDBE4D6EE}"/>
    <cellStyle name="Notas 2 5 6 4 2" xfId="11842" xr:uid="{D55A8B0A-9C27-4246-BEBF-5493F38D89EF}"/>
    <cellStyle name="Notas 2 5 6 5" xfId="6640" xr:uid="{B6C6E89D-FBE5-4E62-AD53-5D9C1DA4E248}"/>
    <cellStyle name="Notas 2 5 6 5 2" xfId="12344" xr:uid="{A72F2AEA-9041-41E7-A145-740B826B7C56}"/>
    <cellStyle name="Notas 2 5 6 6" xfId="7384" xr:uid="{AD9E1B67-5486-4105-9E98-6D6E4232A0FD}"/>
    <cellStyle name="Notas 2 5 6 6 2" xfId="12956" xr:uid="{86643281-DE9E-4355-B8CE-C88C659F3636}"/>
    <cellStyle name="Notas 2 5 6 7" xfId="7917" xr:uid="{7C30213F-5701-49A5-8587-F803361F4BF8}"/>
    <cellStyle name="Notas 2 5 6 7 2" xfId="13489" xr:uid="{6164F904-8AC1-40A4-8742-09A907DA90D7}"/>
    <cellStyle name="Notas 2 5 6 8" xfId="9169" xr:uid="{D566AB90-AC75-45AF-842C-50E4C8B507A6}"/>
    <cellStyle name="Notas 2 5 7" xfId="2863" xr:uid="{5628D9B9-F9C8-4BAE-BEC5-5780B8EEC359}"/>
    <cellStyle name="Notas 2 5 7 2" xfId="3787" xr:uid="{516E5BBB-0068-495B-948F-85700A2AD478}"/>
    <cellStyle name="Notas 2 5 7 2 2" xfId="9949" xr:uid="{3CD6BA02-61EB-4C34-89AD-13678D779308}"/>
    <cellStyle name="Notas 2 5 7 3" xfId="6758" xr:uid="{6AB33B1B-8A86-4C57-8673-0C32BCEBCE32}"/>
    <cellStyle name="Notas 2 5 7 3 2" xfId="12412" xr:uid="{B107551E-F5D1-4721-A94D-1528658B5011}"/>
    <cellStyle name="Notas 2 5 7 4" xfId="7468" xr:uid="{930CF1CF-C937-4A0B-9C06-DA44D1A96CDF}"/>
    <cellStyle name="Notas 2 5 7 4 2" xfId="13040" xr:uid="{3507FBD6-28F6-4AE3-9A6F-2B6DEA4F0864}"/>
    <cellStyle name="Notas 2 5 7 5" xfId="7977" xr:uid="{38CCD82A-6E85-4DBD-8078-C93727B53CC3}"/>
    <cellStyle name="Notas 2 5 7 5 2" xfId="13549" xr:uid="{1FBC3874-3D93-43B3-B0B5-CB89A99CDC96}"/>
    <cellStyle name="Notas 2 5 7 6" xfId="9229" xr:uid="{A3EBF592-3E3A-4900-A710-C7A8E2C4166D}"/>
    <cellStyle name="Notas 2 5 8" xfId="3307" xr:uid="{7DB29E07-C99D-49C3-AC76-938DA8EB6F2C}"/>
    <cellStyle name="Notas 2 5 8 2" xfId="9589" xr:uid="{6F73EF21-84CD-4B6E-94E8-A6ADB32E6C58}"/>
    <cellStyle name="Notas 2 5 9" xfId="4474" xr:uid="{4B2444A2-B97B-4AEB-AD28-3BC08B657A5F}"/>
    <cellStyle name="Notas 2 5 9 2" xfId="10386" xr:uid="{F8D34E43-2951-4B0A-9673-0DD6C653941D}"/>
    <cellStyle name="Notas 2 6" xfId="1516" xr:uid="{25F249B9-01F6-4F42-90B0-4089176D1E63}"/>
    <cellStyle name="Notas 2 6 10" xfId="4796" xr:uid="{56E2CCA4-5B5F-457A-BD3D-5300B7BAE343}"/>
    <cellStyle name="Notas 2 6 10 2" xfId="10642" xr:uid="{EC3FDC1F-E54A-47EE-B735-FD158B3A047A}"/>
    <cellStyle name="Notas 2 6 11" xfId="4339" xr:uid="{F699D49D-D947-49E7-82FA-67730C71CD15}"/>
    <cellStyle name="Notas 2 6 11 2" xfId="10299" xr:uid="{11908D1A-A704-415F-87CB-491BCAFBC157}"/>
    <cellStyle name="Notas 2 6 12" xfId="5469" xr:uid="{F185D94F-42C4-4498-A99F-A73AD01A1EFF}"/>
    <cellStyle name="Notas 2 6 12 2" xfId="11251" xr:uid="{018D5D2B-20B4-4D1D-994B-DAC034BD8075}"/>
    <cellStyle name="Notas 2 6 13" xfId="5635" xr:uid="{825438FA-89B5-4665-B67B-3810E13C2583}"/>
    <cellStyle name="Notas 2 6 13 2" xfId="11363" xr:uid="{5A2FE880-56B8-4BA2-A409-2C1378F625A4}"/>
    <cellStyle name="Notas 2 6 14" xfId="5674" xr:uid="{FFC1653A-7A53-4F52-A036-70C3930D5252}"/>
    <cellStyle name="Notas 2 6 14 2" xfId="11402" xr:uid="{3B8FFA14-D6F0-477F-9D1B-08FC9AA83E4A}"/>
    <cellStyle name="Notas 2 6 15" xfId="5871" xr:uid="{B39ECE1E-7987-411E-81BD-280F469B3E08}"/>
    <cellStyle name="Notas 2 6 15 2" xfId="11599" xr:uid="{D6E6C137-8EE8-4A6A-9275-F491E34FDD45}"/>
    <cellStyle name="Notas 2 6 16" xfId="5874" xr:uid="{B003155B-F681-451A-B816-78E802C44D2D}"/>
    <cellStyle name="Notas 2 6 16 2" xfId="11602" xr:uid="{666596BE-308E-4A4B-AF3A-7299B504D79D}"/>
    <cellStyle name="Notas 2 6 17" xfId="6420" xr:uid="{3CBCD00F-FD2A-46F1-AA61-56F590098C55}"/>
    <cellStyle name="Notas 2 6 17 2" xfId="12124" xr:uid="{35A50A0C-9561-421F-98B6-B51CABB38F86}"/>
    <cellStyle name="Notas 2 6 18" xfId="7450" xr:uid="{63C909C1-09C0-4A5F-A699-EEE61264696E}"/>
    <cellStyle name="Notas 2 6 18 2" xfId="13022" xr:uid="{54216C99-001F-4ACD-9817-FAEE7F7B1A68}"/>
    <cellStyle name="Notas 2 6 19" xfId="8473" xr:uid="{EFEA8C24-1187-4906-B625-48C6C49C7F2A}"/>
    <cellStyle name="Notas 2 6 19 2" xfId="13953" xr:uid="{851C8C9E-E3C7-4465-AF7B-461C5E4BA11F}"/>
    <cellStyle name="Notas 2 6 2" xfId="2453" xr:uid="{39803589-883C-4954-8984-A6F0D509D8DB}"/>
    <cellStyle name="Notas 2 6 2 10" xfId="6293" xr:uid="{7D0C6F95-F0C5-4BCF-9FA0-45AEEB781183}"/>
    <cellStyle name="Notas 2 6 2 10 2" xfId="11997" xr:uid="{A4FAA2F5-8F70-414A-A6E3-82CBADDB583E}"/>
    <cellStyle name="Notas 2 6 2 11" xfId="7296" xr:uid="{501696F6-4FE1-4737-B46B-68923BE10E87}"/>
    <cellStyle name="Notas 2 6 2 11 2" xfId="12868" xr:uid="{6F3B3517-545C-4A25-9E70-986E62BCA0FC}"/>
    <cellStyle name="Notas 2 6 2 12" xfId="8667" xr:uid="{E5689509-66EC-49CE-B17F-8136E418BDCA}"/>
    <cellStyle name="Notas 2 6 2 12 2" xfId="14055" xr:uid="{6ECFB5F7-85F1-4BE3-A47A-A8B39FF02BF1}"/>
    <cellStyle name="Notas 2 6 2 13" xfId="9015" xr:uid="{FA9FD8E7-556C-46B5-A37D-17A6C9F2CABF}"/>
    <cellStyle name="Notas 2 6 2 2" xfId="3041" xr:uid="{80E9ABD3-FD6C-4800-B7AF-1642452FA6D1}"/>
    <cellStyle name="Notas 2 6 2 2 2" xfId="3981" xr:uid="{6707A318-0DDA-4AD4-97DB-D7079C4051AA}"/>
    <cellStyle name="Notas 2 6 2 2 2 2" xfId="10095" xr:uid="{E77F7E3F-D2FA-4E72-81D6-6B4833F5428F}"/>
    <cellStyle name="Notas 2 6 2 2 3" xfId="6952" xr:uid="{85764CDA-C67C-4F06-95F4-DD5222BEE032}"/>
    <cellStyle name="Notas 2 6 2 2 3 2" xfId="12558" xr:uid="{FA2E27DC-54DB-4BCA-AF73-42743ED5E522}"/>
    <cellStyle name="Notas 2 6 2 2 4" xfId="7630" xr:uid="{83BAFC68-6781-4A5F-B042-6C057CDF613A}"/>
    <cellStyle name="Notas 2 6 2 2 4 2" xfId="13202" xr:uid="{8BC5F3AD-33F4-4652-A7C8-0FD06137532C}"/>
    <cellStyle name="Notas 2 6 2 2 5" xfId="8123" xr:uid="{2BC8EE54-44F8-4E18-80C3-8BB7C7F97373}"/>
    <cellStyle name="Notas 2 6 2 2 5 2" xfId="13695" xr:uid="{8D349098-8E74-4CBA-A553-4EB2B4A4FC20}"/>
    <cellStyle name="Notas 2 6 2 2 6" xfId="9375" xr:uid="{D2404CEA-111D-4954-AC82-34CD1F007E09}"/>
    <cellStyle name="Notas 2 6 2 3" xfId="3501" xr:uid="{322BE471-F110-4BE0-88A3-B4C0C2566B17}"/>
    <cellStyle name="Notas 2 6 2 3 2" xfId="9735" xr:uid="{87F711B8-AE42-45C9-A071-2736CA82CE1A}"/>
    <cellStyle name="Notas 2 6 2 4" xfId="4694" xr:uid="{6881ADE1-1EA3-40B6-B14F-5AFB5E41A8D9}"/>
    <cellStyle name="Notas 2 6 2 4 2" xfId="10558" xr:uid="{26BE73C2-6677-4F69-BBC5-29EAA0548FB7}"/>
    <cellStyle name="Notas 2 6 2 5" xfId="4933" xr:uid="{BA16BCBE-11FB-4EF4-AE83-99169AF8E652}"/>
    <cellStyle name="Notas 2 6 2 5 2" xfId="10779" xr:uid="{B1F6A7B4-9992-4A9E-B4E6-65A0D164A134}"/>
    <cellStyle name="Notas 2 6 2 6" xfId="5089" xr:uid="{D451314A-AAA0-4E85-A8D4-E5FD4F812A99}"/>
    <cellStyle name="Notas 2 6 2 6 2" xfId="10935" xr:uid="{DE4A1DF1-46F2-43A2-A2CB-62FAB7BF9CB7}"/>
    <cellStyle name="Notas 2 6 2 7" xfId="5859" xr:uid="{53584273-390E-4947-AA43-4C78F54129D2}"/>
    <cellStyle name="Notas 2 6 2 7 2" xfId="11587" xr:uid="{51ADC29B-4D80-459D-B27E-492755526CA8}"/>
    <cellStyle name="Notas 2 6 2 8" xfId="6188" xr:uid="{B782630E-FEBA-46D7-A950-F45B08B56EC0}"/>
    <cellStyle name="Notas 2 6 2 8 2" xfId="11892" xr:uid="{03B54D4B-5E44-475C-891D-5450B12E7CCA}"/>
    <cellStyle name="Notas 2 6 2 9" xfId="6396" xr:uid="{F5AA8CB3-C0B5-4F2F-A409-92E33DB86DCA}"/>
    <cellStyle name="Notas 2 6 2 9 2" xfId="12100" xr:uid="{C94B72B0-5FBF-405B-A462-DFAC1C5A7981}"/>
    <cellStyle name="Notas 2 6 20" xfId="8913" xr:uid="{44A20800-5E1F-4308-B447-E1FA1FA05DA2}"/>
    <cellStyle name="Notas 2 6 21" xfId="2259" xr:uid="{4B06FA66-7A41-4E45-81F3-B01371940CD4}"/>
    <cellStyle name="Notas 2 6 3" xfId="2559" xr:uid="{C4237A06-9A69-4A4C-BFEB-52F18ED9B847}"/>
    <cellStyle name="Notas 2 6 3 10" xfId="7251" xr:uid="{4D45B158-7017-47E5-BEDE-0AD8DBB8E981}"/>
    <cellStyle name="Notas 2 6 3 10 2" xfId="12823" xr:uid="{31FA68D8-ADFD-45BD-B87A-696818B6978B}"/>
    <cellStyle name="Notas 2 6 3 11" xfId="7433" xr:uid="{0DEFA782-740C-4BBE-87D3-8EC43F881E0A}"/>
    <cellStyle name="Notas 2 6 3 11 2" xfId="13005" xr:uid="{C02D9E0B-00B4-4606-9FD7-CB8EA38C4782}"/>
    <cellStyle name="Notas 2 6 3 12" xfId="8773" xr:uid="{093CD63E-005F-4000-80AD-73814A514755}"/>
    <cellStyle name="Notas 2 6 3 12 2" xfId="14129" xr:uid="{5B99B5E2-5BFA-4300-82AB-4A2DB85675B2}"/>
    <cellStyle name="Notas 2 6 3 13" xfId="9089" xr:uid="{0B61E057-312A-4B9E-ACAA-02414819E99E}"/>
    <cellStyle name="Notas 2 6 3 2" xfId="3115" xr:uid="{5BA580BE-72A6-4604-A536-DFF46FB3D1D8}"/>
    <cellStyle name="Notas 2 6 3 2 2" xfId="4055" xr:uid="{9494C15F-26B7-47CF-AFDD-8FFA16539FA9}"/>
    <cellStyle name="Notas 2 6 3 2 2 2" xfId="10169" xr:uid="{B44AB1AA-880C-4E8F-9665-3551EF3B404D}"/>
    <cellStyle name="Notas 2 6 3 2 3" xfId="7026" xr:uid="{F0C0D6EE-7553-4CAA-965B-B44852301DA0}"/>
    <cellStyle name="Notas 2 6 3 2 3 2" xfId="12632" xr:uid="{DA63BCD6-15F4-40C7-B532-5F64010CB60F}"/>
    <cellStyle name="Notas 2 6 3 2 4" xfId="7704" xr:uid="{C57C2854-9A9B-4B8D-8307-192D7EA3FD6D}"/>
    <cellStyle name="Notas 2 6 3 2 4 2" xfId="13276" xr:uid="{9E04A885-A45D-465B-AA57-62AD2EDBA805}"/>
    <cellStyle name="Notas 2 6 3 2 5" xfId="8197" xr:uid="{FFAAB97B-F1F5-4453-ABCC-29C4941FF9C2}"/>
    <cellStyle name="Notas 2 6 3 2 5 2" xfId="13769" xr:uid="{A62D997B-E921-47E2-BAA3-3BB5AD033B18}"/>
    <cellStyle name="Notas 2 6 3 2 6" xfId="9449" xr:uid="{71351613-BC5D-4010-B56F-A3FEFABAD63D}"/>
    <cellStyle name="Notas 2 6 3 3" xfId="3575" xr:uid="{156B64A8-25CF-4256-BB6E-840C6D7E93BB}"/>
    <cellStyle name="Notas 2 6 3 3 2" xfId="9809" xr:uid="{B32654A7-91A4-437E-B933-9AD12A8F05C5}"/>
    <cellStyle name="Notas 2 6 3 4" xfId="4772" xr:uid="{E03F94CF-3A50-4B21-BE5B-1B7BF3AD5196}"/>
    <cellStyle name="Notas 2 6 3 4 2" xfId="10636" xr:uid="{F9A669B9-557E-4F42-B340-F298CC3D628B}"/>
    <cellStyle name="Notas 2 6 3 5" xfId="5015" xr:uid="{CFFE5D74-ECE8-48B1-A33E-8E1F13395E13}"/>
    <cellStyle name="Notas 2 6 3 5 2" xfId="10861" xr:uid="{2D16E971-07EF-415E-9D85-BA1C0A823DD0}"/>
    <cellStyle name="Notas 2 6 3 6" xfId="5163" xr:uid="{4F61CA10-29A1-4573-975F-65506187E166}"/>
    <cellStyle name="Notas 2 6 3 6 2" xfId="11009" xr:uid="{CF1EC348-0DC4-49FC-A9B5-FAF0CFACD55D}"/>
    <cellStyle name="Notas 2 6 3 7" xfId="5954" xr:uid="{EB5553B5-CA1C-49B0-9026-EBF8235755DC}"/>
    <cellStyle name="Notas 2 6 3 7 2" xfId="11682" xr:uid="{974045AD-E2E5-4E43-8916-289C98042B7A}"/>
    <cellStyle name="Notas 2 6 3 8" xfId="6284" xr:uid="{60432FD1-3EFA-4B19-88A3-153EB8C36DD5}"/>
    <cellStyle name="Notas 2 6 3 8 2" xfId="11988" xr:uid="{458DDE85-1A7F-4C22-8F39-133175538F01}"/>
    <cellStyle name="Notas 2 6 3 9" xfId="6486" xr:uid="{42E7C9EC-3924-4394-8099-00B9154F37F1}"/>
    <cellStyle name="Notas 2 6 3 9 2" xfId="12190" xr:uid="{D4D72BB3-C2FA-4877-BEA8-D7473DD06B1A}"/>
    <cellStyle name="Notas 2 6 4" xfId="2322" xr:uid="{7FF107CE-7429-4DA0-A69C-9576408D9E71}"/>
    <cellStyle name="Notas 2 6 4 10" xfId="6547" xr:uid="{F57EC69E-3B65-4CA0-8705-33CBFE14A985}"/>
    <cellStyle name="Notas 2 6 4 10 2" xfId="12251" xr:uid="{A2F08D20-BD07-4FEA-B00C-53ADAC3B96D1}"/>
    <cellStyle name="Notas 2 6 4 11" xfId="7185" xr:uid="{2F634033-EEBB-4BE4-9B9F-69BB86F72778}"/>
    <cellStyle name="Notas 2 6 4 11 2" xfId="12757" xr:uid="{799D5404-E8B7-4643-9E18-DADA437A15DC}"/>
    <cellStyle name="Notas 2 6 4 12" xfId="8536" xr:uid="{39BC0F43-234E-4AEB-8C30-95C14685B921}"/>
    <cellStyle name="Notas 2 6 4 12 2" xfId="13986" xr:uid="{38AAA9AD-B032-4E0E-BD17-8A15D04A1664}"/>
    <cellStyle name="Notas 2 6 4 13" xfId="8946" xr:uid="{578D33EB-1C15-4CDD-AA4F-F7FFD2DBE7AC}"/>
    <cellStyle name="Notas 2 6 4 2" xfId="2972" xr:uid="{44D5AE08-4FE8-43CF-B76D-D590A2DAE673}"/>
    <cellStyle name="Notas 2 6 4 2 2" xfId="3912" xr:uid="{5C01272B-9961-4B98-B445-879ED2A8BD1E}"/>
    <cellStyle name="Notas 2 6 4 2 2 2" xfId="10026" xr:uid="{C2EE86F4-FD62-4544-8CCE-B6DDF1F35453}"/>
    <cellStyle name="Notas 2 6 4 2 3" xfId="6883" xr:uid="{D8AEE8BF-F53E-4638-A26B-8FC1B11B07F1}"/>
    <cellStyle name="Notas 2 6 4 2 3 2" xfId="12489" xr:uid="{B40B4EB2-504E-441C-B78A-E34E072B76D3}"/>
    <cellStyle name="Notas 2 6 4 2 4" xfId="7561" xr:uid="{99D00D14-AA52-448E-87BC-AA51F1343602}"/>
    <cellStyle name="Notas 2 6 4 2 4 2" xfId="13133" xr:uid="{751D653F-2A40-4D8B-B2DF-E0FBB8F428D5}"/>
    <cellStyle name="Notas 2 6 4 2 5" xfId="8054" xr:uid="{1B04551E-B129-47C6-A35F-4F51F22992B3}"/>
    <cellStyle name="Notas 2 6 4 2 5 2" xfId="13626" xr:uid="{8DB241F2-E19C-4308-B87F-BBE7D017B14C}"/>
    <cellStyle name="Notas 2 6 4 2 6" xfId="9306" xr:uid="{D34614E5-2778-4F50-80C5-EB6890E71C09}"/>
    <cellStyle name="Notas 2 6 4 3" xfId="3432" xr:uid="{9A8AD25A-0006-448B-9397-7F43D194C923}"/>
    <cellStyle name="Notas 2 6 4 3 2" xfId="9666" xr:uid="{8229F317-E0E0-4F63-B784-1D20ECFC0CC6}"/>
    <cellStyle name="Notas 2 6 4 4" xfId="4608" xr:uid="{30489821-253E-4C2C-9235-1D9AB8107921}"/>
    <cellStyle name="Notas 2 6 4 4 2" xfId="10472" xr:uid="{69F65D1D-78B0-4D4D-B3BB-6FDB484D810C}"/>
    <cellStyle name="Notas 2 6 4 5" xfId="4849" xr:uid="{B23832F9-1DAC-4260-80E0-C7E22866447B}"/>
    <cellStyle name="Notas 2 6 4 5 2" xfId="10695" xr:uid="{5BAA1809-B327-48BC-B890-35FD42C31B5E}"/>
    <cellStyle name="Notas 2 6 4 6" xfId="4343" xr:uid="{942944AA-34B1-47AA-8B76-4A7CF222618C}"/>
    <cellStyle name="Notas 2 6 4 6 2" xfId="10303" xr:uid="{64425A18-A25A-4B83-9AF7-3E4D2B38CA96}"/>
    <cellStyle name="Notas 2 6 4 7" xfId="5750" xr:uid="{662485EB-A3C5-4CA2-AAAB-C65211EBC18B}"/>
    <cellStyle name="Notas 2 6 4 7 2" xfId="11478" xr:uid="{B7F6DFE8-C3D1-4C6E-B9CF-A7F56860CDCD}"/>
    <cellStyle name="Notas 2 6 4 8" xfId="5359" xr:uid="{26CB5722-1529-41ED-B6D0-742B9981FF1F}"/>
    <cellStyle name="Notas 2 6 4 8 2" xfId="11191" xr:uid="{9B5AFE1A-04EE-4D3F-AB64-7D936148B3CA}"/>
    <cellStyle name="Notas 2 6 4 9" xfId="5275" xr:uid="{3E0CC146-B539-41A9-AA60-11935E92AD6D}"/>
    <cellStyle name="Notas 2 6 4 9 2" xfId="11119" xr:uid="{A47873F0-1133-4971-88B1-EE333573595C}"/>
    <cellStyle name="Notas 2 6 5" xfId="2715" xr:uid="{1C51473D-55A8-456E-AF0C-045E4D877D11}"/>
    <cellStyle name="Notas 2 6 5 2" xfId="3179" xr:uid="{E4693FFE-47F4-4849-920D-3B8423065645}"/>
    <cellStyle name="Notas 2 6 5 2 2" xfId="4137" xr:uid="{CA4C1894-C326-4510-8AE0-81ADA37821A1}"/>
    <cellStyle name="Notas 2 6 5 2 2 2" xfId="10233" xr:uid="{4AE80557-C85F-4A68-8EBE-FFB994A5CCED}"/>
    <cellStyle name="Notas 2 6 5 2 3" xfId="7108" xr:uid="{21AC9281-B5AA-4959-991F-7D9D9ED0D7B3}"/>
    <cellStyle name="Notas 2 6 5 2 3 2" xfId="12696" xr:uid="{6F6F865C-5210-45A1-936D-7EEC5F751626}"/>
    <cellStyle name="Notas 2 6 5 2 4" xfId="7769" xr:uid="{44FD8638-B114-4557-BB08-3459F6360FDB}"/>
    <cellStyle name="Notas 2 6 5 2 4 2" xfId="13341" xr:uid="{CC6585B1-A13B-43FB-BEE0-7385FD07D386}"/>
    <cellStyle name="Notas 2 6 5 2 5" xfId="8261" xr:uid="{5522BFD1-876C-482E-8800-82D87E696041}"/>
    <cellStyle name="Notas 2 6 5 2 5 2" xfId="13833" xr:uid="{93F02621-A60E-4A2D-9A54-367761B578CD}"/>
    <cellStyle name="Notas 2 6 5 2 6" xfId="9513" xr:uid="{83C80BA1-E0D9-41D8-A988-465867F74700}"/>
    <cellStyle name="Notas 2 6 5 3" xfId="3657" xr:uid="{54466F3D-8F1C-47D9-BE24-C85CCCADB864}"/>
    <cellStyle name="Notas 2 6 5 3 2" xfId="9873" xr:uid="{1BE930D8-2111-4841-A4F2-3B5B1042780B}"/>
    <cellStyle name="Notas 2 6 5 4" xfId="6094" xr:uid="{1F54D164-B983-4AF2-A45D-5DF73F0E60B0}"/>
    <cellStyle name="Notas 2 6 5 4 2" xfId="11806" xr:uid="{3ED22282-FEEC-4073-AE64-F0044569192A}"/>
    <cellStyle name="Notas 2 6 5 5" xfId="6612" xr:uid="{D0306742-1FFF-4871-AE24-D1EBBBCCEFEF}"/>
    <cellStyle name="Notas 2 6 5 5 2" xfId="12316" xr:uid="{2509FA2F-EF3A-47F5-9DF6-E1CF02CDE522}"/>
    <cellStyle name="Notas 2 6 5 6" xfId="7366" xr:uid="{CDC8E329-4B39-44AC-B006-6E119B25CB28}"/>
    <cellStyle name="Notas 2 6 5 6 2" xfId="12938" xr:uid="{BE90E548-A1F4-4E18-860D-78FFF19E518F}"/>
    <cellStyle name="Notas 2 6 5 7" xfId="7901" xr:uid="{A41D9BD3-ECE7-4983-811A-8583E4BEB61D}"/>
    <cellStyle name="Notas 2 6 5 7 2" xfId="13473" xr:uid="{5568A6B8-5E89-4E51-967E-F81C8A1DC104}"/>
    <cellStyle name="Notas 2 6 5 8" xfId="9153" xr:uid="{0A43F002-C1C5-4721-B05A-D31AD496AC8B}"/>
    <cellStyle name="Notas 2 6 6" xfId="2807" xr:uid="{710AEF58-F872-4B2D-87B2-5AD9F9E243B2}"/>
    <cellStyle name="Notas 2 6 6 2" xfId="3239" xr:uid="{92DFFB90-924D-46EC-8DF8-3FE8DBABAA26}"/>
    <cellStyle name="Notas 2 6 6 2 2" xfId="4197" xr:uid="{CA61CD6A-F4AE-4C91-87B4-32DC73D62F58}"/>
    <cellStyle name="Notas 2 6 6 2 2 2" xfId="10293" xr:uid="{C84D951E-1474-4DC9-B076-93978A0B9046}"/>
    <cellStyle name="Notas 2 6 6 2 3" xfId="7168" xr:uid="{27363977-2A5C-4C5F-89B9-E6A728FF8055}"/>
    <cellStyle name="Notas 2 6 6 2 3 2" xfId="12756" xr:uid="{576C38F9-9694-44E7-9A29-4AF0D98B7E56}"/>
    <cellStyle name="Notas 2 6 6 2 4" xfId="7829" xr:uid="{44DE3B82-9D8D-4699-ABCD-480350D20E54}"/>
    <cellStyle name="Notas 2 6 6 2 4 2" xfId="13401" xr:uid="{301A09D5-5885-4E4F-B837-3E8CDFD9B64A}"/>
    <cellStyle name="Notas 2 6 6 2 5" xfId="8321" xr:uid="{D0AF9B5B-8BA5-49C7-952D-D08B2AD4BAB7}"/>
    <cellStyle name="Notas 2 6 6 2 5 2" xfId="13893" xr:uid="{FD47367B-00C4-4CE8-AB80-C069D2DA2FD1}"/>
    <cellStyle name="Notas 2 6 6 2 6" xfId="9573" xr:uid="{89EB0657-8302-40B9-95CC-20425A976296}"/>
    <cellStyle name="Notas 2 6 6 3" xfId="3717" xr:uid="{B4883987-DBF1-442A-A2C3-BB77A596EF58}"/>
    <cellStyle name="Notas 2 6 6 3 2" xfId="9933" xr:uid="{2796EBD1-B058-460D-81EB-3B967117F3AB}"/>
    <cellStyle name="Notas 2 6 6 4" xfId="6174" xr:uid="{3E22FB6E-CEC5-40FC-BFE6-2BB9606DB749}"/>
    <cellStyle name="Notas 2 6 6 4 2" xfId="11886" xr:uid="{625B8B5F-7A7C-44A4-8A1E-028BD6C34485}"/>
    <cellStyle name="Notas 2 6 6 5" xfId="6684" xr:uid="{B511EA2D-32BD-45A5-8017-B9FBE68B9A57}"/>
    <cellStyle name="Notas 2 6 6 5 2" xfId="12388" xr:uid="{81BE8EA8-D3D9-45D0-ABB1-91625C15A071}"/>
    <cellStyle name="Notas 2 6 6 6" xfId="7428" xr:uid="{F6BF0D2E-D521-4D6D-BB2B-2E4C3CC6D33A}"/>
    <cellStyle name="Notas 2 6 6 6 2" xfId="13000" xr:uid="{451B280E-DFED-4808-B831-BAF12FE99996}"/>
    <cellStyle name="Notas 2 6 6 7" xfId="7961" xr:uid="{527BF69C-D7B4-4173-A81B-1D842C32A335}"/>
    <cellStyle name="Notas 2 6 6 7 2" xfId="13533" xr:uid="{0C21A1AD-EB42-4172-B624-8C009FD5AEBA}"/>
    <cellStyle name="Notas 2 6 6 8" xfId="9213" xr:uid="{F6118181-B144-4DA2-91DE-3A40C5100DFC}"/>
    <cellStyle name="Notas 2 6 7" xfId="2909" xr:uid="{4BA150BF-5144-40A4-BDCD-A5E3F17DBAE7}"/>
    <cellStyle name="Notas 2 6 7 2" xfId="3847" xr:uid="{F470D3E7-CEC2-4EB4-925F-4F7339ACE980}"/>
    <cellStyle name="Notas 2 6 7 2 2" xfId="9993" xr:uid="{86508C84-538A-4907-BA1D-0F9574161236}"/>
    <cellStyle name="Notas 2 6 7 3" xfId="6818" xr:uid="{936E2CF1-EF8C-4333-A5FD-57D4420B4815}"/>
    <cellStyle name="Notas 2 6 7 3 2" xfId="12456" xr:uid="{41EC6C5A-594E-4C70-9907-FA3B682D12DF}"/>
    <cellStyle name="Notas 2 6 7 4" xfId="7519" xr:uid="{F51B350A-F625-4E62-B09C-FE25DCB228FF}"/>
    <cellStyle name="Notas 2 6 7 4 2" xfId="13091" xr:uid="{37F015D0-782C-4F86-ADEB-A097BE008C12}"/>
    <cellStyle name="Notas 2 6 7 5" xfId="8021" xr:uid="{FA02E861-2AA9-4C66-8D7F-65AA5390C860}"/>
    <cellStyle name="Notas 2 6 7 5 2" xfId="13593" xr:uid="{A0114850-CB04-46FE-93A7-5DDD646BDD42}"/>
    <cellStyle name="Notas 2 6 7 6" xfId="9273" xr:uid="{38AE6719-8AA6-4B3E-ADBB-9AA066A16EAD}"/>
    <cellStyle name="Notas 2 6 8" xfId="3367" xr:uid="{4A9F9E0D-C582-492D-9FDA-C393A8181806}"/>
    <cellStyle name="Notas 2 6 8 2" xfId="9633" xr:uid="{70A64A31-0ADB-4F59-A03D-5D572BC4F919}"/>
    <cellStyle name="Notas 2 6 9" xfId="4534" xr:uid="{058F597F-3213-4581-A39B-416371EDE926}"/>
    <cellStyle name="Notas 2 6 9 2" xfId="10430" xr:uid="{02CD9EE7-97A9-43F9-B1C7-A37797437678}"/>
    <cellStyle name="Notas 2 7" xfId="1520" xr:uid="{DECE4D0E-41F3-46DD-BC7E-6DA19619C740}"/>
    <cellStyle name="Notas 2 7 2" xfId="4262" xr:uid="{EB431AF3-0BB9-47F6-BA0B-430C5CAB7C00}"/>
    <cellStyle name="Notas 2 8" xfId="2072" xr:uid="{8E256FA0-D9AE-4D0C-BFC4-65F3A0A90AB2}"/>
    <cellStyle name="Notas 2 9" xfId="8826" xr:uid="{E8E19EF6-A208-48C7-9AC7-A5EDF5B72ECC}"/>
    <cellStyle name="Notas 3" xfId="1652" xr:uid="{B09151EA-21D8-402D-86AB-88204EC6CEE6}"/>
    <cellStyle name="Notas 3 2" xfId="1653" xr:uid="{093A42F2-B81A-4D67-8D9D-64A691218884}"/>
    <cellStyle name="Notas 3 3" xfId="4301" xr:uid="{7452F01F-B46F-42DF-84F8-2B85777D0691}"/>
    <cellStyle name="Notas 4" xfId="1654" xr:uid="{689BFB95-A19F-42B3-AC26-F6F5333C3663}"/>
    <cellStyle name="Notas 5" xfId="1663" xr:uid="{177E68D7-2D39-4EAF-A369-CC4E418278B7}"/>
    <cellStyle name="Note" xfId="423" xr:uid="{F507164E-E53C-4319-A742-4ECD0FD37A1F}"/>
    <cellStyle name="Note 2" xfId="1499" xr:uid="{5E564487-18E3-49F3-BAAD-8C7A401C5DA1}"/>
    <cellStyle name="Note 2 2" xfId="1599" xr:uid="{97D37F8D-8AA2-4763-A7C5-107CB9D2239E}"/>
    <cellStyle name="Note 2 3" xfId="1664" xr:uid="{BF4990B7-962F-4178-8E9D-A317D630EB9F}"/>
    <cellStyle name="Note 3" xfId="1655" xr:uid="{B961E6AD-8C6B-4AD0-9747-B0BCC74C843E}"/>
    <cellStyle name="Output" xfId="424" xr:uid="{A478C182-407A-41E9-86ED-666C31F837A0}"/>
    <cellStyle name="Output 2" xfId="1500" xr:uid="{9814AC22-0291-45E7-87A4-B495CDD50088}"/>
    <cellStyle name="Output 2 2" xfId="1600" xr:uid="{FDFDCE20-5FE6-436E-A3A0-400667B832AD}"/>
    <cellStyle name="Output 3" xfId="1656" xr:uid="{D1DE2EBA-B7E1-4F7C-9B47-AA07F664DE44}"/>
    <cellStyle name="Percent" xfId="49" xr:uid="{B7D913BF-C6C0-4104-A37A-CC3CEEB9C1F9}"/>
    <cellStyle name="Percent [2]" xfId="15687" xr:uid="{11708775-424C-412C-96EB-51F9BF7A9DB1}"/>
    <cellStyle name="Percent 2" xfId="428" xr:uid="{A2E81224-D24A-4385-A756-679DDEDB41F5}"/>
    <cellStyle name="Percent 2 2" xfId="2199" xr:uid="{6B148EB2-CFC2-4198-A143-24AD29967ED8}"/>
    <cellStyle name="Percent 2 3" xfId="1666" xr:uid="{823D1524-9B27-45A6-A7E9-EE5A96E91950}"/>
    <cellStyle name="Percent 3" xfId="1507" xr:uid="{A1AB17A4-648E-4DA7-BE54-7FA56364D8DF}"/>
    <cellStyle name="Porcentaje" xfId="1" builtinId="5"/>
    <cellStyle name="Porcentaje 2" xfId="3" xr:uid="{DCDCFB0A-05FF-418D-96CF-4BA9A9457848}"/>
    <cellStyle name="Porcentaje 2 2" xfId="148" xr:uid="{2D67D7CA-6A35-4F09-B94E-72E5FA8C42EF}"/>
    <cellStyle name="Porcentaje 2 2 2" xfId="1603" xr:uid="{1E3C1E78-25BF-45C2-AF73-9BCD5528ECB7}"/>
    <cellStyle name="Porcentaje 2 2 2 2" xfId="4274" xr:uid="{9C3CB94E-DDF6-4F9F-84CA-74C870E0B653}"/>
    <cellStyle name="Porcentaje 2 3" xfId="1854" xr:uid="{38D5E4DB-2D7B-47CA-89AC-C81D0A0270FF}"/>
    <cellStyle name="Porcentaje 3" xfId="235" xr:uid="{ECD20331-8768-4EF9-B5A1-486EC376623E}"/>
    <cellStyle name="Porcentaje 3 2" xfId="1855" xr:uid="{310B4DAE-DF52-4D9F-AF3E-59BA1BDB091C}"/>
    <cellStyle name="Porcentaje 3 3" xfId="4206" xr:uid="{DD07D026-1E04-414C-A527-DD2BC4C4FC46}"/>
    <cellStyle name="Porcentaje 3 4" xfId="1658" xr:uid="{75441CFD-E13F-4D01-8626-FC6D443AEA81}"/>
    <cellStyle name="Porcentaje 4" xfId="1659" xr:uid="{4FB372E1-6385-4ABD-B980-81D5C20A1110}"/>
    <cellStyle name="Porcentaje 5" xfId="1660" xr:uid="{8878C914-A3BF-4BDD-85E6-834E60ABE2F7}"/>
    <cellStyle name="Porcentaje 6" xfId="1657" xr:uid="{5F121DF8-1C8B-496F-8C1E-F83EE2290686}"/>
    <cellStyle name="Porcentual 2" xfId="54" xr:uid="{48090ED6-B0DD-482D-8599-DCF4E566F4AF}"/>
    <cellStyle name="Porcentual 2 2" xfId="66" xr:uid="{BE4CB068-5F34-42AA-9CA3-E17DDE7287ED}"/>
    <cellStyle name="Porcentual 2 2 2" xfId="284" xr:uid="{3A6FBFE3-51FF-4DC5-95CA-0A29A7F9C2F2}"/>
    <cellStyle name="Porcentual 2 2 2 2" xfId="4263" xr:uid="{C91B25FC-CAC3-48FC-BD6C-05E8EE6979F1}"/>
    <cellStyle name="Porcentual 2 2 2 3" xfId="1856" xr:uid="{C34D98CA-0765-46C3-9515-A4841ECA2937}"/>
    <cellStyle name="Porcentual 2 2 3" xfId="2073" xr:uid="{E4271D25-188C-4B17-965E-15A36FE09FE2}"/>
    <cellStyle name="Porcentual 2 3" xfId="285" xr:uid="{13A52172-F657-4DD7-8C5A-5EA16F2C8A99}"/>
    <cellStyle name="Porcentual 2 3 2" xfId="4264" xr:uid="{9994B8B9-B579-4487-AD07-549234BA5C8F}"/>
    <cellStyle name="Porcentual 2 4" xfId="1667" xr:uid="{1ADDF721-BC0D-40BF-9D06-5056833D02DE}"/>
    <cellStyle name="Porcentual 2 4 2" xfId="4212" xr:uid="{734F9B79-4ED1-423F-8CDE-016CB18AD415}"/>
    <cellStyle name="Porcentual 2 5" xfId="4208" xr:uid="{48763BDF-C139-481E-9C50-24DF9B70793B}"/>
    <cellStyle name="Porcentual 3" xfId="79" xr:uid="{56822BAE-7BCC-4A97-B579-806C567CE7A1}"/>
    <cellStyle name="Porcentual 3 2" xfId="294" xr:uid="{CFCC106A-BDC8-4842-B2BB-425627FD452F}"/>
    <cellStyle name="Porcentual 3 2 2" xfId="4275" xr:uid="{94FBA95A-C9C1-4A70-9220-84BDBD1A8A6E}"/>
    <cellStyle name="Porcentual 3 3" xfId="4265" xr:uid="{71F4AD7A-2DE5-41CB-B667-866B1E565638}"/>
    <cellStyle name="Punto" xfId="1857" xr:uid="{BB4A1685-71BA-4CC0-9AC7-94C1D59CF662}"/>
    <cellStyle name="Punto0" xfId="1858" xr:uid="{73EF3891-B8B0-4536-9E31-09F4BF57C9AA}"/>
    <cellStyle name="Punto0 - Estilo3" xfId="1859" xr:uid="{C9C5222E-D343-4A02-B8F4-D4CC7EF7AD5B}"/>
    <cellStyle name="Punto0_Análisis CBV2003-Ref-GEN.xls Gráfico 1" xfId="1860" xr:uid="{AADAD1D8-047E-4136-B93F-1BF5BF543D89}"/>
    <cellStyle name="Punto1 - Estilo1" xfId="1861" xr:uid="{ED69D474-500A-4EC7-A1C8-E62A2D30E92B}"/>
    <cellStyle name="Regr Err" xfId="15690" xr:uid="{611C6F81-FB7D-48B3-8B58-B43F305BEC61}"/>
    <cellStyle name="RISKbigPercent" xfId="1862" xr:uid="{28DBED66-3BE6-4047-B9AA-EEFB09E43FEB}"/>
    <cellStyle name="RISKblandrEdge" xfId="1863" xr:uid="{45FB19E0-B889-456C-AC3F-88C42CFC93C9}"/>
    <cellStyle name="RISKblCorner" xfId="1864" xr:uid="{C0F8FBE8-FE4A-4576-8C6E-674FD7CBA449}"/>
    <cellStyle name="RISKbottomEdge" xfId="1865" xr:uid="{DC1B358E-85F8-48D7-9AF3-A6E6A5EB0744}"/>
    <cellStyle name="RISKbrCorner" xfId="1866" xr:uid="{CF1BC9CE-A255-4E1E-887E-6BBE0B54416D}"/>
    <cellStyle name="RISKdarkBoxed" xfId="1867" xr:uid="{FFA3C8E4-FA54-422D-B7DA-01BD363F6A3A}"/>
    <cellStyle name="RISKdarkBoxed 2" xfId="1968" xr:uid="{C7D58B8B-D426-4343-97A1-59A017704730}"/>
    <cellStyle name="RISKdarkShade" xfId="1868" xr:uid="{E763246C-4855-4B4A-8EED-CB67EEF46E42}"/>
    <cellStyle name="RISKdbottomEdge" xfId="1869" xr:uid="{020B6F13-0B09-42E7-A8B7-D3875FA77CCD}"/>
    <cellStyle name="RISKdrightEdge" xfId="1870" xr:uid="{6B3336FA-3AE6-4FD5-B769-B0D781C6C807}"/>
    <cellStyle name="RISKdurationTime" xfId="1871" xr:uid="{5742F77A-A882-471B-8BD0-8C6750FAC66A}"/>
    <cellStyle name="RISKinNumber" xfId="1872" xr:uid="{EEA4E5C0-6D57-4400-BD47-61A2C096CAFC}"/>
    <cellStyle name="RISKlandrEdge" xfId="1873" xr:uid="{C868B9C7-B774-4B8B-8CBF-3AB007E7E92C}"/>
    <cellStyle name="RISKleftEdge" xfId="1874" xr:uid="{92A0E88E-A0B7-4FD1-AA53-505E872E8DE1}"/>
    <cellStyle name="RISKlightBoxed" xfId="1875" xr:uid="{337E5A9F-8AB7-4B94-ABA6-39D690C5593D}"/>
    <cellStyle name="RISKlightBoxed 2" xfId="1969" xr:uid="{C69A45AD-7DDF-489D-9EB5-C55EB5EF0F48}"/>
    <cellStyle name="RISKltandbEdge" xfId="1876" xr:uid="{7C29864B-2153-45DC-8380-F5EE3326CF75}"/>
    <cellStyle name="RISKltandbEdge 2" xfId="1970" xr:uid="{F2C8526C-B87D-4BC7-9A68-6A728DA405FB}"/>
    <cellStyle name="RISKnormBoxed" xfId="1877" xr:uid="{735ADA41-BEDC-4632-A5C0-D0550017671E}"/>
    <cellStyle name="RISKnormBoxed 2" xfId="1971" xr:uid="{42D2B4A8-6F45-431F-A6B3-1C3E3CEDF4AA}"/>
    <cellStyle name="RISKnormCenter" xfId="1878" xr:uid="{57EC994C-FE3C-4C6C-9161-A4F2C0D1808E}"/>
    <cellStyle name="RISKnormHeading" xfId="1879" xr:uid="{4068EB78-4618-436D-800A-3DC1BC67A6EB}"/>
    <cellStyle name="RISKnormItal" xfId="1880" xr:uid="{94A5057E-3413-43AB-9383-4A8606726DAD}"/>
    <cellStyle name="RISKnormLabel" xfId="1881" xr:uid="{A32B2F45-F6A8-4864-9926-386A81B32CCD}"/>
    <cellStyle name="RISKnormShade" xfId="1882" xr:uid="{1B5F71ED-FDD8-4FF9-BEB5-17E2256DC700}"/>
    <cellStyle name="RISKnormTitle" xfId="1883" xr:uid="{F25DBD6D-C12C-4F5B-A891-6FA9447DABFB}"/>
    <cellStyle name="RISKoutNumber" xfId="1884" xr:uid="{711A458D-ABCA-430B-BC18-550C42C48E1B}"/>
    <cellStyle name="RISKrightEdge" xfId="1885" xr:uid="{E259AAEC-519B-4642-B836-B911D9905D76}"/>
    <cellStyle name="RISKrtandbEdge" xfId="1886" xr:uid="{367D71DE-D046-4A17-9254-E98647E9E38B}"/>
    <cellStyle name="RISKrtandbEdge 2" xfId="1972" xr:uid="{D43A6EF6-3EEB-47D8-B0C3-7F66EE262DB7}"/>
    <cellStyle name="RISKssTime" xfId="1887" xr:uid="{AEB85965-0014-4591-840D-D5118B0E2DAF}"/>
    <cellStyle name="RISKtandbEdge" xfId="1888" xr:uid="{4D8CF4D3-CD75-464F-9C87-6E3BC4B8873B}"/>
    <cellStyle name="RISKtandbEdge 2" xfId="1973" xr:uid="{87157BE1-AE86-442B-B850-154CD3B326F9}"/>
    <cellStyle name="RISKtlandrEdge" xfId="1889" xr:uid="{CA1F181F-5365-46DC-A4DC-4308D666D208}"/>
    <cellStyle name="RISKtlandrEdge 2" xfId="1974" xr:uid="{7AC6E2F5-6F5B-4ED0-A735-B95A096E07A9}"/>
    <cellStyle name="RISKtlCorner" xfId="1890" xr:uid="{904E12D3-BA48-474A-90F5-B4576E76BC4E}"/>
    <cellStyle name="RISKtlCorner 2" xfId="1975" xr:uid="{1DC1EE4B-0C44-4679-9674-78148A3E5FE4}"/>
    <cellStyle name="RISKtopEdge" xfId="1891" xr:uid="{C0A68D55-8001-49A7-A622-66E61C82B8BB}"/>
    <cellStyle name="RISKtopEdge 2" xfId="1976" xr:uid="{5C960630-C708-41ED-A27A-440AB68CAB78}"/>
    <cellStyle name="RISKtrCorner" xfId="1892" xr:uid="{EB1C2D51-6D5C-4444-8DE4-AAC7ED240E61}"/>
    <cellStyle name="RISKtrCorner 2" xfId="1977" xr:uid="{F33C5009-81CF-49BF-A3D1-A64DA1F88D61}"/>
    <cellStyle name="Salida" xfId="15" builtinId="21" customBuiltin="1"/>
    <cellStyle name="Salida 2" xfId="286" xr:uid="{A795253B-1542-4525-881B-69E86A130EF7}"/>
    <cellStyle name="Salida 2 2" xfId="373" xr:uid="{34E15AA9-B4D4-49B2-B068-A4D988037FE4}"/>
    <cellStyle name="Salida 2 2 2" xfId="1450" xr:uid="{95EA49A9-6BD8-4F47-B4F1-2E839D0F1F58}"/>
    <cellStyle name="Salida 2 2 2 2" xfId="1563" xr:uid="{8E9F1520-E621-4A02-909D-E8F248C17858}"/>
    <cellStyle name="Salida 2 2 2 2 10" xfId="4373" xr:uid="{CFED9A7E-E3D9-4A58-AD48-63A42000F236}"/>
    <cellStyle name="Salida 2 2 2 2 10 2" xfId="10333" xr:uid="{9E222750-6578-442A-A5F8-4E1D9366D4EE}"/>
    <cellStyle name="Salida 2 2 2 2 11" xfId="4865" xr:uid="{C9398046-7010-4CB4-8B8C-9C690A38822E}"/>
    <cellStyle name="Salida 2 2 2 2 11 2" xfId="10711" xr:uid="{E57D44A6-3C42-4FCE-813D-AC354503E750}"/>
    <cellStyle name="Salida 2 2 2 2 12" xfId="5441" xr:uid="{319633E1-4C1C-4228-AADE-06EC9BC21EB3}"/>
    <cellStyle name="Salida 2 2 2 2 12 2" xfId="11235" xr:uid="{A10234C9-1B21-4500-B4DD-6424E62C0D33}"/>
    <cellStyle name="Salida 2 2 2 2 13" xfId="5609" xr:uid="{5410716E-E1F0-4DF5-B22E-347EF10A9EB6}"/>
    <cellStyle name="Salida 2 2 2 2 13 2" xfId="11337" xr:uid="{2003485B-AE89-4677-98C2-447C0574892C}"/>
    <cellStyle name="Salida 2 2 2 2 14" xfId="5256" xr:uid="{AC5AE99F-33FA-4074-8D04-C4BD81B07BEA}"/>
    <cellStyle name="Salida 2 2 2 2 14 2" xfId="11102" xr:uid="{D7949127-F811-4051-9CFE-EB769E11DEC9}"/>
    <cellStyle name="Salida 2 2 2 2 15" xfId="5885" xr:uid="{E42EC9D6-F090-42A3-991A-BB2858F3C1E7}"/>
    <cellStyle name="Salida 2 2 2 2 15 2" xfId="11613" xr:uid="{08EA1744-9DB3-4AA7-B0D3-D14E1213B1F5}"/>
    <cellStyle name="Salida 2 2 2 2 16" xfId="5730" xr:uid="{8BC277D4-3898-4625-8942-AD8AC2FE631E}"/>
    <cellStyle name="Salida 2 2 2 2 16 2" xfId="11458" xr:uid="{A5D9688B-A07B-4FE9-BC01-993CEEF2C353}"/>
    <cellStyle name="Salida 2 2 2 2 17" xfId="5177" xr:uid="{D628DA0A-AC9C-494A-91DE-740F76CFE832}"/>
    <cellStyle name="Salida 2 2 2 2 17 2" xfId="11023" xr:uid="{4F0A6E2C-B173-4B81-916E-6F76671A42D5}"/>
    <cellStyle name="Salida 2 2 2 2 18" xfId="7283" xr:uid="{BFFCB48C-50B9-4AB5-B9FA-9DF5DA2ED0F6}"/>
    <cellStyle name="Salida 2 2 2 2 18 2" xfId="12855" xr:uid="{8D1ECA76-E795-47F3-AA2C-811F57243FA3}"/>
    <cellStyle name="Salida 2 2 2 2 19" xfId="8457" xr:uid="{4A957BF0-9DA0-4AA2-AA85-3BD506244D0E}"/>
    <cellStyle name="Salida 2 2 2 2 19 2" xfId="13937" xr:uid="{B244740A-C74A-4972-A3E4-343300A841DE}"/>
    <cellStyle name="Salida 2 2 2 2 2" xfId="2437" xr:uid="{8BA76782-1D82-4533-9630-4B14093DA0FC}"/>
    <cellStyle name="Salida 2 2 2 2 2 10" xfId="5300" xr:uid="{4FB89CB5-BC1A-4DB9-875C-E02408AA8807}"/>
    <cellStyle name="Salida 2 2 2 2 2 10 2" xfId="11144" xr:uid="{1C9C9917-9A3E-456B-9ABD-A27F9B90E547}"/>
    <cellStyle name="Salida 2 2 2 2 2 11" xfId="6508" xr:uid="{6736B84B-CA9B-4F3B-815A-5FD338DEF0EC}"/>
    <cellStyle name="Salida 2 2 2 2 2 11 2" xfId="12212" xr:uid="{8A185B9A-C4C9-431C-BA72-5D83639F1238}"/>
    <cellStyle name="Salida 2 2 2 2 2 12" xfId="8651" xr:uid="{85786367-B30E-4A00-A316-5FDE9C4819A4}"/>
    <cellStyle name="Salida 2 2 2 2 2 12 2" xfId="14039" xr:uid="{5D7B088C-9387-45DD-9D49-9D105145ED88}"/>
    <cellStyle name="Salida 2 2 2 2 2 13" xfId="8999" xr:uid="{52682499-E47B-43A5-B3F0-9407C71A7E1C}"/>
    <cellStyle name="Salida 2 2 2 2 2 2" xfId="3025" xr:uid="{4C301B24-6F11-4384-8DFF-F4FE97DB7385}"/>
    <cellStyle name="Salida 2 2 2 2 2 2 2" xfId="3965" xr:uid="{4053519F-18A9-430E-8D19-125F9742A371}"/>
    <cellStyle name="Salida 2 2 2 2 2 2 2 2" xfId="10079" xr:uid="{08CBA269-4C1D-4A08-916F-446D7D1A2319}"/>
    <cellStyle name="Salida 2 2 2 2 2 2 3" xfId="6936" xr:uid="{A4BE0945-C4EF-45EC-BA47-E3B7EF4C83C6}"/>
    <cellStyle name="Salida 2 2 2 2 2 2 3 2" xfId="12542" xr:uid="{18E51B5D-5F77-4356-B10C-99C2CEE8B764}"/>
    <cellStyle name="Salida 2 2 2 2 2 2 4" xfId="7614" xr:uid="{71489BE4-F3EA-414F-A20C-7311AC27FE81}"/>
    <cellStyle name="Salida 2 2 2 2 2 2 4 2" xfId="13186" xr:uid="{1FCC87C0-4CAB-4EA1-BA43-F872BD50461F}"/>
    <cellStyle name="Salida 2 2 2 2 2 2 5" xfId="8107" xr:uid="{FBF64521-293F-486D-835E-6C6D37401F93}"/>
    <cellStyle name="Salida 2 2 2 2 2 2 5 2" xfId="13679" xr:uid="{966E85B4-ED4A-4D5F-A9F9-0CEFA6974FCC}"/>
    <cellStyle name="Salida 2 2 2 2 2 2 6" xfId="9359" xr:uid="{BDACE328-DBC5-42A6-BFC0-AD2E2A56A8A7}"/>
    <cellStyle name="Salida 2 2 2 2 2 3" xfId="3485" xr:uid="{465033FE-C85F-464E-8EF0-B4AB767E7E13}"/>
    <cellStyle name="Salida 2 2 2 2 2 3 2" xfId="9719" xr:uid="{AEAA18DF-FD76-464F-B3CC-CD62980C1034}"/>
    <cellStyle name="Salida 2 2 2 2 2 4" xfId="4678" xr:uid="{00E21054-3986-43D4-8303-62523CBE0CBE}"/>
    <cellStyle name="Salida 2 2 2 2 2 4 2" xfId="10542" xr:uid="{5F6B5F3E-8A51-4AA5-9422-99A4A5408D9A}"/>
    <cellStyle name="Salida 2 2 2 2 2 5" xfId="4917" xr:uid="{43269569-AFFE-4D16-B538-C43D8BED129B}"/>
    <cellStyle name="Salida 2 2 2 2 2 5 2" xfId="10763" xr:uid="{A5BAC0DA-A177-483D-99BB-004D4D6F9544}"/>
    <cellStyle name="Salida 2 2 2 2 2 6" xfId="5073" xr:uid="{4B352B57-E165-4B7E-A41B-1B26FF4DCB68}"/>
    <cellStyle name="Salida 2 2 2 2 2 6 2" xfId="10919" xr:uid="{655B2DBD-084D-4F09-AFBF-A351B3652B56}"/>
    <cellStyle name="Salida 2 2 2 2 2 7" xfId="5843" xr:uid="{BDC85A24-3C03-422D-9264-F7CFCB5B711D}"/>
    <cellStyle name="Salida 2 2 2 2 2 7 2" xfId="11571" xr:uid="{6E6BA8C6-3458-4C5A-8AB1-C464D1BAAF7B}"/>
    <cellStyle name="Salida 2 2 2 2 2 8" xfId="5237" xr:uid="{1AF24551-285D-439E-81C7-51A9D71BDD11}"/>
    <cellStyle name="Salida 2 2 2 2 2 8 2" xfId="11083" xr:uid="{8457F657-B2A0-471A-88D6-528FDECFD06C}"/>
    <cellStyle name="Salida 2 2 2 2 2 9" xfId="6380" xr:uid="{674EFDC0-A80F-47C2-9C2F-D0C45C0AEC3B}"/>
    <cellStyle name="Salida 2 2 2 2 2 9 2" xfId="12084" xr:uid="{AC18F4BF-D895-4E4B-ADDD-35257FC834AC}"/>
    <cellStyle name="Salida 2 2 2 2 20" xfId="8897" xr:uid="{3BC9B67E-2A12-4A6A-BBDA-96129FEE8301}"/>
    <cellStyle name="Salida 2 2 2 2 21" xfId="2243" xr:uid="{64AB71F8-D123-4DBA-8041-1FB59CF7AF77}"/>
    <cellStyle name="Salida 2 2 2 2 3" xfId="2542" xr:uid="{405D762C-1913-478A-BD27-FC016D8AF492}"/>
    <cellStyle name="Salida 2 2 2 2 3 10" xfId="7234" xr:uid="{980BDCFA-E653-429D-91DD-D2BC5077A0CD}"/>
    <cellStyle name="Salida 2 2 2 2 3 10 2" xfId="12806" xr:uid="{EDE807FE-9D96-4B99-B4EA-6E8EDBAB4A6D}"/>
    <cellStyle name="Salida 2 2 2 2 3 11" xfId="6305" xr:uid="{DB38611E-0EF0-46F2-A6C2-34270C2DA23C}"/>
    <cellStyle name="Salida 2 2 2 2 3 11 2" xfId="12009" xr:uid="{7812A90C-A538-4903-8139-0499F6F44347}"/>
    <cellStyle name="Salida 2 2 2 2 3 12" xfId="8756" xr:uid="{B83691EA-FE2A-47D7-9CC5-E17A8B908065}"/>
    <cellStyle name="Salida 2 2 2 2 3 12 2" xfId="14112" xr:uid="{D3ABE937-C6B5-4E0B-95FE-F1F08005C07B}"/>
    <cellStyle name="Salida 2 2 2 2 3 13" xfId="9072" xr:uid="{C4D727BA-17FD-4668-9C2E-9311D0F5C3E5}"/>
    <cellStyle name="Salida 2 2 2 2 3 2" xfId="3098" xr:uid="{08235D78-728C-45F3-A3F2-C0EF42E71B08}"/>
    <cellStyle name="Salida 2 2 2 2 3 2 2" xfId="4038" xr:uid="{A22D3033-03AF-45B5-9CE7-46787C495379}"/>
    <cellStyle name="Salida 2 2 2 2 3 2 2 2" xfId="10152" xr:uid="{E144F888-C3C9-4E49-BCA3-A755AE7F1703}"/>
    <cellStyle name="Salida 2 2 2 2 3 2 3" xfId="7009" xr:uid="{E5EA712C-D627-495E-8BCE-BC8C1B0ED304}"/>
    <cellStyle name="Salida 2 2 2 2 3 2 3 2" xfId="12615" xr:uid="{CBB86F72-D9DE-46E6-8FB9-16CEBCF267B1}"/>
    <cellStyle name="Salida 2 2 2 2 3 2 4" xfId="7687" xr:uid="{F3276A8F-055E-4B18-99A4-5577411367A3}"/>
    <cellStyle name="Salida 2 2 2 2 3 2 4 2" xfId="13259" xr:uid="{9A3866F2-35CE-4F5C-821E-7FC43BE69B36}"/>
    <cellStyle name="Salida 2 2 2 2 3 2 5" xfId="8180" xr:uid="{6518CB1D-30EF-43FB-9644-AA51DE79FF41}"/>
    <cellStyle name="Salida 2 2 2 2 3 2 5 2" xfId="13752" xr:uid="{18C31BC3-D978-4961-8D68-37E96BD016B5}"/>
    <cellStyle name="Salida 2 2 2 2 3 2 6" xfId="9432" xr:uid="{0527C0AE-8467-4DEA-B05B-145F9DD4478E}"/>
    <cellStyle name="Salida 2 2 2 2 3 3" xfId="3558" xr:uid="{D586D1FD-59BE-4068-8134-B21A80FD6B62}"/>
    <cellStyle name="Salida 2 2 2 2 3 3 2" xfId="9792" xr:uid="{ABFBD53E-E0A1-4CF6-8F56-EFACF1EA39DD}"/>
    <cellStyle name="Salida 2 2 2 2 3 4" xfId="4755" xr:uid="{78AE9633-DB77-4520-A4B9-A649AB93FFC3}"/>
    <cellStyle name="Salida 2 2 2 2 3 4 2" xfId="10619" xr:uid="{7801F16D-FFA1-4802-AA1E-B0611024EC76}"/>
    <cellStyle name="Salida 2 2 2 2 3 5" xfId="4998" xr:uid="{5A5ACCAC-CBBC-4D68-8BF2-9106E0633C4D}"/>
    <cellStyle name="Salida 2 2 2 2 3 5 2" xfId="10844" xr:uid="{BCAD4240-9BF5-49F0-970C-A35497E0BE0E}"/>
    <cellStyle name="Salida 2 2 2 2 3 6" xfId="5146" xr:uid="{109711DF-40F1-4B8E-B09B-199AF67BF3D3}"/>
    <cellStyle name="Salida 2 2 2 2 3 6 2" xfId="10992" xr:uid="{9B5078AF-AA49-4FD4-835C-7DCE1C16C865}"/>
    <cellStyle name="Salida 2 2 2 2 3 7" xfId="5937" xr:uid="{E7AFDD2B-6DAA-4518-A8AA-34F619E9A2A5}"/>
    <cellStyle name="Salida 2 2 2 2 3 7 2" xfId="11665" xr:uid="{71104489-35B8-4685-AB75-F2349F4D92D2}"/>
    <cellStyle name="Salida 2 2 2 2 3 8" xfId="6267" xr:uid="{3C30D8D7-80BF-465C-A63D-395019489FB7}"/>
    <cellStyle name="Salida 2 2 2 2 3 8 2" xfId="11971" xr:uid="{7EB9CA88-DDD6-43F9-B125-6FC28710490E}"/>
    <cellStyle name="Salida 2 2 2 2 3 9" xfId="6469" xr:uid="{41EB658D-8FD1-46BA-BDCB-3502298AFFB7}"/>
    <cellStyle name="Salida 2 2 2 2 3 9 2" xfId="12173" xr:uid="{C8488815-9018-4E8F-8A4A-6AAE0CA2EC11}"/>
    <cellStyle name="Salida 2 2 2 2 4" xfId="2389" xr:uid="{B5AC1950-E12D-4A43-A6D5-5D3A5C44A438}"/>
    <cellStyle name="Salida 2 2 2 2 4 10" xfId="6302" xr:uid="{46C3CEDB-53CA-4F38-81BF-02C2AD94E049}"/>
    <cellStyle name="Salida 2 2 2 2 4 10 2" xfId="12006" xr:uid="{DC89FA95-576C-4606-A970-D84807A6D9B4}"/>
    <cellStyle name="Salida 2 2 2 2 4 11" xfId="6417" xr:uid="{BC7721B2-FFDE-496A-897B-C02E84BC68CA}"/>
    <cellStyle name="Salida 2 2 2 2 4 11 2" xfId="12121" xr:uid="{AC0BDFCB-3E46-43BD-A955-01BB6A80E7A6}"/>
    <cellStyle name="Salida 2 2 2 2 4 12" xfId="8603" xr:uid="{4D6D2E17-9BF3-44E9-B060-D5A5FD38CF23}"/>
    <cellStyle name="Salida 2 2 2 2 4 12 2" xfId="13991" xr:uid="{C1AA55EC-D2AC-486F-9FA1-5B63AB97E561}"/>
    <cellStyle name="Salida 2 2 2 2 4 13" xfId="8951" xr:uid="{E2AA70CA-6726-436B-AAA9-151C623C9281}"/>
    <cellStyle name="Salida 2 2 2 2 4 2" xfId="2977" xr:uid="{FCEEAADC-E69F-41B6-9A71-89D04561C64D}"/>
    <cellStyle name="Salida 2 2 2 2 4 2 2" xfId="3917" xr:uid="{C6BA1191-750B-4672-AC7C-EF33E7D16F76}"/>
    <cellStyle name="Salida 2 2 2 2 4 2 2 2" xfId="10031" xr:uid="{653BD4E4-907B-4466-9E50-66C178B00E21}"/>
    <cellStyle name="Salida 2 2 2 2 4 2 3" xfId="6888" xr:uid="{6A127D81-03BD-44EF-9A89-7E33BB87FE19}"/>
    <cellStyle name="Salida 2 2 2 2 4 2 3 2" xfId="12494" xr:uid="{A7A23CB2-C0BD-4A6D-8B86-0B7E19830B91}"/>
    <cellStyle name="Salida 2 2 2 2 4 2 4" xfId="7566" xr:uid="{0094DF3E-4A91-4396-8C43-62277044184B}"/>
    <cellStyle name="Salida 2 2 2 2 4 2 4 2" xfId="13138" xr:uid="{021E49BB-A835-4CE0-9489-71AD93D88A47}"/>
    <cellStyle name="Salida 2 2 2 2 4 2 5" xfId="8059" xr:uid="{FD448B29-930C-49F0-A348-7EE214F588D6}"/>
    <cellStyle name="Salida 2 2 2 2 4 2 5 2" xfId="13631" xr:uid="{05671F1C-565C-45F8-997B-0DC076CE83D9}"/>
    <cellStyle name="Salida 2 2 2 2 4 2 6" xfId="9311" xr:uid="{374A3679-59E1-48EC-9E22-93B66122BAFB}"/>
    <cellStyle name="Salida 2 2 2 2 4 3" xfId="3437" xr:uid="{E89C9D1B-3468-4D1C-976B-53573832C0A1}"/>
    <cellStyle name="Salida 2 2 2 2 4 3 2" xfId="9671" xr:uid="{BDC46E40-C78A-44CD-9C9C-98C56E763405}"/>
    <cellStyle name="Salida 2 2 2 2 4 4" xfId="4630" xr:uid="{528345F1-9917-4309-9976-1F3C56E57D64}"/>
    <cellStyle name="Salida 2 2 2 2 4 4 2" xfId="10494" xr:uid="{896D45F6-DB33-4995-885C-DB29E370DD4E}"/>
    <cellStyle name="Salida 2 2 2 2 4 5" xfId="4869" xr:uid="{F08525B6-55BE-40C7-BEDD-6FE016467AB8}"/>
    <cellStyle name="Salida 2 2 2 2 4 5 2" xfId="10715" xr:uid="{23E6A375-AEC8-411E-9005-8015A4369F1E}"/>
    <cellStyle name="Salida 2 2 2 2 4 6" xfId="5025" xr:uid="{B9647B59-8773-474F-9B80-04A59502F8D1}"/>
    <cellStyle name="Salida 2 2 2 2 4 6 2" xfId="10871" xr:uid="{02638ECA-7302-4F72-BE2B-26735FBAA21A}"/>
    <cellStyle name="Salida 2 2 2 2 4 7" xfId="5795" xr:uid="{89032707-C1A1-4D0D-9CCC-661CE0423173}"/>
    <cellStyle name="Salida 2 2 2 2 4 7 2" xfId="11523" xr:uid="{EB87A725-3F4C-4B3E-965B-15AA247A5CA3}"/>
    <cellStyle name="Salida 2 2 2 2 4 8" xfId="5962" xr:uid="{F1467318-075D-45A0-8BA9-49E09199A925}"/>
    <cellStyle name="Salida 2 2 2 2 4 8 2" xfId="11688" xr:uid="{5AFE2233-C33D-429B-911A-B563AFFBF096}"/>
    <cellStyle name="Salida 2 2 2 2 4 9" xfId="6332" xr:uid="{F315BE49-1AEC-487A-B66E-E880AA83F081}"/>
    <cellStyle name="Salida 2 2 2 2 4 9 2" xfId="12036" xr:uid="{4833BDA1-7B6A-4BB5-BFB6-E3A114B26A9C}"/>
    <cellStyle name="Salida 2 2 2 2 5" xfId="2699" xr:uid="{F61015AB-C3AE-41A1-BD13-334DA9E2CCD8}"/>
    <cellStyle name="Salida 2 2 2 2 5 2" xfId="3163" xr:uid="{F8859328-4F42-4660-8C3A-69495EC9F330}"/>
    <cellStyle name="Salida 2 2 2 2 5 2 2" xfId="4121" xr:uid="{2F2102CC-6955-420B-95ED-1DD69E36F463}"/>
    <cellStyle name="Salida 2 2 2 2 5 2 2 2" xfId="10217" xr:uid="{BDF10A9B-6918-4DD2-BB28-45047B0555A9}"/>
    <cellStyle name="Salida 2 2 2 2 5 2 3" xfId="7092" xr:uid="{9D673143-566D-48B2-A514-78D09CBEF89D}"/>
    <cellStyle name="Salida 2 2 2 2 5 2 3 2" xfId="12680" xr:uid="{DFD6442E-0986-48D7-BD0A-5C562C043BDA}"/>
    <cellStyle name="Salida 2 2 2 2 5 2 4" xfId="7753" xr:uid="{4C1E801B-F336-4451-9D71-9E20A842DBE1}"/>
    <cellStyle name="Salida 2 2 2 2 5 2 4 2" xfId="13325" xr:uid="{D2AF590F-A915-46D6-BDF2-5FA57CCA1C7A}"/>
    <cellStyle name="Salida 2 2 2 2 5 2 5" xfId="8245" xr:uid="{8938375D-094F-46F9-9BB0-1CFAB0D326CC}"/>
    <cellStyle name="Salida 2 2 2 2 5 2 5 2" xfId="13817" xr:uid="{6481110B-EFF6-4DD5-893E-55731C36A0D0}"/>
    <cellStyle name="Salida 2 2 2 2 5 2 6" xfId="9497" xr:uid="{8EDD0198-F4BF-4FFA-B864-44ED180E7AD5}"/>
    <cellStyle name="Salida 2 2 2 2 5 3" xfId="3641" xr:uid="{6E36E96B-F32D-4EA4-B629-D628453D43F5}"/>
    <cellStyle name="Salida 2 2 2 2 5 3 2" xfId="9857" xr:uid="{93016E80-8075-4EF3-800F-43B0905A7130}"/>
    <cellStyle name="Salida 2 2 2 2 5 4" xfId="6078" xr:uid="{B04C2482-79F5-4504-91B8-BA61C884A78D}"/>
    <cellStyle name="Salida 2 2 2 2 5 4 2" xfId="11790" xr:uid="{A5BF77AD-36F6-47CE-B3DA-F43D1F7CFBBE}"/>
    <cellStyle name="Salida 2 2 2 2 5 5" xfId="6596" xr:uid="{ED32A219-EE70-4583-BE7E-0ECE195C24DC}"/>
    <cellStyle name="Salida 2 2 2 2 5 5 2" xfId="12300" xr:uid="{41C50F49-97D2-453A-B3A1-ABC06F43EC36}"/>
    <cellStyle name="Salida 2 2 2 2 5 6" xfId="7350" xr:uid="{A139656A-06A3-4D5A-871D-6D89AFDF28D7}"/>
    <cellStyle name="Salida 2 2 2 2 5 6 2" xfId="12922" xr:uid="{11ECA389-1E02-4C49-BEAE-02B1AAB88717}"/>
    <cellStyle name="Salida 2 2 2 2 5 7" xfId="7885" xr:uid="{A619C237-866D-4D5B-8D13-523FDB961428}"/>
    <cellStyle name="Salida 2 2 2 2 5 7 2" xfId="13457" xr:uid="{69E67B06-F683-4E08-A152-5710DBF7D59D}"/>
    <cellStyle name="Salida 2 2 2 2 5 8" xfId="9137" xr:uid="{6AFA8C4A-811F-43A0-B9A0-7FFDC33DAB1F}"/>
    <cellStyle name="Salida 2 2 2 2 6" xfId="2791" xr:uid="{398AF3C2-1A31-433B-A273-AD3609983924}"/>
    <cellStyle name="Salida 2 2 2 2 6 2" xfId="3223" xr:uid="{6EBC6200-1776-459D-9FA4-B4685AAADB2F}"/>
    <cellStyle name="Salida 2 2 2 2 6 2 2" xfId="4181" xr:uid="{26AC7E02-6CEB-4244-9849-3003A00AEE2B}"/>
    <cellStyle name="Salida 2 2 2 2 6 2 2 2" xfId="10277" xr:uid="{E2A4724D-A4E0-4A00-9A9E-15761B604B24}"/>
    <cellStyle name="Salida 2 2 2 2 6 2 3" xfId="7152" xr:uid="{E1E10B04-7E72-4CCE-A4E9-A34028246AE0}"/>
    <cellStyle name="Salida 2 2 2 2 6 2 3 2" xfId="12740" xr:uid="{EB2D8840-8A07-4299-9675-0976C3466F86}"/>
    <cellStyle name="Salida 2 2 2 2 6 2 4" xfId="7813" xr:uid="{57E03FD5-0600-4D13-833F-303CBC79AFFD}"/>
    <cellStyle name="Salida 2 2 2 2 6 2 4 2" xfId="13385" xr:uid="{E4B8E340-3F7A-43E3-83C1-C6B1BFE3C19A}"/>
    <cellStyle name="Salida 2 2 2 2 6 2 5" xfId="8305" xr:uid="{96C47AAE-14AB-419B-AE75-DDB5716F0FA5}"/>
    <cellStyle name="Salida 2 2 2 2 6 2 5 2" xfId="13877" xr:uid="{D79DB5B6-160B-4E4B-A631-FBC3BA93FA5B}"/>
    <cellStyle name="Salida 2 2 2 2 6 2 6" xfId="9557" xr:uid="{032847CA-8CB8-47E7-B594-4408B364EF1A}"/>
    <cellStyle name="Salida 2 2 2 2 6 3" xfId="3701" xr:uid="{98F00534-6FBE-4EA4-A27E-7F86882515C3}"/>
    <cellStyle name="Salida 2 2 2 2 6 3 2" xfId="9917" xr:uid="{39258812-5083-4FC6-BC80-0B0C61FB9B55}"/>
    <cellStyle name="Salida 2 2 2 2 6 4" xfId="6158" xr:uid="{AA59255C-084D-4E2A-B683-3B573A0506F6}"/>
    <cellStyle name="Salida 2 2 2 2 6 4 2" xfId="11870" xr:uid="{49CB7706-E722-4535-8195-2EDF507BB887}"/>
    <cellStyle name="Salida 2 2 2 2 6 5" xfId="6668" xr:uid="{F897EA26-44FC-4D50-9A5C-935462A4C047}"/>
    <cellStyle name="Salida 2 2 2 2 6 5 2" xfId="12372" xr:uid="{0414BA61-DF28-42A7-AF49-90A0E8AEF2B8}"/>
    <cellStyle name="Salida 2 2 2 2 6 6" xfId="7412" xr:uid="{C9D49C9F-073B-4533-8D72-47AA845DA6BC}"/>
    <cellStyle name="Salida 2 2 2 2 6 6 2" xfId="12984" xr:uid="{50985E5B-0DD2-4EF5-A25E-B7AEDFF2DC09}"/>
    <cellStyle name="Salida 2 2 2 2 6 7" xfId="7945" xr:uid="{5EB876B2-2C4B-4B60-B492-2D74E9F24468}"/>
    <cellStyle name="Salida 2 2 2 2 6 7 2" xfId="13517" xr:uid="{6A414801-6063-4C74-AA4F-BC5E2300AB06}"/>
    <cellStyle name="Salida 2 2 2 2 6 8" xfId="9197" xr:uid="{18518B01-7B2F-43D7-A0BC-AA6794236E0C}"/>
    <cellStyle name="Salida 2 2 2 2 7" xfId="2891" xr:uid="{010A4AD0-5D0B-4431-8CAE-0CE6652C47C6}"/>
    <cellStyle name="Salida 2 2 2 2 7 2" xfId="3819" xr:uid="{ACDA33BB-28E2-4863-807B-AF00AD241F00}"/>
    <cellStyle name="Salida 2 2 2 2 7 2 2" xfId="9977" xr:uid="{BBED1AB0-3D04-4FA3-9947-3A6F7DC6B751}"/>
    <cellStyle name="Salida 2 2 2 2 7 3" xfId="6790" xr:uid="{29812276-8B52-4D09-90DB-C06404348BF4}"/>
    <cellStyle name="Salida 2 2 2 2 7 3 2" xfId="12440" xr:uid="{5F5B91D3-F341-4E4B-B872-D58550E25013}"/>
    <cellStyle name="Salida 2 2 2 2 7 4" xfId="7497" xr:uid="{1A1D13F4-8116-4A3F-9286-45AA4A9CC2A7}"/>
    <cellStyle name="Salida 2 2 2 2 7 4 2" xfId="13069" xr:uid="{644D3F2F-CE4E-4C4D-80A1-2503C07A3CB6}"/>
    <cellStyle name="Salida 2 2 2 2 7 5" xfId="8005" xr:uid="{C9BA038E-D23C-40D7-AD89-9770F96C26EA}"/>
    <cellStyle name="Salida 2 2 2 2 7 5 2" xfId="13577" xr:uid="{75945927-2A3D-4EA9-8959-6F7B04EB34EB}"/>
    <cellStyle name="Salida 2 2 2 2 7 6" xfId="9257" xr:uid="{6E451C30-14DC-4498-9FF7-032A9B8A502B}"/>
    <cellStyle name="Salida 2 2 2 2 8" xfId="3339" xr:uid="{8AB675E7-5432-4FF7-85E4-712B54021173}"/>
    <cellStyle name="Salida 2 2 2 2 8 2" xfId="9617" xr:uid="{67E85E9E-3BFE-4821-A67D-317D576546D4}"/>
    <cellStyle name="Salida 2 2 2 2 9" xfId="4506" xr:uid="{A89FC52C-41F0-4285-8AFC-157CD982C9A1}"/>
    <cellStyle name="Salida 2 2 2 2 9 2" xfId="10414" xr:uid="{8EA40A61-2361-4331-9B10-B92BD033409B}"/>
    <cellStyle name="Salida 2 2 2 3" xfId="1616" xr:uid="{F325A302-7705-432E-8A18-FF96EB183F5D}"/>
    <cellStyle name="Salida 2 2 2 3 10" xfId="4400" xr:uid="{6DC74EB9-7096-418A-B636-1E4223AE1ADE}"/>
    <cellStyle name="Salida 2 2 2 3 10 2" xfId="10358" xr:uid="{583605FB-8EE2-4942-94B5-C8255964C4E9}"/>
    <cellStyle name="Salida 2 2 2 3 11" xfId="4950" xr:uid="{C68D01BD-2AB5-4D71-8D05-2E5951E5634C}"/>
    <cellStyle name="Salida 2 2 2 3 11 2" xfId="10796" xr:uid="{B94175A7-B643-41E0-8C1F-238BDC7ABA57}"/>
    <cellStyle name="Salida 2 2 2 3 12" xfId="5394" xr:uid="{A8A658DD-8666-404F-9AF1-66BE04729A6B}"/>
    <cellStyle name="Salida 2 2 2 3 12 2" xfId="11192" xr:uid="{8A6DA053-2E9F-4188-8D9C-22258DB465AD}"/>
    <cellStyle name="Salida 2 2 2 3 13" xfId="5562" xr:uid="{9D070336-C1DB-462C-A843-3404B261B2CE}"/>
    <cellStyle name="Salida 2 2 2 3 13 2" xfId="11290" xr:uid="{8E021C9C-07FC-47D5-9056-638B14713B52}"/>
    <cellStyle name="Salida 2 2 2 3 14" xfId="5647" xr:uid="{2D120B99-69BC-4968-B7D0-368310F98FE8}"/>
    <cellStyle name="Salida 2 2 2 3 14 2" xfId="11375" xr:uid="{68B59EEA-2487-4DFE-88A8-569894D0B99A}"/>
    <cellStyle name="Salida 2 2 2 3 15" xfId="5687" xr:uid="{B3639B50-FE06-478C-9461-D88183DFF16E}"/>
    <cellStyle name="Salida 2 2 2 3 15 2" xfId="11415" xr:uid="{911A120A-56A6-413A-927B-3E635DA915F5}"/>
    <cellStyle name="Salida 2 2 2 3 16" xfId="6209" xr:uid="{91AA95F9-3B7F-4229-87A7-F1862F409C8D}"/>
    <cellStyle name="Salida 2 2 2 3 16 2" xfId="11913" xr:uid="{781D00CC-0751-42AB-B0B5-A4A9EB6A7563}"/>
    <cellStyle name="Salida 2 2 2 3 17" xfId="5665" xr:uid="{C8FDA8A9-A079-4045-AFEC-FA1B73DBE737}"/>
    <cellStyle name="Salida 2 2 2 3 17 2" xfId="11393" xr:uid="{B2ABFD8E-106D-4092-97E1-E69C75CEED26}"/>
    <cellStyle name="Salida 2 2 2 3 18" xfId="6319" xr:uid="{CD2989BD-A555-4E89-A614-7E487EF091D4}"/>
    <cellStyle name="Salida 2 2 2 3 18 2" xfId="12023" xr:uid="{EDAAF087-6843-4102-A5E7-DA64FCE3DE13}"/>
    <cellStyle name="Salida 2 2 2 3 19" xfId="8414" xr:uid="{F8F30B7F-2835-406D-B748-6C8396381D0A}"/>
    <cellStyle name="Salida 2 2 2 3 19 2" xfId="13894" xr:uid="{4725D5E8-940F-48F0-8BE2-44ABCF0979B5}"/>
    <cellStyle name="Salida 2 2 2 3 2" xfId="2392" xr:uid="{30065785-4B0B-445F-AEC0-4C04182DD1C5}"/>
    <cellStyle name="Salida 2 2 2 3 2 10" xfId="6513" xr:uid="{13451BD0-E71F-427A-9335-9D6B504092D8}"/>
    <cellStyle name="Salida 2 2 2 3 2 10 2" xfId="12217" xr:uid="{A98E0E3B-1291-4375-8EC6-CF2E2CE73607}"/>
    <cellStyle name="Salida 2 2 2 3 2 11" xfId="6105" xr:uid="{AE5BDFFB-F82C-4F3F-A0EC-F60557F435E5}"/>
    <cellStyle name="Salida 2 2 2 3 2 11 2" xfId="11817" xr:uid="{45762D48-DB89-4101-A4A3-57D178D4363F}"/>
    <cellStyle name="Salida 2 2 2 3 2 12" xfId="8606" xr:uid="{4B0F0486-A0E2-486F-907A-276A450755C9}"/>
    <cellStyle name="Salida 2 2 2 3 2 12 2" xfId="13994" xr:uid="{163057ED-4C08-4F13-B069-8AB02BAE03C4}"/>
    <cellStyle name="Salida 2 2 2 3 2 13" xfId="8954" xr:uid="{9D82E4B7-0198-4B77-8B03-505FD411F980}"/>
    <cellStyle name="Salida 2 2 2 3 2 2" xfId="2980" xr:uid="{4DBF746F-BEB6-4377-BBB6-CCA845879F2A}"/>
    <cellStyle name="Salida 2 2 2 3 2 2 2" xfId="3920" xr:uid="{82EDCA56-5C4C-48BF-BF73-597AD6E25F69}"/>
    <cellStyle name="Salida 2 2 2 3 2 2 2 2" xfId="10034" xr:uid="{A06D091D-0659-43A0-8057-031398553269}"/>
    <cellStyle name="Salida 2 2 2 3 2 2 3" xfId="6891" xr:uid="{F1587C98-7419-4A32-B186-AFF3D5CA31DF}"/>
    <cellStyle name="Salida 2 2 2 3 2 2 3 2" xfId="12497" xr:uid="{BB9FC129-F942-473D-A9D3-486274368A38}"/>
    <cellStyle name="Salida 2 2 2 3 2 2 4" xfId="7569" xr:uid="{F2C28262-8100-4FB5-AE6C-ED4F4AFA22B7}"/>
    <cellStyle name="Salida 2 2 2 3 2 2 4 2" xfId="13141" xr:uid="{836F6563-8ADC-4591-B063-A71AEDAE334C}"/>
    <cellStyle name="Salida 2 2 2 3 2 2 5" xfId="8062" xr:uid="{15EFBBB2-8C2B-4C16-A136-103507732CB3}"/>
    <cellStyle name="Salida 2 2 2 3 2 2 5 2" xfId="13634" xr:uid="{DD82CFEA-2416-4F57-BF19-4DBF4D11546E}"/>
    <cellStyle name="Salida 2 2 2 3 2 2 6" xfId="9314" xr:uid="{F13711DA-C9AE-4F22-9856-DB595E220623}"/>
    <cellStyle name="Salida 2 2 2 3 2 3" xfId="3440" xr:uid="{9862D945-D439-42B9-AD0B-9B5B4482CF93}"/>
    <cellStyle name="Salida 2 2 2 3 2 3 2" xfId="9674" xr:uid="{72BA15F1-80FB-417E-833F-FAA9E487C5E4}"/>
    <cellStyle name="Salida 2 2 2 3 2 4" xfId="4633" xr:uid="{EC3D9F93-00A7-4B3F-AAE3-08EE377E8D7D}"/>
    <cellStyle name="Salida 2 2 2 3 2 4 2" xfId="10497" xr:uid="{DD65E5F4-BFB8-4D75-956B-3E6A0D520889}"/>
    <cellStyle name="Salida 2 2 2 3 2 5" xfId="4872" xr:uid="{644D09CF-D1E4-4581-8B55-68292A937F0A}"/>
    <cellStyle name="Salida 2 2 2 3 2 5 2" xfId="10718" xr:uid="{20259A12-52CE-42D9-B622-E4CF31F8856B}"/>
    <cellStyle name="Salida 2 2 2 3 2 6" xfId="5028" xr:uid="{F3EE4909-3179-471C-BD4D-06431C8A8F69}"/>
    <cellStyle name="Salida 2 2 2 3 2 6 2" xfId="10874" xr:uid="{F67A7AA5-03FC-4EBB-8819-BA5C3F264C64}"/>
    <cellStyle name="Salida 2 2 2 3 2 7" xfId="5798" xr:uid="{F6AE4D69-CADF-4C8E-B8BD-C76F5C9BFC74}"/>
    <cellStyle name="Salida 2 2 2 3 2 7 2" xfId="11526" xr:uid="{B4B259A1-6938-4CBB-8B52-3AA6958B7D0C}"/>
    <cellStyle name="Salida 2 2 2 3 2 8" xfId="5274" xr:uid="{DC55000C-EA9B-41E7-BEA7-E071CB5FA4F4}"/>
    <cellStyle name="Salida 2 2 2 3 2 8 2" xfId="11118" xr:uid="{15D21D1C-49E1-466A-9473-DB70562B7AD5}"/>
    <cellStyle name="Salida 2 2 2 3 2 9" xfId="6335" xr:uid="{46861AB8-2FF9-468E-AC3F-374E2AFED038}"/>
    <cellStyle name="Salida 2 2 2 3 2 9 2" xfId="12039" xr:uid="{5C7962DA-4D3A-4095-9E74-50012B0AFFE3}"/>
    <cellStyle name="Salida 2 2 2 3 20" xfId="8854" xr:uid="{D69E40B3-9A61-4403-BD6D-9BA0CC7F7776}"/>
    <cellStyle name="Salida 2 2 2 3 21" xfId="2200" xr:uid="{E84B6EF1-BBE4-4DDB-84BC-4BB5B288B8CB}"/>
    <cellStyle name="Salida 2 2 2 3 3" xfId="2498" xr:uid="{90551150-0092-4367-A543-6EDDF0210718}"/>
    <cellStyle name="Salida 2 2 2 3 3 10" xfId="7190" xr:uid="{8EC8B88C-73CB-42B9-BA30-F0BD635D3145}"/>
    <cellStyle name="Salida 2 2 2 3 3 10 2" xfId="12762" xr:uid="{0076A51A-A05B-43D8-89AE-927DDF81DBD8}"/>
    <cellStyle name="Salida 2 2 2 3 3 11" xfId="5780" xr:uid="{C3C14345-0772-42BF-82CA-22D4ABB0A624}"/>
    <cellStyle name="Salida 2 2 2 3 3 11 2" xfId="11508" xr:uid="{56DBE4A7-C108-4C31-9885-CB24DF5748E6}"/>
    <cellStyle name="Salida 2 2 2 3 3 12" xfId="8712" xr:uid="{711DC4C0-832E-455A-BABB-CA090DF14CEC}"/>
    <cellStyle name="Salida 2 2 2 3 3 12 2" xfId="14068" xr:uid="{90B0F0F8-A3C2-49B9-BBFF-F261C5A07D24}"/>
    <cellStyle name="Salida 2 2 2 3 3 13" xfId="9028" xr:uid="{ED4E7EDE-5035-48C2-B237-92A722282977}"/>
    <cellStyle name="Salida 2 2 2 3 3 2" xfId="3054" xr:uid="{3065C515-F453-45FE-82D3-6AE1A1B13911}"/>
    <cellStyle name="Salida 2 2 2 3 3 2 2" xfId="3994" xr:uid="{B6680AD4-2328-43B5-BE64-149754D64062}"/>
    <cellStyle name="Salida 2 2 2 3 3 2 2 2" xfId="10108" xr:uid="{E7B4A928-A988-442D-92D7-6FF4445DC8C3}"/>
    <cellStyle name="Salida 2 2 2 3 3 2 3" xfId="6965" xr:uid="{FF982124-A7CA-4B32-AD17-6909B2571196}"/>
    <cellStyle name="Salida 2 2 2 3 3 2 3 2" xfId="12571" xr:uid="{64D492BE-B142-444E-A16C-3FF2675FD22F}"/>
    <cellStyle name="Salida 2 2 2 3 3 2 4" xfId="7643" xr:uid="{1F1DA737-FCD0-4157-82DF-5B68EF3A3DD5}"/>
    <cellStyle name="Salida 2 2 2 3 3 2 4 2" xfId="13215" xr:uid="{C761F39D-0C44-44CA-982D-EE4AD1FFE693}"/>
    <cellStyle name="Salida 2 2 2 3 3 2 5" xfId="8136" xr:uid="{CFB5CB58-480D-4059-9D9C-F241A5D44D35}"/>
    <cellStyle name="Salida 2 2 2 3 3 2 5 2" xfId="13708" xr:uid="{307F2338-F165-400E-8D4C-65F29C88B563}"/>
    <cellStyle name="Salida 2 2 2 3 3 2 6" xfId="9388" xr:uid="{F1692278-1931-49A5-85C2-878A5EFE3826}"/>
    <cellStyle name="Salida 2 2 2 3 3 3" xfId="3514" xr:uid="{4AB16346-0669-4091-9C58-47FE76701F34}"/>
    <cellStyle name="Salida 2 2 2 3 3 3 2" xfId="9748" xr:uid="{19046542-5919-4401-9ED0-E9A0D3403BCB}"/>
    <cellStyle name="Salida 2 2 2 3 3 4" xfId="4711" xr:uid="{0CCE8EE1-6C59-4FDB-9D92-8E53666E162C}"/>
    <cellStyle name="Salida 2 2 2 3 3 4 2" xfId="10575" xr:uid="{442EBC5B-240E-470C-9F03-A4E4A173121E}"/>
    <cellStyle name="Salida 2 2 2 3 3 5" xfId="4954" xr:uid="{AD399DF6-D87C-4809-90F3-16747894E0D9}"/>
    <cellStyle name="Salida 2 2 2 3 3 5 2" xfId="10800" xr:uid="{CD3CE602-14F8-4CE8-A6B9-0AA7F2FC3A8A}"/>
    <cellStyle name="Salida 2 2 2 3 3 6" xfId="5102" xr:uid="{529ABE6F-91F1-46B0-B00F-4535355DF96C}"/>
    <cellStyle name="Salida 2 2 2 3 3 6 2" xfId="10948" xr:uid="{D2BAD704-5380-48D8-80DE-DF6FD778D9A8}"/>
    <cellStyle name="Salida 2 2 2 3 3 7" xfId="5893" xr:uid="{3370DA25-CFEC-49EB-94EB-EB773951F5E8}"/>
    <cellStyle name="Salida 2 2 2 3 3 7 2" xfId="11621" xr:uid="{C9F42EAF-32D9-4FDF-96DB-3EC984FDAECC}"/>
    <cellStyle name="Salida 2 2 2 3 3 8" xfId="6223" xr:uid="{E7ECE8DC-1835-4F7E-BBC0-41A06D72217C}"/>
    <cellStyle name="Salida 2 2 2 3 3 8 2" xfId="11927" xr:uid="{1D780A94-5D0B-441D-8ED5-A302EFAF5183}"/>
    <cellStyle name="Salida 2 2 2 3 3 9" xfId="6425" xr:uid="{3CB8E183-6BE4-4020-B3A3-66C35B2B8B8F}"/>
    <cellStyle name="Salida 2 2 2 3 3 9 2" xfId="12129" xr:uid="{2FA655AB-F564-4A17-BC15-F7EC830AA1C4}"/>
    <cellStyle name="Salida 2 2 2 3 4" xfId="2458" xr:uid="{0A8F4483-46AF-48C6-83F3-71DB6B99F402}"/>
    <cellStyle name="Salida 2 2 2 3 4 10" xfId="5535" xr:uid="{668F8644-887F-4C7C-845E-CE280BD11CB0}"/>
    <cellStyle name="Salida 2 2 2 3 4 10 2" xfId="11263" xr:uid="{5EF89855-C7B5-451C-8983-698858381CD1}"/>
    <cellStyle name="Salida 2 2 2 3 4 11" xfId="6544" xr:uid="{EC3428FB-EECB-44BE-B05F-2B9C3E975550}"/>
    <cellStyle name="Salida 2 2 2 3 4 11 2" xfId="12248" xr:uid="{60D02C41-EDC5-4027-A717-CBB7845CE995}"/>
    <cellStyle name="Salida 2 2 2 3 4 12" xfId="8672" xr:uid="{9E712B22-E7C4-4E9B-A9E6-0E382FF514A6}"/>
    <cellStyle name="Salida 2 2 2 3 4 12 2" xfId="14060" xr:uid="{88658DFB-C7BE-48AA-AE66-887FA2BA5FB8}"/>
    <cellStyle name="Salida 2 2 2 3 4 13" xfId="9020" xr:uid="{E4285DD5-1C2D-45FD-AD2B-2D7E7765BB93}"/>
    <cellStyle name="Salida 2 2 2 3 4 2" xfId="3046" xr:uid="{DA263737-B6FA-462F-94A2-C3E59439CD51}"/>
    <cellStyle name="Salida 2 2 2 3 4 2 2" xfId="3986" xr:uid="{83D7A474-F015-4607-AEFF-C7EBF6E4FFB1}"/>
    <cellStyle name="Salida 2 2 2 3 4 2 2 2" xfId="10100" xr:uid="{31C50C73-1F06-4BDA-A8E9-C8CEF3F0C875}"/>
    <cellStyle name="Salida 2 2 2 3 4 2 3" xfId="6957" xr:uid="{F31898B9-0361-48BA-81F8-9C37AF281D33}"/>
    <cellStyle name="Salida 2 2 2 3 4 2 3 2" xfId="12563" xr:uid="{099EDD75-D9AE-4387-86B5-4A5387E18BD8}"/>
    <cellStyle name="Salida 2 2 2 3 4 2 4" xfId="7635" xr:uid="{876CEFCE-9360-4157-9BAF-6620F1BA5C33}"/>
    <cellStyle name="Salida 2 2 2 3 4 2 4 2" xfId="13207" xr:uid="{C43461A4-8AEB-4E8E-91AF-83B478A572A7}"/>
    <cellStyle name="Salida 2 2 2 3 4 2 5" xfId="8128" xr:uid="{D595CCFF-3234-4817-A6F5-00A9B03ED9BD}"/>
    <cellStyle name="Salida 2 2 2 3 4 2 5 2" xfId="13700" xr:uid="{27B351E9-39FA-4589-B2D5-669742FA42A1}"/>
    <cellStyle name="Salida 2 2 2 3 4 2 6" xfId="9380" xr:uid="{FFA734FE-9E82-474A-A533-B5E781BDA989}"/>
    <cellStyle name="Salida 2 2 2 3 4 3" xfId="3506" xr:uid="{FB41DF1F-DB57-44CF-ABD2-700CA973F8DF}"/>
    <cellStyle name="Salida 2 2 2 3 4 3 2" xfId="9740" xr:uid="{5034046E-4845-4A51-9A10-C38EBE1C2AE9}"/>
    <cellStyle name="Salida 2 2 2 3 4 4" xfId="4699" xr:uid="{8B754CF2-C8D9-4B4E-AB76-13A9FEA44067}"/>
    <cellStyle name="Salida 2 2 2 3 4 4 2" xfId="10563" xr:uid="{890DDBEB-6FC6-4396-9CB2-3BB7127BED72}"/>
    <cellStyle name="Salida 2 2 2 3 4 5" xfId="4938" xr:uid="{84C4633F-54B9-4042-9401-D9D66E542D17}"/>
    <cellStyle name="Salida 2 2 2 3 4 5 2" xfId="10784" xr:uid="{C24128C5-8158-43F7-B707-49C63E1AA12F}"/>
    <cellStyle name="Salida 2 2 2 3 4 6" xfId="5094" xr:uid="{C4A114AC-AB0F-4FEE-9444-167BFA7D5A2C}"/>
    <cellStyle name="Salida 2 2 2 3 4 6 2" xfId="10940" xr:uid="{1F944490-E032-452E-85E8-F9E21DF66458}"/>
    <cellStyle name="Salida 2 2 2 3 4 7" xfId="5864" xr:uid="{AEF23211-376F-45DA-B653-EF9A2A6830F8}"/>
    <cellStyle name="Salida 2 2 2 3 4 7 2" xfId="11592" xr:uid="{05AC7BF8-8F68-4999-B6A4-6C439FBCC1C5}"/>
    <cellStyle name="Salida 2 2 2 3 4 8" xfId="6193" xr:uid="{39CD3E9C-35C1-4EF5-A5A4-8AD848762C39}"/>
    <cellStyle name="Salida 2 2 2 3 4 8 2" xfId="11897" xr:uid="{B87AD383-564B-4BCF-810A-53A1AB03267E}"/>
    <cellStyle name="Salida 2 2 2 3 4 9" xfId="6401" xr:uid="{A3144397-F06D-4CC2-832C-3B48F4F8160F}"/>
    <cellStyle name="Salida 2 2 2 3 4 9 2" xfId="12105" xr:uid="{D2E28510-3CD0-44EA-8F9D-A74B09682829}"/>
    <cellStyle name="Salida 2 2 2 3 5" xfId="2656" xr:uid="{3CA48435-02F7-4D34-A5E2-CFADE0554E07}"/>
    <cellStyle name="Salida 2 2 2 3 5 2" xfId="3120" xr:uid="{460B2C56-7565-4947-9009-2CD6B5EE5F8D}"/>
    <cellStyle name="Salida 2 2 2 3 5 2 2" xfId="4078" xr:uid="{1DD60302-68C0-4A71-8581-6E1CF4AD668D}"/>
    <cellStyle name="Salida 2 2 2 3 5 2 2 2" xfId="10174" xr:uid="{082E87E6-203C-4F8C-A1E6-969518D2ECA3}"/>
    <cellStyle name="Salida 2 2 2 3 5 2 3" xfId="7049" xr:uid="{2C28761F-AF18-404C-93AE-3B8A8CE2894B}"/>
    <cellStyle name="Salida 2 2 2 3 5 2 3 2" xfId="12637" xr:uid="{0925FE9C-82CD-41DD-B4AC-4F22CAC2E638}"/>
    <cellStyle name="Salida 2 2 2 3 5 2 4" xfId="7710" xr:uid="{B175F804-F0DA-417A-878A-9CC8FE69ED94}"/>
    <cellStyle name="Salida 2 2 2 3 5 2 4 2" xfId="13282" xr:uid="{35DE14DC-DFB3-4C4F-8FCC-3BC98B47923B}"/>
    <cellStyle name="Salida 2 2 2 3 5 2 5" xfId="8202" xr:uid="{D5E79718-707F-4B2A-886B-53878D7F51AF}"/>
    <cellStyle name="Salida 2 2 2 3 5 2 5 2" xfId="13774" xr:uid="{37A703E0-AFD9-4881-9809-A20FD12B2075}"/>
    <cellStyle name="Salida 2 2 2 3 5 2 6" xfId="9454" xr:uid="{2D400A9A-DD55-4358-9229-3B96A7FD622B}"/>
    <cellStyle name="Salida 2 2 2 3 5 3" xfId="3598" xr:uid="{A09678CB-6005-42D2-ABF0-77826C1BFA5B}"/>
    <cellStyle name="Salida 2 2 2 3 5 3 2" xfId="9814" xr:uid="{3094C7B8-EDDB-433E-9F8B-B07F7EF6C577}"/>
    <cellStyle name="Salida 2 2 2 3 5 4" xfId="6035" xr:uid="{1C1027BA-6E51-4885-86E5-0C9EE873C975}"/>
    <cellStyle name="Salida 2 2 2 3 5 4 2" xfId="11747" xr:uid="{3EE1B5E3-DB41-40D3-A16C-BD02BD8E787D}"/>
    <cellStyle name="Salida 2 2 2 3 5 5" xfId="6553" xr:uid="{CDE804E2-9627-4AEC-84BF-AA57D80FC8F3}"/>
    <cellStyle name="Salida 2 2 2 3 5 5 2" xfId="12257" xr:uid="{295243C0-E8B8-4E53-8183-36DC7D13F5C0}"/>
    <cellStyle name="Salida 2 2 2 3 5 6" xfId="7307" xr:uid="{C74B1C47-6CF3-446B-964B-BE176D733DC7}"/>
    <cellStyle name="Salida 2 2 2 3 5 6 2" xfId="12879" xr:uid="{495FFB15-AF02-423C-B84A-7610640DA990}"/>
    <cellStyle name="Salida 2 2 2 3 5 7" xfId="7842" xr:uid="{96CFFCBB-89FE-43E6-95CC-980360E77FBB}"/>
    <cellStyle name="Salida 2 2 2 3 5 7 2" xfId="13414" xr:uid="{B28E1A8E-635B-4CE6-9DD9-342D611B36B0}"/>
    <cellStyle name="Salida 2 2 2 3 5 8" xfId="9094" xr:uid="{EFAEA8B0-4CE0-4D0D-9F8D-BC37E5772113}"/>
    <cellStyle name="Salida 2 2 2 3 6" xfId="2748" xr:uid="{0FFD6A8B-774A-43E1-B001-C6576DAAA63A}"/>
    <cellStyle name="Salida 2 2 2 3 6 2" xfId="3180" xr:uid="{BC2D7F45-997C-4CCA-B2C8-83CA1BCC0FB0}"/>
    <cellStyle name="Salida 2 2 2 3 6 2 2" xfId="4138" xr:uid="{97EDBAAB-A9A5-48D2-A780-28C3927E8EF9}"/>
    <cellStyle name="Salida 2 2 2 3 6 2 2 2" xfId="10234" xr:uid="{DD1023E5-7238-4CF4-B103-26F880C0ECEF}"/>
    <cellStyle name="Salida 2 2 2 3 6 2 3" xfId="7109" xr:uid="{FC95A9F4-BAB2-41BE-AA6B-CDDC7DF4AA8A}"/>
    <cellStyle name="Salida 2 2 2 3 6 2 3 2" xfId="12697" xr:uid="{64334A00-BC12-41EC-9874-EF220941A8BB}"/>
    <cellStyle name="Salida 2 2 2 3 6 2 4" xfId="7770" xr:uid="{47B7D750-B03F-4F2B-8EA1-7BFB589CEEAC}"/>
    <cellStyle name="Salida 2 2 2 3 6 2 4 2" xfId="13342" xr:uid="{2247F38B-7664-460C-A91F-984D24601C82}"/>
    <cellStyle name="Salida 2 2 2 3 6 2 5" xfId="8262" xr:uid="{6636E808-D673-49D7-9F56-535D7E495920}"/>
    <cellStyle name="Salida 2 2 2 3 6 2 5 2" xfId="13834" xr:uid="{C9BF2AB9-4E6B-4AE9-99FD-2780B0491096}"/>
    <cellStyle name="Salida 2 2 2 3 6 2 6" xfId="9514" xr:uid="{E075E195-6B9B-4556-BDB3-D40F762B0602}"/>
    <cellStyle name="Salida 2 2 2 3 6 3" xfId="3658" xr:uid="{FC13219C-41D0-4CCB-806D-A12F486A6795}"/>
    <cellStyle name="Salida 2 2 2 3 6 3 2" xfId="9874" xr:uid="{CD610561-3528-4BC8-942E-763A1D10EBDD}"/>
    <cellStyle name="Salida 2 2 2 3 6 4" xfId="6115" xr:uid="{F29DBA51-D461-45B9-9663-814E6570A191}"/>
    <cellStyle name="Salida 2 2 2 3 6 4 2" xfId="11827" xr:uid="{37BC21C6-0CC4-4BBA-BF75-FF8DDA5E119B}"/>
    <cellStyle name="Salida 2 2 2 3 6 5" xfId="6625" xr:uid="{E8466AD3-FB2D-41A7-84BD-8AB6742F5B49}"/>
    <cellStyle name="Salida 2 2 2 3 6 5 2" xfId="12329" xr:uid="{DC1D9D00-6333-4270-A068-D041E7A7F334}"/>
    <cellStyle name="Salida 2 2 2 3 6 6" xfId="7369" xr:uid="{018B0B8A-4005-4D94-94BC-362A7FB21F9E}"/>
    <cellStyle name="Salida 2 2 2 3 6 6 2" xfId="12941" xr:uid="{C7F5E411-24AC-4EFB-9CA6-8BC7C61D78D2}"/>
    <cellStyle name="Salida 2 2 2 3 6 7" xfId="7902" xr:uid="{C43453E1-9463-43DB-92C1-252EF33105BD}"/>
    <cellStyle name="Salida 2 2 2 3 6 7 2" xfId="13474" xr:uid="{64F3B1EE-AF4F-4C63-AA3F-776468790CA6}"/>
    <cellStyle name="Salida 2 2 2 3 6 8" xfId="9154" xr:uid="{BBF87213-DCFD-4896-8E94-F5848C5E1EBA}"/>
    <cellStyle name="Salida 2 2 2 3 7" xfId="2848" xr:uid="{42EB5F34-26F2-4D7B-8264-BDC3BD906677}"/>
    <cellStyle name="Salida 2 2 2 3 7 2" xfId="3772" xr:uid="{CBCC475C-D555-4BE7-8F4B-B54C0668D1B0}"/>
    <cellStyle name="Salida 2 2 2 3 7 2 2" xfId="9934" xr:uid="{29E8689E-5B5C-49EB-A1F6-034DA4FFCFBC}"/>
    <cellStyle name="Salida 2 2 2 3 7 3" xfId="6743" xr:uid="{EC493883-74E3-4BDE-B390-E338975841AC}"/>
    <cellStyle name="Salida 2 2 2 3 7 3 2" xfId="12397" xr:uid="{62B58419-21AB-4326-8EC6-96D92F8F5675}"/>
    <cellStyle name="Salida 2 2 2 3 7 4" xfId="7453" xr:uid="{1CF91973-85EF-48B1-9E7B-05185329B6E2}"/>
    <cellStyle name="Salida 2 2 2 3 7 4 2" xfId="13025" xr:uid="{57312006-21FF-4DA6-8AF9-6DB9878A8A1C}"/>
    <cellStyle name="Salida 2 2 2 3 7 5" xfId="7962" xr:uid="{8B9E6772-D117-4FF4-A04B-358A3BC00BB6}"/>
    <cellStyle name="Salida 2 2 2 3 7 5 2" xfId="13534" xr:uid="{CDD8CA80-0665-4147-8317-33D6CA8056CF}"/>
    <cellStyle name="Salida 2 2 2 3 7 6" xfId="9214" xr:uid="{2F728025-AFAB-4EBB-B776-1C7AA9211141}"/>
    <cellStyle name="Salida 2 2 2 3 8" xfId="3292" xr:uid="{87854DB8-EE02-4882-A669-17BFB242E9BB}"/>
    <cellStyle name="Salida 2 2 2 3 8 2" xfId="9574" xr:uid="{70A70997-2341-4E07-A076-55F6EA3E7B72}"/>
    <cellStyle name="Salida 2 2 2 3 9" xfId="4459" xr:uid="{C73C370E-7862-47BA-9279-338B86364CDF}"/>
    <cellStyle name="Salida 2 2 2 3 9 2" xfId="10371" xr:uid="{7C205B82-E7E3-43A1-ABCD-EA5AC37E14A7}"/>
    <cellStyle name="Salida 2 2 2 4" xfId="8844" xr:uid="{19EB9D1C-7156-48AF-91B1-F974F6676449}"/>
    <cellStyle name="Salida 2 2 2 5" xfId="2123" xr:uid="{0126F642-BE5C-41A1-B5E7-153E6FE65A8E}"/>
    <cellStyle name="Salida 2 2 3" xfId="1527" xr:uid="{AB152E43-A559-4FA2-8707-BB78660A0A14}"/>
    <cellStyle name="Salida 2 2 3 10" xfId="4362" xr:uid="{E72D3801-B3FA-4038-A316-D3C8695FEDD6}"/>
    <cellStyle name="Salida 2 2 3 10 2" xfId="10322" xr:uid="{ADDC936F-439E-4BCB-AAB5-2DFD4AB05F7B}"/>
    <cellStyle name="Salida 2 2 3 11" xfId="4807" xr:uid="{95318D98-0BBD-4816-BF7D-2BE42FE9FA93}"/>
    <cellStyle name="Salida 2 2 3 11 2" xfId="10653" xr:uid="{60EA91C2-141D-41BB-94EF-6C048591DABF}"/>
    <cellStyle name="Salida 2 2 3 12" xfId="5415" xr:uid="{64DD97BF-BAF7-4322-A097-F35841436A52}"/>
    <cellStyle name="Salida 2 2 3 12 2" xfId="11213" xr:uid="{1ABD216F-BDF2-4411-A20A-1DC59DCA9BC8}"/>
    <cellStyle name="Salida 2 2 3 13" xfId="5583" xr:uid="{3E66885F-B66B-4E72-AF05-2FA199D12220}"/>
    <cellStyle name="Salida 2 2 3 13 2" xfId="11311" xr:uid="{139A933F-B80A-472B-A5DA-59553C774F07}"/>
    <cellStyle name="Salida 2 2 3 14" xfId="5338" xr:uid="{6D28EB99-8A5C-4162-94D1-8534A0A37517}"/>
    <cellStyle name="Salida 2 2 3 14 2" xfId="11170" xr:uid="{C7431670-BF62-496B-8EAF-B5B8DFACC363}"/>
    <cellStyle name="Salida 2 2 3 15" xfId="5544" xr:uid="{3617195D-7135-4A74-B842-D162823E09EC}"/>
    <cellStyle name="Salida 2 2 3 15 2" xfId="11272" xr:uid="{E70C20D0-DDC4-4FF5-B56F-14F9F620B640}"/>
    <cellStyle name="Salida 2 2 3 16" xfId="5981" xr:uid="{848E545D-BCBF-4433-8E9B-06F70090FA81}"/>
    <cellStyle name="Salida 2 2 3 16 2" xfId="11693" xr:uid="{EDFAA182-0C46-4F27-AFDB-8CF1458EEAAD}"/>
    <cellStyle name="Salida 2 2 3 17" xfId="6537" xr:uid="{A812BF48-55A4-48A5-94BD-AD573FC77869}"/>
    <cellStyle name="Salida 2 2 3 17 2" xfId="12241" xr:uid="{39EECBBD-51C0-47DA-8693-92958DD1F2B7}"/>
    <cellStyle name="Salida 2 2 3 18" xfId="7441" xr:uid="{88E78E58-8683-478C-8443-00E69D91B741}"/>
    <cellStyle name="Salida 2 2 3 18 2" xfId="13013" xr:uid="{D9DBADC2-A193-46E7-A1E8-7953244522B4}"/>
    <cellStyle name="Salida 2 2 3 19" xfId="8435" xr:uid="{2F1047AD-7F87-48B9-9C50-4F02CAB22C84}"/>
    <cellStyle name="Salida 2 2 3 19 2" xfId="13915" xr:uid="{6BFC882E-1476-4F4F-A9D1-3FE0EC877128}"/>
    <cellStyle name="Salida 2 2 3 2" xfId="2413" xr:uid="{1B078D33-0391-4C07-8BD2-0BB736C29E68}"/>
    <cellStyle name="Salida 2 2 3 2 10" xfId="6503" xr:uid="{35328151-B857-415E-9ED4-8E0B920B3F62}"/>
    <cellStyle name="Salida 2 2 3 2 10 2" xfId="12207" xr:uid="{29FE05FA-B092-40F5-BE71-62B48EE85C2F}"/>
    <cellStyle name="Salida 2 2 3 2 11" xfId="7444" xr:uid="{56687923-E491-4CE7-B077-C53F1B97EA52}"/>
    <cellStyle name="Salida 2 2 3 2 11 2" xfId="13016" xr:uid="{DD010227-27F6-482D-8A87-BBF54C70955E}"/>
    <cellStyle name="Salida 2 2 3 2 12" xfId="8627" xr:uid="{3C9F0974-E217-4701-9755-D1CF2B125E3F}"/>
    <cellStyle name="Salida 2 2 3 2 12 2" xfId="14015" xr:uid="{5FDD9B95-B3F0-408E-8A52-6009EBC3A5F0}"/>
    <cellStyle name="Salida 2 2 3 2 13" xfId="8975" xr:uid="{A2141E90-9641-4955-9664-A33A2A5F52D2}"/>
    <cellStyle name="Salida 2 2 3 2 2" xfId="3001" xr:uid="{42C15C7B-8C40-4F65-B9D5-1855E971B580}"/>
    <cellStyle name="Salida 2 2 3 2 2 2" xfId="3941" xr:uid="{904FA4BC-EF38-4BD0-BB1E-0C4D36EC3D15}"/>
    <cellStyle name="Salida 2 2 3 2 2 2 2" xfId="10055" xr:uid="{D9C0CD1C-D4CB-42F7-BFCB-86B4D71347A2}"/>
    <cellStyle name="Salida 2 2 3 2 2 3" xfId="6912" xr:uid="{AA1A733C-C381-429E-A0D9-C514DE8F8C7D}"/>
    <cellStyle name="Salida 2 2 3 2 2 3 2" xfId="12518" xr:uid="{2B27CDA8-5AB1-493D-8B11-5837E6F4AC3C}"/>
    <cellStyle name="Salida 2 2 3 2 2 4" xfId="7590" xr:uid="{0707E162-02A3-4614-AB5C-9EC9A32F9754}"/>
    <cellStyle name="Salida 2 2 3 2 2 4 2" xfId="13162" xr:uid="{174E01F0-9FF7-41B3-BBBB-ACD412BDEE5C}"/>
    <cellStyle name="Salida 2 2 3 2 2 5" xfId="8083" xr:uid="{7B848650-569C-4B61-B5DC-96D3C2B5A476}"/>
    <cellStyle name="Salida 2 2 3 2 2 5 2" xfId="13655" xr:uid="{F0492DA6-2F81-4571-ABF0-75CEB0571555}"/>
    <cellStyle name="Salida 2 2 3 2 2 6" xfId="9335" xr:uid="{1ED961CF-76BE-4856-B2C7-0397C603C6C4}"/>
    <cellStyle name="Salida 2 2 3 2 3" xfId="3461" xr:uid="{36FE325A-525C-44EA-8E9D-656D543D3179}"/>
    <cellStyle name="Salida 2 2 3 2 3 2" xfId="9695" xr:uid="{58815025-086C-4F41-BD24-2181E5862EF8}"/>
    <cellStyle name="Salida 2 2 3 2 4" xfId="4654" xr:uid="{6E1F6BD2-B0B8-49C0-876C-40CDEA89E621}"/>
    <cellStyle name="Salida 2 2 3 2 4 2" xfId="10518" xr:uid="{9D30BBD5-02F9-4C72-9574-3E98DCB87553}"/>
    <cellStyle name="Salida 2 2 3 2 5" xfId="4893" xr:uid="{1FFF7FE8-4960-467F-9C00-A503DA14DFDC}"/>
    <cellStyle name="Salida 2 2 3 2 5 2" xfId="10739" xr:uid="{4DA5F387-464E-48B2-A18B-D685F0EB6A88}"/>
    <cellStyle name="Salida 2 2 3 2 6" xfId="5049" xr:uid="{A5341CED-A4EB-4E9C-9C28-EDD425905E0B}"/>
    <cellStyle name="Salida 2 2 3 2 6 2" xfId="10895" xr:uid="{9F956871-1FD3-4D58-BA64-96EA0AF6A112}"/>
    <cellStyle name="Salida 2 2 3 2 7" xfId="5819" xr:uid="{94805284-F1D6-4B1A-8D41-97AD2043673E}"/>
    <cellStyle name="Salida 2 2 3 2 7 2" xfId="11547" xr:uid="{16BB5577-D620-403F-9DCD-3B0C764EEEFF}"/>
    <cellStyle name="Salida 2 2 3 2 8" xfId="5227" xr:uid="{A91ED9E3-451A-4C7C-A97E-C67148D562FF}"/>
    <cellStyle name="Salida 2 2 3 2 8 2" xfId="11073" xr:uid="{F44EF9A8-2C6E-41EE-9E1F-C0C30E1B5050}"/>
    <cellStyle name="Salida 2 2 3 2 9" xfId="6356" xr:uid="{A73C85A6-698C-41C7-A7A3-B93839589F2A}"/>
    <cellStyle name="Salida 2 2 3 2 9 2" xfId="12060" xr:uid="{20C76FAB-D242-4EE5-A424-8A3C9C4AFDDB}"/>
    <cellStyle name="Salida 2 2 3 20" xfId="8875" xr:uid="{15339F48-DEF9-490C-9C15-8E776506A8E8}"/>
    <cellStyle name="Salida 2 2 3 21" xfId="2221" xr:uid="{38C70DBF-3AE6-45D8-9065-CFA6178AE1FC}"/>
    <cellStyle name="Salida 2 2 3 3" xfId="2519" xr:uid="{A2779E9C-87F7-4910-8839-6FF7BCECADA5}"/>
    <cellStyle name="Salida 2 2 3 3 10" xfId="7211" xr:uid="{0FA377BC-7E7B-4FB6-953E-4A75A516737B}"/>
    <cellStyle name="Salida 2 2 3 3 10 2" xfId="12783" xr:uid="{36827D3B-CEC3-4DBC-8EF7-447D9EF5B70C}"/>
    <cellStyle name="Salida 2 2 3 3 11" xfId="5656" xr:uid="{B8503E5B-5426-497C-A277-2CCF89DA078A}"/>
    <cellStyle name="Salida 2 2 3 3 11 2" xfId="11384" xr:uid="{902FFADE-C45F-476E-B513-08A523586E6F}"/>
    <cellStyle name="Salida 2 2 3 3 12" xfId="8733" xr:uid="{B70A76FB-F4AC-404B-9508-66E89D5CD282}"/>
    <cellStyle name="Salida 2 2 3 3 12 2" xfId="14089" xr:uid="{3BD44447-A258-4D6C-B55E-86B9E8F32349}"/>
    <cellStyle name="Salida 2 2 3 3 13" xfId="9049" xr:uid="{F21CDBE9-E0DF-47DD-B82F-62B4CBA7277A}"/>
    <cellStyle name="Salida 2 2 3 3 2" xfId="3075" xr:uid="{6D0A6F2D-F4BD-46CF-A84E-C36D32D39C12}"/>
    <cellStyle name="Salida 2 2 3 3 2 2" xfId="4015" xr:uid="{C110B1B7-24C6-49B4-9E92-81804A7784BD}"/>
    <cellStyle name="Salida 2 2 3 3 2 2 2" xfId="10129" xr:uid="{B5343CAE-4ABB-4C1F-92E6-6C1F29014CC9}"/>
    <cellStyle name="Salida 2 2 3 3 2 3" xfId="6986" xr:uid="{9C9D1F88-F215-4E35-B3B0-D0064A7EF7FD}"/>
    <cellStyle name="Salida 2 2 3 3 2 3 2" xfId="12592" xr:uid="{1A64BAC9-F20D-4677-8DAD-02B69200192F}"/>
    <cellStyle name="Salida 2 2 3 3 2 4" xfId="7664" xr:uid="{0C87F5A3-AD00-46C6-8281-F675DF112657}"/>
    <cellStyle name="Salida 2 2 3 3 2 4 2" xfId="13236" xr:uid="{3880CFBA-1CC2-4F4E-AA68-13CD5158BC54}"/>
    <cellStyle name="Salida 2 2 3 3 2 5" xfId="8157" xr:uid="{A2AEC040-20E7-4E47-A2AF-3F3AE37145B7}"/>
    <cellStyle name="Salida 2 2 3 3 2 5 2" xfId="13729" xr:uid="{8E24BA8C-9B80-430C-88C6-83854A9F8766}"/>
    <cellStyle name="Salida 2 2 3 3 2 6" xfId="9409" xr:uid="{4044641A-C630-4E5C-8BAA-645B84DD7B18}"/>
    <cellStyle name="Salida 2 2 3 3 3" xfId="3535" xr:uid="{FBFE99BF-4AB6-4DF7-8BCB-CC19F758352E}"/>
    <cellStyle name="Salida 2 2 3 3 3 2" xfId="9769" xr:uid="{4F5567C1-8EE2-4943-8877-EDC0A53F08FD}"/>
    <cellStyle name="Salida 2 2 3 3 4" xfId="4732" xr:uid="{6D9B7375-BC97-4996-905A-55DA3E19CCEB}"/>
    <cellStyle name="Salida 2 2 3 3 4 2" xfId="10596" xr:uid="{5D898851-53B6-48ED-810F-E6B8DC97B153}"/>
    <cellStyle name="Salida 2 2 3 3 5" xfId="4975" xr:uid="{E6FCB7A9-72BA-457F-B911-1CDFB10B7F6E}"/>
    <cellStyle name="Salida 2 2 3 3 5 2" xfId="10821" xr:uid="{A5C9050B-CFC1-497B-AA24-2F80D13EDAF4}"/>
    <cellStyle name="Salida 2 2 3 3 6" xfId="5123" xr:uid="{8BD240A9-176A-49EF-A555-E03E77918683}"/>
    <cellStyle name="Salida 2 2 3 3 6 2" xfId="10969" xr:uid="{66A78A5B-BFA0-4A3B-AFA9-FBCA571C84C4}"/>
    <cellStyle name="Salida 2 2 3 3 7" xfId="5914" xr:uid="{B59F2105-7C8E-4662-AAC6-BC77FB6080D0}"/>
    <cellStyle name="Salida 2 2 3 3 7 2" xfId="11642" xr:uid="{26E39669-B092-484D-9052-B24CA1D1A66E}"/>
    <cellStyle name="Salida 2 2 3 3 8" xfId="6244" xr:uid="{2738FAFC-4358-432C-A952-6C9075EFCD3B}"/>
    <cellStyle name="Salida 2 2 3 3 8 2" xfId="11948" xr:uid="{1BAF919E-9A61-4E50-A08B-87ACB86366A6}"/>
    <cellStyle name="Salida 2 2 3 3 9" xfId="6446" xr:uid="{B507EA6B-7807-4132-A064-DA52D6E26C63}"/>
    <cellStyle name="Salida 2 2 3 3 9 2" xfId="12150" xr:uid="{1B5E7B18-936E-44C1-AA46-4715ADC5C821}"/>
    <cellStyle name="Salida 2 2 3 4" xfId="2391" xr:uid="{2CC1E302-001F-4932-9913-8571473AE141}"/>
    <cellStyle name="Salida 2 2 3 4 10" xfId="6024" xr:uid="{77D7DB86-8C8C-4C0D-A29E-8D66B161A1A3}"/>
    <cellStyle name="Salida 2 2 3 4 10 2" xfId="11736" xr:uid="{4FDD47D9-F83D-403B-A37C-489E70C8F366}"/>
    <cellStyle name="Salida 2 2 3 4 11" xfId="7260" xr:uid="{E2FB7D93-BB29-4509-A5EB-FCE908F3045A}"/>
    <cellStyle name="Salida 2 2 3 4 11 2" xfId="12832" xr:uid="{6B18A3E3-5606-416E-899F-4EEE552ED4A6}"/>
    <cellStyle name="Salida 2 2 3 4 12" xfId="8605" xr:uid="{33A25604-8CB7-4A5E-B587-BF92DE1C5B38}"/>
    <cellStyle name="Salida 2 2 3 4 12 2" xfId="13993" xr:uid="{1AD6D4EF-147D-4C2C-9378-112C40306B99}"/>
    <cellStyle name="Salida 2 2 3 4 13" xfId="8953" xr:uid="{762CE202-D4C0-4D7F-BDD8-CC9D1BA06176}"/>
    <cellStyle name="Salida 2 2 3 4 2" xfId="2979" xr:uid="{D30FF799-089C-4FE6-9982-F73035FB36C5}"/>
    <cellStyle name="Salida 2 2 3 4 2 2" xfId="3919" xr:uid="{B836E1BF-52C2-4F70-8E62-7D0F3DE17681}"/>
    <cellStyle name="Salida 2 2 3 4 2 2 2" xfId="10033" xr:uid="{852983E0-80BF-4513-9F8E-B663EA936B7A}"/>
    <cellStyle name="Salida 2 2 3 4 2 3" xfId="6890" xr:uid="{8C061B7C-FB74-4A31-861D-A4280A42A70B}"/>
    <cellStyle name="Salida 2 2 3 4 2 3 2" xfId="12496" xr:uid="{6F12F4D9-95A4-40DC-B861-F9BE0F943617}"/>
    <cellStyle name="Salida 2 2 3 4 2 4" xfId="7568" xr:uid="{C84FC90E-BE12-4992-A976-CC3DB7AB88A7}"/>
    <cellStyle name="Salida 2 2 3 4 2 4 2" xfId="13140" xr:uid="{93071834-7D9E-468A-B766-CA67F54E2116}"/>
    <cellStyle name="Salida 2 2 3 4 2 5" xfId="8061" xr:uid="{4520117B-751E-4D85-91BF-4C41B138A5F4}"/>
    <cellStyle name="Salida 2 2 3 4 2 5 2" xfId="13633" xr:uid="{D4B6AD34-61E8-4EC6-9F76-9D647E42D057}"/>
    <cellStyle name="Salida 2 2 3 4 2 6" xfId="9313" xr:uid="{C80768A6-7217-428D-A878-AAE8CCCA155F}"/>
    <cellStyle name="Salida 2 2 3 4 3" xfId="3439" xr:uid="{67581C82-1D8A-4E18-890A-3E0A325E6254}"/>
    <cellStyle name="Salida 2 2 3 4 3 2" xfId="9673" xr:uid="{B8F9AA70-1A92-40D0-93EB-693A452A4A5E}"/>
    <cellStyle name="Salida 2 2 3 4 4" xfId="4632" xr:uid="{E8AB63EF-923A-4E0E-A3B8-19CC89AC8C0E}"/>
    <cellStyle name="Salida 2 2 3 4 4 2" xfId="10496" xr:uid="{CCF83F38-CF3C-4702-974B-850D6F516204}"/>
    <cellStyle name="Salida 2 2 3 4 5" xfId="4871" xr:uid="{32B59473-6EB3-499C-A979-2F189F52E71E}"/>
    <cellStyle name="Salida 2 2 3 4 5 2" xfId="10717" xr:uid="{5A980BD6-0DF7-4186-8F5E-31743D8554B7}"/>
    <cellStyle name="Salida 2 2 3 4 6" xfId="5027" xr:uid="{30BD6803-830A-4E37-935C-53CCB89711DA}"/>
    <cellStyle name="Salida 2 2 3 4 6 2" xfId="10873" xr:uid="{41B39260-E5FF-4C2E-A85E-730221B23AF7}"/>
    <cellStyle name="Salida 2 2 3 4 7" xfId="5797" xr:uid="{CC2D802F-87BE-4400-A50A-88647D11F093}"/>
    <cellStyle name="Salida 2 2 3 4 7 2" xfId="11525" xr:uid="{400F7172-A11C-49CA-905B-35D86F5111EA}"/>
    <cellStyle name="Salida 2 2 3 4 8" xfId="5872" xr:uid="{BE48031C-8C34-4CC3-84E5-7EB42DBD5165}"/>
    <cellStyle name="Salida 2 2 3 4 8 2" xfId="11600" xr:uid="{1163668C-5CB7-44E1-9BF9-8E7C7B94C077}"/>
    <cellStyle name="Salida 2 2 3 4 9" xfId="6334" xr:uid="{7DEF4076-F27C-47CD-A46C-6851E04E35B1}"/>
    <cellStyle name="Salida 2 2 3 4 9 2" xfId="12038" xr:uid="{B10F724E-850A-4130-9E52-650C7096D02F}"/>
    <cellStyle name="Salida 2 2 3 5" xfId="2677" xr:uid="{0D6D8F96-9A78-4476-8227-3F56C27C95D6}"/>
    <cellStyle name="Salida 2 2 3 5 2" xfId="3141" xr:uid="{428FA38D-97D7-4BF6-817A-1A8933E349FC}"/>
    <cellStyle name="Salida 2 2 3 5 2 2" xfId="4099" xr:uid="{3787FDA8-014E-4BFA-A073-2E2533149165}"/>
    <cellStyle name="Salida 2 2 3 5 2 2 2" xfId="10195" xr:uid="{95BAF73A-7052-4B62-8F44-8A5F23E7CF33}"/>
    <cellStyle name="Salida 2 2 3 5 2 3" xfId="7070" xr:uid="{CB6CBC1D-65FB-471E-AE34-B0D4FBCE8CCE}"/>
    <cellStyle name="Salida 2 2 3 5 2 3 2" xfId="12658" xr:uid="{3828D7AA-BD9C-40D4-8F27-EB645D3B553C}"/>
    <cellStyle name="Salida 2 2 3 5 2 4" xfId="7731" xr:uid="{CB06AF63-C546-4F65-8BA4-3BD5C64AF2E5}"/>
    <cellStyle name="Salida 2 2 3 5 2 4 2" xfId="13303" xr:uid="{A12BA44B-1068-41E5-8337-6C088377ECBC}"/>
    <cellStyle name="Salida 2 2 3 5 2 5" xfId="8223" xr:uid="{1736110A-9F99-42CC-BD87-5443EDA386EE}"/>
    <cellStyle name="Salida 2 2 3 5 2 5 2" xfId="13795" xr:uid="{C0A04ADC-C7B2-40E1-8246-0D15785A14E7}"/>
    <cellStyle name="Salida 2 2 3 5 2 6" xfId="9475" xr:uid="{BB8D711D-D3CE-4824-84C1-126630CBEA23}"/>
    <cellStyle name="Salida 2 2 3 5 3" xfId="3619" xr:uid="{33C61EB0-E290-4409-AAF3-4DD824A09803}"/>
    <cellStyle name="Salida 2 2 3 5 3 2" xfId="9835" xr:uid="{536AC9F5-730F-4183-B458-A9771E3A70A9}"/>
    <cellStyle name="Salida 2 2 3 5 4" xfId="6056" xr:uid="{63AA3CA5-ACB1-4C58-9D66-9A38F7B7125B}"/>
    <cellStyle name="Salida 2 2 3 5 4 2" xfId="11768" xr:uid="{06AD51E6-BBE2-4A7F-8CA2-28A51E4A72E9}"/>
    <cellStyle name="Salida 2 2 3 5 5" xfId="6574" xr:uid="{04F03340-D60D-431F-9B76-3B7F646CB122}"/>
    <cellStyle name="Salida 2 2 3 5 5 2" xfId="12278" xr:uid="{57D33FF5-3C72-4DF5-9C86-F4191A914188}"/>
    <cellStyle name="Salida 2 2 3 5 6" xfId="7328" xr:uid="{661BE5F1-E6F6-4522-BDF3-472AFCC70C58}"/>
    <cellStyle name="Salida 2 2 3 5 6 2" xfId="12900" xr:uid="{C88B3EDE-93EC-49E0-A9F9-F3EAE9A41946}"/>
    <cellStyle name="Salida 2 2 3 5 7" xfId="7863" xr:uid="{A6B8A5D2-C58D-43C6-A0E9-FAD33D3221AC}"/>
    <cellStyle name="Salida 2 2 3 5 7 2" xfId="13435" xr:uid="{44D206EE-EC58-4510-877B-3B6A72FF4008}"/>
    <cellStyle name="Salida 2 2 3 5 8" xfId="9115" xr:uid="{DAF5217A-03E6-42C0-9D7B-2AE88517F563}"/>
    <cellStyle name="Salida 2 2 3 6" xfId="2769" xr:uid="{3E4ACC5C-DA41-43FB-9AD0-6ECE20EC407B}"/>
    <cellStyle name="Salida 2 2 3 6 2" xfId="3201" xr:uid="{540299F1-BC00-412E-B8C5-FD2A48CC1FC3}"/>
    <cellStyle name="Salida 2 2 3 6 2 2" xfId="4159" xr:uid="{41F9E4B6-3CA5-4809-BDF5-7753051108CC}"/>
    <cellStyle name="Salida 2 2 3 6 2 2 2" xfId="10255" xr:uid="{E9E1E46F-7E0B-4FA5-B0AC-D97CBD0BCE6B}"/>
    <cellStyle name="Salida 2 2 3 6 2 3" xfId="7130" xr:uid="{85CB2F5A-ED19-4C79-B2AD-AE1A4E1847C3}"/>
    <cellStyle name="Salida 2 2 3 6 2 3 2" xfId="12718" xr:uid="{85AF4B8B-4A26-44C7-9166-BAEAC6398EEA}"/>
    <cellStyle name="Salida 2 2 3 6 2 4" xfId="7791" xr:uid="{C264DC10-761B-44D2-B5D9-D7B832B27915}"/>
    <cellStyle name="Salida 2 2 3 6 2 4 2" xfId="13363" xr:uid="{F804BB0F-2B66-44AB-8871-6B5DA9E9ED39}"/>
    <cellStyle name="Salida 2 2 3 6 2 5" xfId="8283" xr:uid="{BFBAC549-0359-4A20-9CD3-C296CEE9A399}"/>
    <cellStyle name="Salida 2 2 3 6 2 5 2" xfId="13855" xr:uid="{D237D7A7-229F-4099-9BB2-EE1482AED531}"/>
    <cellStyle name="Salida 2 2 3 6 2 6" xfId="9535" xr:uid="{E3B0356C-04EB-4AD2-9436-46EF852AC28A}"/>
    <cellStyle name="Salida 2 2 3 6 3" xfId="3679" xr:uid="{30805485-839B-4BEA-AB15-B773B43F7EA6}"/>
    <cellStyle name="Salida 2 2 3 6 3 2" xfId="9895" xr:uid="{21A23FA3-02A0-4271-876B-63F535CF0623}"/>
    <cellStyle name="Salida 2 2 3 6 4" xfId="6136" xr:uid="{18D4E1F9-D657-437C-A9A2-0CCE5218E246}"/>
    <cellStyle name="Salida 2 2 3 6 4 2" xfId="11848" xr:uid="{09CBEFFC-B4ED-4787-8B08-B918954A9866}"/>
    <cellStyle name="Salida 2 2 3 6 5" xfId="6646" xr:uid="{DEE6AB57-6C65-4615-9947-6B043DED2E6C}"/>
    <cellStyle name="Salida 2 2 3 6 5 2" xfId="12350" xr:uid="{1D34CB05-9BF9-4332-B3E6-764751CEF37F}"/>
    <cellStyle name="Salida 2 2 3 6 6" xfId="7390" xr:uid="{C20385C5-B787-497A-B281-942D5E09F63F}"/>
    <cellStyle name="Salida 2 2 3 6 6 2" xfId="12962" xr:uid="{3C23CDC8-39B5-432F-B2D7-7B1AEDD4FE10}"/>
    <cellStyle name="Salida 2 2 3 6 7" xfId="7923" xr:uid="{BDAEDAFD-163B-4FBB-B9D0-E547C182899E}"/>
    <cellStyle name="Salida 2 2 3 6 7 2" xfId="13495" xr:uid="{0050E95A-2D54-4443-A64D-5E3913C69212}"/>
    <cellStyle name="Salida 2 2 3 6 8" xfId="9175" xr:uid="{1AF982D2-C208-4045-A655-0315A3248F29}"/>
    <cellStyle name="Salida 2 2 3 7" xfId="2869" xr:uid="{AFF92CDA-693D-4978-8683-578B962BEDED}"/>
    <cellStyle name="Salida 2 2 3 7 2" xfId="3793" xr:uid="{857EBDAB-096D-4B04-A475-295BCDF8D2B1}"/>
    <cellStyle name="Salida 2 2 3 7 2 2" xfId="9955" xr:uid="{D630EBDB-9CD2-4090-A95C-1E38C85302FC}"/>
    <cellStyle name="Salida 2 2 3 7 3" xfId="6764" xr:uid="{35B111A3-D99D-4BA3-BA24-0FC56A8806D6}"/>
    <cellStyle name="Salida 2 2 3 7 3 2" xfId="12418" xr:uid="{FC0BF214-6B6A-486A-966C-B1FE0F74C807}"/>
    <cellStyle name="Salida 2 2 3 7 4" xfId="7474" xr:uid="{9CC34945-A0F8-4CA2-8523-5E28842552DF}"/>
    <cellStyle name="Salida 2 2 3 7 4 2" xfId="13046" xr:uid="{7EB9E0CF-F04C-4A2F-91D6-F832047CDC34}"/>
    <cellStyle name="Salida 2 2 3 7 5" xfId="7983" xr:uid="{FED698FA-0942-425F-9F63-5EA400F2C694}"/>
    <cellStyle name="Salida 2 2 3 7 5 2" xfId="13555" xr:uid="{EACB97C5-1410-4AF1-8828-7CC827FADFD3}"/>
    <cellStyle name="Salida 2 2 3 7 6" xfId="9235" xr:uid="{77E4749B-5933-4766-BFD5-3CA27AE05EEF}"/>
    <cellStyle name="Salida 2 2 3 8" xfId="3313" xr:uid="{DF9684CE-4FCA-46A9-8ADC-B591CF390F37}"/>
    <cellStyle name="Salida 2 2 3 8 2" xfId="9595" xr:uid="{C09D0A8B-9A5B-4297-A5E5-DC8196737F2B}"/>
    <cellStyle name="Salida 2 2 3 9" xfId="4480" xr:uid="{A53D31AF-9796-4E6D-A9E8-289F0C0DA8C8}"/>
    <cellStyle name="Salida 2 2 3 9 2" xfId="10392" xr:uid="{655E3B04-33C6-43CE-9592-CB24906696FF}"/>
    <cellStyle name="Salida 2 2 4" xfId="1535" xr:uid="{28D04F75-B696-4732-BACE-AD580D71E3C6}"/>
    <cellStyle name="Salida 2 2 4 10" xfId="4340" xr:uid="{B0DF68E1-59F6-48BD-87B7-997347B57A5A}"/>
    <cellStyle name="Salida 2 2 4 10 2" xfId="10300" xr:uid="{CE7F2A1E-06FB-4BF2-8823-CE542F906CE9}"/>
    <cellStyle name="Salida 2 2 4 11" xfId="4860" xr:uid="{3A25642D-B72C-4D89-B492-EA64A094B454}"/>
    <cellStyle name="Salida 2 2 4 11 2" xfId="10706" xr:uid="{56F65100-518D-4CE0-9CC8-4BCFC4308DD2}"/>
    <cellStyle name="Salida 2 2 4 12" xfId="5455" xr:uid="{E784EF73-4E2D-4836-8AEE-859E30139BC9}"/>
    <cellStyle name="Salida 2 2 4 12 2" xfId="11249" xr:uid="{7CB246D6-7887-4118-BA97-A9602A0F96DE}"/>
    <cellStyle name="Salida 2 2 4 13" xfId="5623" xr:uid="{BA0FAAEB-AD5F-4486-B562-27920900CE68}"/>
    <cellStyle name="Salida 2 2 4 13 2" xfId="11351" xr:uid="{6AF002E9-C813-4C96-A75B-9BF15F31C5A9}"/>
    <cellStyle name="Salida 2 2 4 14" xfId="5263" xr:uid="{4DEE937A-F70C-4475-99BB-98C1AAE40116}"/>
    <cellStyle name="Salida 2 2 4 14 2" xfId="11109" xr:uid="{AD501D7F-0795-439A-82E9-0550181DB988}"/>
    <cellStyle name="Salida 2 2 4 15" xfId="5881" xr:uid="{6D964020-5952-4DE1-AD47-2B92CAEE75D8}"/>
    <cellStyle name="Salida 2 2 4 15 2" xfId="11609" xr:uid="{04257032-5F22-4E38-B365-3CD34D01BF3B}"/>
    <cellStyle name="Salida 2 2 4 16" xfId="5214" xr:uid="{82860372-0DEE-4AAC-9666-2B58D8A03EB0}"/>
    <cellStyle name="Salida 2 2 4 16 2" xfId="11060" xr:uid="{99F00B9E-FC26-48CA-A267-A49439EE5C30}"/>
    <cellStyle name="Salida 2 2 4 17" xfId="5347" xr:uid="{27D8163A-448D-4B8B-B0DD-3266674EA561}"/>
    <cellStyle name="Salida 2 2 4 17 2" xfId="11179" xr:uid="{2C366F78-148A-4723-8072-5EE51665A95E}"/>
    <cellStyle name="Salida 2 2 4 18" xfId="5533" xr:uid="{DD6ED067-1A61-4BB3-B96D-B800D6D27D8D}"/>
    <cellStyle name="Salida 2 2 4 18 2" xfId="11261" xr:uid="{07339C29-52C4-4855-9A67-27F2900E73C5}"/>
    <cellStyle name="Salida 2 2 4 19" xfId="8471" xr:uid="{6DE52F6F-9555-4773-887F-1C77868B743F}"/>
    <cellStyle name="Salida 2 2 4 19 2" xfId="13951" xr:uid="{A5636A18-2221-4ECC-B017-3D89AC6FBD62}"/>
    <cellStyle name="Salida 2 2 4 2" xfId="2451" xr:uid="{BBD7E55C-5589-459A-8A39-3E4F6040AF41}"/>
    <cellStyle name="Salida 2 2 4 2 10" xfId="5176" xr:uid="{C00A45A9-C96C-4F69-942C-2D9DB94B3287}"/>
    <cellStyle name="Salida 2 2 4 2 10 2" xfId="11022" xr:uid="{01EC25C1-7A46-4891-8B33-28218A195C9F}"/>
    <cellStyle name="Salida 2 2 4 2 11" xfId="5255" xr:uid="{EC37DA2B-EB41-49E1-96D4-A4F3AC6DD6A1}"/>
    <cellStyle name="Salida 2 2 4 2 11 2" xfId="11101" xr:uid="{4DCE83FD-DA99-439E-BAFF-59B292D1E40B}"/>
    <cellStyle name="Salida 2 2 4 2 12" xfId="8665" xr:uid="{46AAE934-7773-4F9E-A037-1FE25910CB6C}"/>
    <cellStyle name="Salida 2 2 4 2 12 2" xfId="14053" xr:uid="{14E26ABF-74F2-4BAA-B131-6F99D38098FB}"/>
    <cellStyle name="Salida 2 2 4 2 13" xfId="9013" xr:uid="{E885EE66-4261-4A03-B54D-DDD0C819863C}"/>
    <cellStyle name="Salida 2 2 4 2 2" xfId="3039" xr:uid="{43E1442B-51FE-4EC6-9A7E-5BFB320FE27D}"/>
    <cellStyle name="Salida 2 2 4 2 2 2" xfId="3979" xr:uid="{794EFD11-2574-4B09-B488-FFDC28FE9E6C}"/>
    <cellStyle name="Salida 2 2 4 2 2 2 2" xfId="10093" xr:uid="{4CAF4C37-118F-46D4-86CA-669A85A0E6D5}"/>
    <cellStyle name="Salida 2 2 4 2 2 3" xfId="6950" xr:uid="{EF159FAF-8E91-4241-A035-D9AD32D1E067}"/>
    <cellStyle name="Salida 2 2 4 2 2 3 2" xfId="12556" xr:uid="{F4FA9B49-835F-4AAE-A646-A99864F7D8A9}"/>
    <cellStyle name="Salida 2 2 4 2 2 4" xfId="7628" xr:uid="{3DD31D80-3877-43FF-A06F-4EEB9F2D9B8D}"/>
    <cellStyle name="Salida 2 2 4 2 2 4 2" xfId="13200" xr:uid="{DA688CF6-814F-44E8-A811-6C899DA04EC2}"/>
    <cellStyle name="Salida 2 2 4 2 2 5" xfId="8121" xr:uid="{5B9F2AC7-2CA8-4BD3-AB40-C322FD3A7A72}"/>
    <cellStyle name="Salida 2 2 4 2 2 5 2" xfId="13693" xr:uid="{F94426C9-D3FB-4DB1-A855-ED4FA3F32404}"/>
    <cellStyle name="Salida 2 2 4 2 2 6" xfId="9373" xr:uid="{9083F517-2CE9-4B3C-BF8F-D72D12BE1D4F}"/>
    <cellStyle name="Salida 2 2 4 2 3" xfId="3499" xr:uid="{AF428A78-92A6-4C9B-A6D8-6B46807B41DE}"/>
    <cellStyle name="Salida 2 2 4 2 3 2" xfId="9733" xr:uid="{259BB9B0-C309-4643-870C-3FE3B0CBD224}"/>
    <cellStyle name="Salida 2 2 4 2 4" xfId="4692" xr:uid="{A8B5DD8C-4079-417D-947C-9016D584F0C6}"/>
    <cellStyle name="Salida 2 2 4 2 4 2" xfId="10556" xr:uid="{4B45EAC9-BBA0-4E1C-BF81-886330423FC2}"/>
    <cellStyle name="Salida 2 2 4 2 5" xfId="4931" xr:uid="{5B13B879-0E63-43AD-9D5F-A7E90E97B358}"/>
    <cellStyle name="Salida 2 2 4 2 5 2" xfId="10777" xr:uid="{E9D459F2-1B0B-4357-8BC9-13D5B2E9F8AF}"/>
    <cellStyle name="Salida 2 2 4 2 6" xfId="5087" xr:uid="{433236A6-1E94-4940-8472-9FD3C07D4E9C}"/>
    <cellStyle name="Salida 2 2 4 2 6 2" xfId="10933" xr:uid="{CB07FC6C-EB04-4D66-BFE2-76E39C88B9E7}"/>
    <cellStyle name="Salida 2 2 4 2 7" xfId="5857" xr:uid="{1C07426D-EC84-470D-A986-FEBD14CA47B3}"/>
    <cellStyle name="Salida 2 2 4 2 7 2" xfId="11585" xr:uid="{8B97DDD6-883A-4007-B1E3-9A5A0ADBD86B}"/>
    <cellStyle name="Salida 2 2 4 2 8" xfId="6186" xr:uid="{9F737588-220A-4522-A080-467B2A78106C}"/>
    <cellStyle name="Salida 2 2 4 2 8 2" xfId="11890" xr:uid="{F5C2878A-8617-4FDB-B235-2E7EDF9F71A9}"/>
    <cellStyle name="Salida 2 2 4 2 9" xfId="6394" xr:uid="{936B7566-C9A0-41C9-B27C-EBB86A62A1B0}"/>
    <cellStyle name="Salida 2 2 4 2 9 2" xfId="12098" xr:uid="{3EB000AF-886C-4256-9550-A707C6D99A9F}"/>
    <cellStyle name="Salida 2 2 4 20" xfId="8911" xr:uid="{56E1C50C-D78C-4AB0-BECF-D51FCE9D1AD0}"/>
    <cellStyle name="Salida 2 2 4 21" xfId="2257" xr:uid="{80C45FD7-F6A4-4ED8-864F-D7B0A3FEAD83}"/>
    <cellStyle name="Salida 2 2 4 3" xfId="2556" xr:uid="{34951FDD-2E16-433C-984C-6B9B0118E8C8}"/>
    <cellStyle name="Salida 2 2 4 3 10" xfId="7248" xr:uid="{F7CAB480-704A-474B-BCD6-D5AC85560171}"/>
    <cellStyle name="Salida 2 2 4 3 10 2" xfId="12820" xr:uid="{0CC523BC-D10A-4CFC-B762-2012B2228A0B}"/>
    <cellStyle name="Salida 2 2 4 3 11" xfId="6620" xr:uid="{6A864049-FFB6-4B4F-8299-4C151CF3ECAB}"/>
    <cellStyle name="Salida 2 2 4 3 11 2" xfId="12324" xr:uid="{319788E5-20FA-439D-9F0A-3D654C779BB3}"/>
    <cellStyle name="Salida 2 2 4 3 12" xfId="8770" xr:uid="{AB77B65C-2C13-4FF7-90AD-8A3C921B34DC}"/>
    <cellStyle name="Salida 2 2 4 3 12 2" xfId="14126" xr:uid="{F8DE9FCC-16CF-4CB5-B27A-766042C417B8}"/>
    <cellStyle name="Salida 2 2 4 3 13" xfId="9086" xr:uid="{E561DC1C-9E17-4C28-AB44-30FFD488CB58}"/>
    <cellStyle name="Salida 2 2 4 3 2" xfId="3112" xr:uid="{8AA8A2D8-6956-468D-9919-B34118DFB4C8}"/>
    <cellStyle name="Salida 2 2 4 3 2 2" xfId="4052" xr:uid="{5DAE4FDA-123C-4F0B-A385-3FEEE13D8B6E}"/>
    <cellStyle name="Salida 2 2 4 3 2 2 2" xfId="10166" xr:uid="{9DBC31B5-4F19-43B2-A23E-5DD0A98B462F}"/>
    <cellStyle name="Salida 2 2 4 3 2 3" xfId="7023" xr:uid="{A7BB2074-12B8-493F-8EE1-6C8B45AA3A4A}"/>
    <cellStyle name="Salida 2 2 4 3 2 3 2" xfId="12629" xr:uid="{EEBA5A53-E3D6-47D7-8F54-AC44B3E852F8}"/>
    <cellStyle name="Salida 2 2 4 3 2 4" xfId="7701" xr:uid="{5A818A27-5AAD-497F-BA87-51EC012E3458}"/>
    <cellStyle name="Salida 2 2 4 3 2 4 2" xfId="13273" xr:uid="{77FD6DF7-C1B4-41CA-B1AE-BE01A393BE4F}"/>
    <cellStyle name="Salida 2 2 4 3 2 5" xfId="8194" xr:uid="{2F1BC27C-94CE-45E8-9964-7B8601C0096A}"/>
    <cellStyle name="Salida 2 2 4 3 2 5 2" xfId="13766" xr:uid="{C621E834-F19B-4B7E-930D-AAAB99F3F114}"/>
    <cellStyle name="Salida 2 2 4 3 2 6" xfId="9446" xr:uid="{394E792D-EC7B-4077-9530-B4870AC7F6EF}"/>
    <cellStyle name="Salida 2 2 4 3 3" xfId="3572" xr:uid="{597FB9AD-F7F1-4E46-8254-C6D6A94E8417}"/>
    <cellStyle name="Salida 2 2 4 3 3 2" xfId="9806" xr:uid="{EE5566F5-D37E-4DD2-B500-3405D8A6B822}"/>
    <cellStyle name="Salida 2 2 4 3 4" xfId="4769" xr:uid="{22971C4A-5A3A-4791-9A61-8D909638D18A}"/>
    <cellStyle name="Salida 2 2 4 3 4 2" xfId="10633" xr:uid="{50E665BC-13B2-43FF-A9A4-A10F2DFF9FCC}"/>
    <cellStyle name="Salida 2 2 4 3 5" xfId="5012" xr:uid="{5B1191C4-88A6-4DEB-BBF7-20A3E656EE1C}"/>
    <cellStyle name="Salida 2 2 4 3 5 2" xfId="10858" xr:uid="{92313B12-B5B8-4ED8-8157-19F014552B4F}"/>
    <cellStyle name="Salida 2 2 4 3 6" xfId="5160" xr:uid="{E1E3C50B-656A-4DF1-A97C-60C1D886FC45}"/>
    <cellStyle name="Salida 2 2 4 3 6 2" xfId="11006" xr:uid="{1FDE3BC5-F450-415E-8514-F593C89D9C8A}"/>
    <cellStyle name="Salida 2 2 4 3 7" xfId="5951" xr:uid="{B78C3937-BE97-4A15-91A4-6CA0EB41D645}"/>
    <cellStyle name="Salida 2 2 4 3 7 2" xfId="11679" xr:uid="{5F181D84-C8B8-41F9-96B6-7531BF41FDC5}"/>
    <cellStyle name="Salida 2 2 4 3 8" xfId="6281" xr:uid="{4EAEE3DE-569C-43BB-A034-58876B915E6A}"/>
    <cellStyle name="Salida 2 2 4 3 8 2" xfId="11985" xr:uid="{8990252F-C8FB-4CF1-A813-E9E3E1CAA8ED}"/>
    <cellStyle name="Salida 2 2 4 3 9" xfId="6483" xr:uid="{AAF313D8-131B-43FD-9036-4C9516DF0097}"/>
    <cellStyle name="Salida 2 2 4 3 9 2" xfId="12187" xr:uid="{E73BC35F-F470-4DFB-9CD2-817737DFBCB2}"/>
    <cellStyle name="Salida 2 2 4 4" xfId="2279" xr:uid="{EFC4F349-8B4E-480D-9B4F-F503560BBDF5}"/>
    <cellStyle name="Salida 2 2 4 4 10" xfId="5790" xr:uid="{F63508A0-E9B6-4281-AED5-67C47ADB833C}"/>
    <cellStyle name="Salida 2 2 4 4 10 2" xfId="11518" xr:uid="{51108653-6D86-4651-9504-B6FDAAD3E83B}"/>
    <cellStyle name="Salida 2 2 4 4 11" xfId="5284" xr:uid="{EEB55A82-D724-4B54-8179-957FF8613994}"/>
    <cellStyle name="Salida 2 2 4 4 11 2" xfId="11128" xr:uid="{DD65E0B0-39B4-4D0C-AED2-9818AD95E02F}"/>
    <cellStyle name="Salida 2 2 4 4 12" xfId="8493" xr:uid="{DA321E77-72BE-4EE4-B0C1-AEDF4C91A8EC}"/>
    <cellStyle name="Salida 2 2 4 4 12 2" xfId="13973" xr:uid="{53B0870C-DD8C-40BF-9396-51564C44757A}"/>
    <cellStyle name="Salida 2 2 4 4 13" xfId="8933" xr:uid="{2FE1FE76-486E-4FC6-9311-4AD597245132}"/>
    <cellStyle name="Salida 2 2 4 4 2" xfId="2959" xr:uid="{7850ADEB-9442-49C8-8EEC-5F49D5BAA875}"/>
    <cellStyle name="Salida 2 2 4 4 2 2" xfId="3899" xr:uid="{A466714E-FA3E-43AA-873B-921E64E11DE8}"/>
    <cellStyle name="Salida 2 2 4 4 2 2 2" xfId="10013" xr:uid="{2E5A351C-3815-4400-8F65-90D6A7B786BF}"/>
    <cellStyle name="Salida 2 2 4 4 2 3" xfId="6870" xr:uid="{486F3E39-F44F-4E68-BF0D-9252E2B59E86}"/>
    <cellStyle name="Salida 2 2 4 4 2 3 2" xfId="12476" xr:uid="{90FD6E5D-F4CF-47EE-A664-CADA801923E3}"/>
    <cellStyle name="Salida 2 2 4 4 2 4" xfId="7548" xr:uid="{F9722F87-6671-42E1-96F1-195E8B35971D}"/>
    <cellStyle name="Salida 2 2 4 4 2 4 2" xfId="13120" xr:uid="{F1553DD8-09EF-4CA3-BCCD-34B2C6D10C0C}"/>
    <cellStyle name="Salida 2 2 4 4 2 5" xfId="8041" xr:uid="{507D0DD6-3A26-4DA2-B911-BD42D9854948}"/>
    <cellStyle name="Salida 2 2 4 4 2 5 2" xfId="13613" xr:uid="{01E1FBF5-6D84-4142-8019-8E354B7DFD92}"/>
    <cellStyle name="Salida 2 2 4 4 2 6" xfId="9293" xr:uid="{E7711986-E657-44B8-A367-82E585C7920B}"/>
    <cellStyle name="Salida 2 2 4 4 3" xfId="3419" xr:uid="{4943CB66-9AD7-4820-99FD-1110CEC6615C}"/>
    <cellStyle name="Salida 2 2 4 4 3 2" xfId="9653" xr:uid="{390152BC-80FF-4D4E-BEF4-D7E978E098E8}"/>
    <cellStyle name="Salida 2 2 4 4 4" xfId="4586" xr:uid="{5BE59AB9-1319-404A-BAF2-1AC117B3FA16}"/>
    <cellStyle name="Salida 2 2 4 4 4 2" xfId="10450" xr:uid="{F4B93C1C-9504-4E93-A508-0129AB535959}"/>
    <cellStyle name="Salida 2 2 4 4 5" xfId="4831" xr:uid="{6D6DD0DF-8E4E-41F2-9355-6EC1EBF8C47A}"/>
    <cellStyle name="Salida 2 2 4 4 5 2" xfId="10677" xr:uid="{2F95BB78-8231-45EB-A880-03E1261B26A8}"/>
    <cellStyle name="Salida 2 2 4 4 6" xfId="4850" xr:uid="{1C1ACB9A-F3CF-4BE4-B806-EB63C5D7F15E}"/>
    <cellStyle name="Salida 2 2 4 4 6 2" xfId="10696" xr:uid="{A411E46F-CFB8-4A6C-A0B9-9B9B6CD6BD37}"/>
    <cellStyle name="Salida 2 2 4 4 7" xfId="5717" xr:uid="{4AA02934-D8D5-4C4A-9E5C-6AA00404CE98}"/>
    <cellStyle name="Salida 2 2 4 4 7 2" xfId="11445" xr:uid="{457F2432-AC66-4A5E-9497-5637EC8E9F7F}"/>
    <cellStyle name="Salida 2 2 4 4 8" xfId="5532" xr:uid="{E92531AF-245F-4FB3-A1AB-2699748868C0}"/>
    <cellStyle name="Salida 2 2 4 4 8 2" xfId="11260" xr:uid="{9C559944-EB51-4D04-AFDC-8355865D852D}"/>
    <cellStyle name="Salida 2 2 4 4 9" xfId="5671" xr:uid="{42F8C9F5-8327-4541-99EE-58A6880D669B}"/>
    <cellStyle name="Salida 2 2 4 4 9 2" xfId="11399" xr:uid="{153BB3C4-7C1C-4CC6-8BD6-52B09851BC4F}"/>
    <cellStyle name="Salida 2 2 4 5" xfId="2713" xr:uid="{E640CB55-DB3B-4BB1-992B-C1747D30C5A1}"/>
    <cellStyle name="Salida 2 2 4 5 2" xfId="3177" xr:uid="{05FE4B5C-7457-4268-B279-3E5B1B222727}"/>
    <cellStyle name="Salida 2 2 4 5 2 2" xfId="4135" xr:uid="{35B7C3F2-6359-480F-94F2-12F2A8372278}"/>
    <cellStyle name="Salida 2 2 4 5 2 2 2" xfId="10231" xr:uid="{E82A7306-A509-4DB9-A7AD-89BF3D3B4468}"/>
    <cellStyle name="Salida 2 2 4 5 2 3" xfId="7106" xr:uid="{1E167D06-258E-41D7-A612-C540FBD52597}"/>
    <cellStyle name="Salida 2 2 4 5 2 3 2" xfId="12694" xr:uid="{296D90A8-5C53-4885-9054-CF0A446D2232}"/>
    <cellStyle name="Salida 2 2 4 5 2 4" xfId="7767" xr:uid="{82F8853B-C00C-46EB-9820-F7D290868849}"/>
    <cellStyle name="Salida 2 2 4 5 2 4 2" xfId="13339" xr:uid="{B1E1883D-DB14-421F-A6CD-E25C85B8906B}"/>
    <cellStyle name="Salida 2 2 4 5 2 5" xfId="8259" xr:uid="{8C428AC3-B9D3-4F24-A9BB-683D3C7920FE}"/>
    <cellStyle name="Salida 2 2 4 5 2 5 2" xfId="13831" xr:uid="{E9B75737-BD54-48A3-B875-B494627A0942}"/>
    <cellStyle name="Salida 2 2 4 5 2 6" xfId="9511" xr:uid="{C65A2963-9B98-45E0-AA01-CEDBE4EAEDA5}"/>
    <cellStyle name="Salida 2 2 4 5 3" xfId="3655" xr:uid="{C0327FA5-85B8-4139-9F5A-8969B15783D2}"/>
    <cellStyle name="Salida 2 2 4 5 3 2" xfId="9871" xr:uid="{7E81FAAE-8147-432C-A073-DABD51EC75ED}"/>
    <cellStyle name="Salida 2 2 4 5 4" xfId="6092" xr:uid="{00C36015-7617-4899-B818-2958608AC8AC}"/>
    <cellStyle name="Salida 2 2 4 5 4 2" xfId="11804" xr:uid="{A3D56209-B954-4DA4-9F8F-6E1E9D038823}"/>
    <cellStyle name="Salida 2 2 4 5 5" xfId="6610" xr:uid="{BF92D334-5CA2-40D1-97E1-D08143ADF0E4}"/>
    <cellStyle name="Salida 2 2 4 5 5 2" xfId="12314" xr:uid="{7020BC3C-224A-465A-889E-26DBD34B0FB1}"/>
    <cellStyle name="Salida 2 2 4 5 6" xfId="7364" xr:uid="{F6602916-7B28-4856-88E6-6196D92ADE6B}"/>
    <cellStyle name="Salida 2 2 4 5 6 2" xfId="12936" xr:uid="{0E08E587-195D-4B37-AAE4-57832C587F96}"/>
    <cellStyle name="Salida 2 2 4 5 7" xfId="7899" xr:uid="{2D8C3FA5-14B5-45AF-A728-932984D49698}"/>
    <cellStyle name="Salida 2 2 4 5 7 2" xfId="13471" xr:uid="{2BB198B9-DE35-4D18-B2E6-342564348545}"/>
    <cellStyle name="Salida 2 2 4 5 8" xfId="9151" xr:uid="{1D346638-A755-46D9-A3EB-F30A1CD8885E}"/>
    <cellStyle name="Salida 2 2 4 6" xfId="2805" xr:uid="{C24BE051-112D-403E-A645-C51E429A91A5}"/>
    <cellStyle name="Salida 2 2 4 6 2" xfId="3237" xr:uid="{31831385-E146-4522-99A4-8CAC0643D7B7}"/>
    <cellStyle name="Salida 2 2 4 6 2 2" xfId="4195" xr:uid="{7950332A-23C0-4F71-BA0C-83179B3B6F67}"/>
    <cellStyle name="Salida 2 2 4 6 2 2 2" xfId="10291" xr:uid="{64CF5BD2-1C96-4EEA-ACD6-104E046125D7}"/>
    <cellStyle name="Salida 2 2 4 6 2 3" xfId="7166" xr:uid="{57D21009-37E1-47F1-A183-52154C344D28}"/>
    <cellStyle name="Salida 2 2 4 6 2 3 2" xfId="12754" xr:uid="{1C237B26-F5E2-4CE7-B75F-0855702E86A6}"/>
    <cellStyle name="Salida 2 2 4 6 2 4" xfId="7827" xr:uid="{B843A6FD-9514-4754-8429-7EEBACE7D10E}"/>
    <cellStyle name="Salida 2 2 4 6 2 4 2" xfId="13399" xr:uid="{6510203F-9C35-470A-B38D-4E405633A767}"/>
    <cellStyle name="Salida 2 2 4 6 2 5" xfId="8319" xr:uid="{61BB770E-CEFD-4D91-A3C4-8032D6FB3FBB}"/>
    <cellStyle name="Salida 2 2 4 6 2 5 2" xfId="13891" xr:uid="{33504102-43CD-4C9C-B956-D2223A34F976}"/>
    <cellStyle name="Salida 2 2 4 6 2 6" xfId="9571" xr:uid="{1A2A7C88-1C92-484E-BD7C-F9FF41EA5E5A}"/>
    <cellStyle name="Salida 2 2 4 6 3" xfId="3715" xr:uid="{D6A5AE68-D9A6-4760-9478-62E94A3B7D87}"/>
    <cellStyle name="Salida 2 2 4 6 3 2" xfId="9931" xr:uid="{2319A725-CC49-4F6C-83FB-53F06BDB74B1}"/>
    <cellStyle name="Salida 2 2 4 6 4" xfId="6172" xr:uid="{41199760-50C4-470E-BFEE-8675A158F8D6}"/>
    <cellStyle name="Salida 2 2 4 6 4 2" xfId="11884" xr:uid="{BD78D5BC-CF4B-40A3-8841-C99828380F10}"/>
    <cellStyle name="Salida 2 2 4 6 5" xfId="6682" xr:uid="{471B40CD-9D97-4A27-9962-6F7152D60BD7}"/>
    <cellStyle name="Salida 2 2 4 6 5 2" xfId="12386" xr:uid="{A67E32E1-8B8C-47B3-9B8E-18635F80BF7F}"/>
    <cellStyle name="Salida 2 2 4 6 6" xfId="7426" xr:uid="{D0ADA5D7-193C-4F94-A49A-FF270BBC47B0}"/>
    <cellStyle name="Salida 2 2 4 6 6 2" xfId="12998" xr:uid="{C60E7E08-471A-4ECD-87E2-2BB8076C288F}"/>
    <cellStyle name="Salida 2 2 4 6 7" xfId="7959" xr:uid="{4B6D44E8-3AAE-44E2-B333-8CEB2D81353A}"/>
    <cellStyle name="Salida 2 2 4 6 7 2" xfId="13531" xr:uid="{0167C347-AE1D-4CC4-BE75-6A1C657A7504}"/>
    <cellStyle name="Salida 2 2 4 6 8" xfId="9211" xr:uid="{EF46DA1C-CC3A-4AEF-90F2-887AB7A3CD07}"/>
    <cellStyle name="Salida 2 2 4 7" xfId="2905" xr:uid="{940EE0FB-D73F-4964-B25E-1A82789680F6}"/>
    <cellStyle name="Salida 2 2 4 7 2" xfId="3833" xr:uid="{B5F0A6D9-D7E6-471B-BF4F-299701E7BEF6}"/>
    <cellStyle name="Salida 2 2 4 7 2 2" xfId="9991" xr:uid="{53801458-4A94-490E-9745-B1104F21691E}"/>
    <cellStyle name="Salida 2 2 4 7 3" xfId="6804" xr:uid="{0503072B-3B75-42A5-AB27-1B9612834C4C}"/>
    <cellStyle name="Salida 2 2 4 7 3 2" xfId="12454" xr:uid="{59B7DEDB-C32A-45A9-A237-36D66CCC835B}"/>
    <cellStyle name="Salida 2 2 4 7 4" xfId="7511" xr:uid="{66BAA76B-BFF4-488A-A3C4-C127A55F3A4B}"/>
    <cellStyle name="Salida 2 2 4 7 4 2" xfId="13083" xr:uid="{2A22ADEE-D3D4-4641-95F7-C7BCBD85C570}"/>
    <cellStyle name="Salida 2 2 4 7 5" xfId="8019" xr:uid="{FAB3EEB4-AA9E-48B0-9C0C-3A682078EC38}"/>
    <cellStyle name="Salida 2 2 4 7 5 2" xfId="13591" xr:uid="{3D2D72F6-9846-44C3-96C7-8BF4EB33E845}"/>
    <cellStyle name="Salida 2 2 4 7 6" xfId="9271" xr:uid="{CC14C0BB-BCC4-4C46-965E-262DEDA25D5D}"/>
    <cellStyle name="Salida 2 2 4 8" xfId="3353" xr:uid="{FF3B22CA-D43F-4079-91A0-495F3D41971A}"/>
    <cellStyle name="Salida 2 2 4 8 2" xfId="9631" xr:uid="{86DB80F9-5008-4FE6-BE13-C3C4A1624712}"/>
    <cellStyle name="Salida 2 2 4 9" xfId="4520" xr:uid="{3231376E-9341-45DB-A2EB-164FBF67C468}"/>
    <cellStyle name="Salida 2 2 4 9 2" xfId="10428" xr:uid="{900DA80A-8A6F-45FF-BAB4-B45DD9F7D6D3}"/>
    <cellStyle name="Salida 2 2 5" xfId="8829" xr:uid="{F2D3CEA3-0741-4DDB-A45A-3132DC8616DB}"/>
    <cellStyle name="Salida 2 2 6" xfId="1978" xr:uid="{D4834C35-6617-4E26-8B25-367FDA6EA87A}"/>
    <cellStyle name="Salida 2 3" xfId="386" xr:uid="{6B44DA41-47F8-4290-ADD9-F93A7E534FCA}"/>
    <cellStyle name="Salida 2 3 2" xfId="1454" xr:uid="{A11035E3-AA9B-4F57-B1E3-77C2A1E70FD1}"/>
    <cellStyle name="Salida 2 3 2 2" xfId="1567" xr:uid="{7BA2F761-3804-42CE-8219-A7BAD8347D20}"/>
    <cellStyle name="Salida 2 3 2 2 10" xfId="4358" xr:uid="{396E4F5C-ACBD-490F-AC2D-6E440F1D2ECB}"/>
    <cellStyle name="Salida 2 3 2 2 10 2" xfId="10318" xr:uid="{4F3E974E-5B45-47B7-9F02-3E64CA71DBF5}"/>
    <cellStyle name="Salida 2 3 2 2 11" xfId="4851" xr:uid="{367E27AD-FDA9-4724-A73A-5474CA683A19}"/>
    <cellStyle name="Salida 2 3 2 2 11 2" xfId="10697" xr:uid="{2C7D8D85-0101-4EAE-93DF-EB48869C1909}"/>
    <cellStyle name="Salida 2 3 2 2 12" xfId="5448" xr:uid="{4313B53F-9135-49B9-911E-E50FC43A8C76}"/>
    <cellStyle name="Salida 2 3 2 2 12 2" xfId="11242" xr:uid="{C14D2239-4D4C-45B1-90A2-5D00A41C9A9C}"/>
    <cellStyle name="Salida 2 3 2 2 13" xfId="5616" xr:uid="{F9E0229D-3E88-4E9D-80EE-5CC912EBC594}"/>
    <cellStyle name="Salida 2 3 2 2 13 2" xfId="11344" xr:uid="{06B694E7-0AF2-4731-8812-87830EB55A13}"/>
    <cellStyle name="Salida 2 3 2 2 14" xfId="5178" xr:uid="{2FD811A3-910E-4BE7-B798-BE7057726E31}"/>
    <cellStyle name="Salida 2 3 2 2 14 2" xfId="11024" xr:uid="{8573A3CC-3DF8-42EE-A455-E360292CA3CE}"/>
    <cellStyle name="Salida 2 3 2 2 15" xfId="6000" xr:uid="{DEC736F3-9434-4A2C-B237-42E1F58E6956}"/>
    <cellStyle name="Salida 2 3 2 2 15 2" xfId="11712" xr:uid="{6BA4B979-B228-4D3C-B9C7-8BA9CAA36876}"/>
    <cellStyle name="Salida 2 3 2 2 16" xfId="5670" xr:uid="{83A17531-1358-472F-B290-50D54A0F7020}"/>
    <cellStyle name="Salida 2 3 2 2 16 2" xfId="11398" xr:uid="{86536961-5EB0-4AA1-8A53-7612A9B3BE03}"/>
    <cellStyle name="Salida 2 3 2 2 17" xfId="6687" xr:uid="{216B1FDC-6963-49B2-9111-5FC4F75CC2C1}"/>
    <cellStyle name="Salida 2 3 2 2 17 2" xfId="12391" xr:uid="{6B072407-82DE-4A2A-96AD-EC62C6CD3CAC}"/>
    <cellStyle name="Salida 2 3 2 2 18" xfId="6311" xr:uid="{BBFB1E2A-89DE-474C-8A5F-A7DC033EDF0E}"/>
    <cellStyle name="Salida 2 3 2 2 18 2" xfId="12015" xr:uid="{63102592-4B4F-4CEE-9493-3EC673BAEFED}"/>
    <cellStyle name="Salida 2 3 2 2 19" xfId="8464" xr:uid="{A719963D-FF73-4C18-A922-C91413CABB7E}"/>
    <cellStyle name="Salida 2 3 2 2 19 2" xfId="13944" xr:uid="{1A3E50B9-2A81-406E-80DD-EC0AB5B2F86B}"/>
    <cellStyle name="Salida 2 3 2 2 2" xfId="2444" xr:uid="{7F154E31-D8F3-4662-9E70-8BDA280AB840}"/>
    <cellStyle name="Salida 2 3 2 2 2 10" xfId="6217" xr:uid="{6CC070AE-54CB-48F6-9385-A6FE3CAE56AE}"/>
    <cellStyle name="Salida 2 3 2 2 2 10 2" xfId="11921" xr:uid="{EA6E8C55-004D-4A3D-A982-B8CF9C46132B}"/>
    <cellStyle name="Salida 2 3 2 2 2 11" xfId="7299" xr:uid="{26E08DB4-1B92-4E17-B2D0-F1A0014DF10B}"/>
    <cellStyle name="Salida 2 3 2 2 2 11 2" xfId="12871" xr:uid="{E7019EE3-9373-40C5-B6F0-8794903EF6BC}"/>
    <cellStyle name="Salida 2 3 2 2 2 12" xfId="8658" xr:uid="{6BA1F849-DE76-4FCE-9DA6-EA586B6FD6D8}"/>
    <cellStyle name="Salida 2 3 2 2 2 12 2" xfId="14046" xr:uid="{2F9360D9-CE39-4357-ACE1-F8D95B941A48}"/>
    <cellStyle name="Salida 2 3 2 2 2 13" xfId="9006" xr:uid="{B1434285-2577-4C44-A17A-541F8C940615}"/>
    <cellStyle name="Salida 2 3 2 2 2 2" xfId="3032" xr:uid="{2C2329C6-919B-4D10-B817-E5DFDE7CDFCD}"/>
    <cellStyle name="Salida 2 3 2 2 2 2 2" xfId="3972" xr:uid="{28ED9E7D-0752-49A5-9B4F-F060E42CF12C}"/>
    <cellStyle name="Salida 2 3 2 2 2 2 2 2" xfId="10086" xr:uid="{4B0AA458-5BC3-4C89-B96F-20E07F38A5F8}"/>
    <cellStyle name="Salida 2 3 2 2 2 2 3" xfId="6943" xr:uid="{481365FE-D00C-424D-8096-1EEDF0021B8E}"/>
    <cellStyle name="Salida 2 3 2 2 2 2 3 2" xfId="12549" xr:uid="{19D9648F-E240-4FDC-B41D-0A0016FDE8ED}"/>
    <cellStyle name="Salida 2 3 2 2 2 2 4" xfId="7621" xr:uid="{8FEC738A-584E-4A8E-B5E2-C4BC438795C9}"/>
    <cellStyle name="Salida 2 3 2 2 2 2 4 2" xfId="13193" xr:uid="{3B475DD2-311F-411E-8AF0-FF7845839783}"/>
    <cellStyle name="Salida 2 3 2 2 2 2 5" xfId="8114" xr:uid="{0933C4D1-14BB-43D5-A31C-7AA8D11EBE37}"/>
    <cellStyle name="Salida 2 3 2 2 2 2 5 2" xfId="13686" xr:uid="{458B3770-EA3B-4F46-BD12-8027E2B19809}"/>
    <cellStyle name="Salida 2 3 2 2 2 2 6" xfId="9366" xr:uid="{A3E1BEF0-CB6F-40E0-A743-12CF1DF54F13}"/>
    <cellStyle name="Salida 2 3 2 2 2 3" xfId="3492" xr:uid="{69E836B9-1D92-4166-BD73-3FAEECBBE9D6}"/>
    <cellStyle name="Salida 2 3 2 2 2 3 2" xfId="9726" xr:uid="{FD58A29C-CF23-4C76-ACBA-9530ED815694}"/>
    <cellStyle name="Salida 2 3 2 2 2 4" xfId="4685" xr:uid="{ABC4A66B-FDCF-4C27-B39A-64B58D9B69C9}"/>
    <cellStyle name="Salida 2 3 2 2 2 4 2" xfId="10549" xr:uid="{0E2A9A27-AEBA-49B3-AC4E-20ED026A82DC}"/>
    <cellStyle name="Salida 2 3 2 2 2 5" xfId="4924" xr:uid="{848F0A50-2383-4D40-983C-D97C7568A2E5}"/>
    <cellStyle name="Salida 2 3 2 2 2 5 2" xfId="10770" xr:uid="{27BD291B-1537-4E84-8268-DC4DBFA04A44}"/>
    <cellStyle name="Salida 2 3 2 2 2 6" xfId="5080" xr:uid="{ADD7D7B8-48A9-4F8B-AFCE-565B89CF21B8}"/>
    <cellStyle name="Salida 2 3 2 2 2 6 2" xfId="10926" xr:uid="{8939233D-08D5-4005-B2D0-566CF5DA89F9}"/>
    <cellStyle name="Salida 2 3 2 2 2 7" xfId="5850" xr:uid="{7AD6D6A3-69A9-4B2F-A8B4-0DFCA4848A69}"/>
    <cellStyle name="Salida 2 3 2 2 2 7 2" xfId="11578" xr:uid="{B06C9954-CEF7-47B4-BD07-25D7C51C81D5}"/>
    <cellStyle name="Salida 2 3 2 2 2 8" xfId="5325" xr:uid="{D83C9F7F-906C-48C9-B951-0D565046E934}"/>
    <cellStyle name="Salida 2 3 2 2 2 8 2" xfId="11169" xr:uid="{7846AF55-7E65-4E38-B089-09B7CF887762}"/>
    <cellStyle name="Salida 2 3 2 2 2 9" xfId="6387" xr:uid="{7C5D6D0F-4CA5-4764-9097-5F1D9DCBF267}"/>
    <cellStyle name="Salida 2 3 2 2 2 9 2" xfId="12091" xr:uid="{695C1C10-1502-48B9-AB5F-64EDEC663C8F}"/>
    <cellStyle name="Salida 2 3 2 2 20" xfId="8904" xr:uid="{66537782-CFA2-479C-9143-9C8641B33EEF}"/>
    <cellStyle name="Salida 2 3 2 2 21" xfId="2250" xr:uid="{A4F9D8C2-CEEA-4109-8A2F-031A60BCBE3D}"/>
    <cellStyle name="Salida 2 3 2 2 3" xfId="2549" xr:uid="{F6685C87-770E-437D-9E28-E940F569E0F3}"/>
    <cellStyle name="Salida 2 3 2 2 3 10" xfId="7241" xr:uid="{3E6A009A-A42D-4CAE-88A5-C10B7851A778}"/>
    <cellStyle name="Salida 2 3 2 2 3 10 2" xfId="12813" xr:uid="{D2DDBC2A-19F9-46EA-A026-D6080316284D}"/>
    <cellStyle name="Salida 2 3 2 2 3 11" xfId="5202" xr:uid="{7007A1D5-6B82-401A-A2D2-AC05963426BC}"/>
    <cellStyle name="Salida 2 3 2 2 3 11 2" xfId="11048" xr:uid="{9FB23E51-C572-439D-8AE1-E8831FE20C52}"/>
    <cellStyle name="Salida 2 3 2 2 3 12" xfId="8763" xr:uid="{453E223E-E750-458A-A001-3A49999E7022}"/>
    <cellStyle name="Salida 2 3 2 2 3 12 2" xfId="14119" xr:uid="{11AA2777-751A-4A73-BB36-CC7CA1A0A99B}"/>
    <cellStyle name="Salida 2 3 2 2 3 13" xfId="9079" xr:uid="{B4C95E2D-B9C4-45BD-965C-21B1FF857F8F}"/>
    <cellStyle name="Salida 2 3 2 2 3 2" xfId="3105" xr:uid="{E6C793DA-8C2A-4193-9A6F-9FAA16C928BD}"/>
    <cellStyle name="Salida 2 3 2 2 3 2 2" xfId="4045" xr:uid="{7490B25D-5FE0-4879-9BEE-97AD70ECE6EC}"/>
    <cellStyle name="Salida 2 3 2 2 3 2 2 2" xfId="10159" xr:uid="{8847C4AF-7FAA-44C8-A90F-72E2A9A2E655}"/>
    <cellStyle name="Salida 2 3 2 2 3 2 3" xfId="7016" xr:uid="{9813CD4C-9FEA-49EA-B979-1362F5D2C4DF}"/>
    <cellStyle name="Salida 2 3 2 2 3 2 3 2" xfId="12622" xr:uid="{40FB7F50-D9AD-491A-9CE7-220E463F124C}"/>
    <cellStyle name="Salida 2 3 2 2 3 2 4" xfId="7694" xr:uid="{7CD8198D-357C-49B7-AB5C-7EA474BC53DE}"/>
    <cellStyle name="Salida 2 3 2 2 3 2 4 2" xfId="13266" xr:uid="{E23CFD8F-54E9-4330-93EB-08BD568EF2FA}"/>
    <cellStyle name="Salida 2 3 2 2 3 2 5" xfId="8187" xr:uid="{BD9583C8-FCD3-4075-BB88-19BDB1F1A209}"/>
    <cellStyle name="Salida 2 3 2 2 3 2 5 2" xfId="13759" xr:uid="{487742DC-C0BE-426F-AA62-F1672E8964CD}"/>
    <cellStyle name="Salida 2 3 2 2 3 2 6" xfId="9439" xr:uid="{8FCB934C-4364-4A9D-BC6E-772FA22C9636}"/>
    <cellStyle name="Salida 2 3 2 2 3 3" xfId="3565" xr:uid="{5141F7E6-F755-4E73-AAEB-FD89599D4056}"/>
    <cellStyle name="Salida 2 3 2 2 3 3 2" xfId="9799" xr:uid="{6A0C0CA5-B004-4AF7-9707-FB9D48A00607}"/>
    <cellStyle name="Salida 2 3 2 2 3 4" xfId="4762" xr:uid="{9B8D7A48-AC26-4A4C-9E95-07AC0CA1C704}"/>
    <cellStyle name="Salida 2 3 2 2 3 4 2" xfId="10626" xr:uid="{7BA36CE8-0881-4CDC-8365-E0F6F5547205}"/>
    <cellStyle name="Salida 2 3 2 2 3 5" xfId="5005" xr:uid="{EF0D9514-BA17-4DD6-B531-F24E96934982}"/>
    <cellStyle name="Salida 2 3 2 2 3 5 2" xfId="10851" xr:uid="{70123B31-06FF-4C08-9131-21AC646BA3DD}"/>
    <cellStyle name="Salida 2 3 2 2 3 6" xfId="5153" xr:uid="{DCE0A0D5-05C7-41D9-92C7-C2B6BEEB50EF}"/>
    <cellStyle name="Salida 2 3 2 2 3 6 2" xfId="10999" xr:uid="{B65298C7-C017-4674-B5AE-81428F0A261E}"/>
    <cellStyle name="Salida 2 3 2 2 3 7" xfId="5944" xr:uid="{D96219CA-C6CD-497A-B48F-1BB3C50428BE}"/>
    <cellStyle name="Salida 2 3 2 2 3 7 2" xfId="11672" xr:uid="{FB348C5C-A193-43C9-A9A3-CA4109577958}"/>
    <cellStyle name="Salida 2 3 2 2 3 8" xfId="6274" xr:uid="{7536B7B9-655A-43A5-9695-D43EFCF33C57}"/>
    <cellStyle name="Salida 2 3 2 2 3 8 2" xfId="11978" xr:uid="{228AFB7B-8632-457B-96FF-8A63C1283407}"/>
    <cellStyle name="Salida 2 3 2 2 3 9" xfId="6476" xr:uid="{C4A9C312-8E6A-45DC-945F-C86AC5AB47FA}"/>
    <cellStyle name="Salida 2 3 2 2 3 9 2" xfId="12180" xr:uid="{9BB8D964-1C03-436D-BA76-C64A0EB99B31}"/>
    <cellStyle name="Salida 2 3 2 2 4" xfId="2319" xr:uid="{B4A83FB8-C072-4EF0-9955-F9B63115F86F}"/>
    <cellStyle name="Salida 2 3 2 2 4 10" xfId="6548" xr:uid="{6ABAC641-2B92-4948-B70D-8F0DD798068A}"/>
    <cellStyle name="Salida 2 3 2 2 4 10 2" xfId="12252" xr:uid="{85808F3A-B5F8-4F30-9CD3-3BA446ADBFCD}"/>
    <cellStyle name="Salida 2 3 2 2 4 11" xfId="7368" xr:uid="{EF363DE2-45B7-4F68-ABDE-A50C65F7B347}"/>
    <cellStyle name="Salida 2 3 2 2 4 11 2" xfId="12940" xr:uid="{108D9BA6-23F8-409C-B4DF-6E44CD4B3240}"/>
    <cellStyle name="Salida 2 3 2 2 4 12" xfId="8533" xr:uid="{62450BE3-5B1B-42AC-A53C-BE6BCDEA4C6E}"/>
    <cellStyle name="Salida 2 3 2 2 4 12 2" xfId="13983" xr:uid="{1760D0E2-944C-4B2B-9252-EDC3E63726F7}"/>
    <cellStyle name="Salida 2 3 2 2 4 13" xfId="8943" xr:uid="{45F753FB-7A75-4D00-918E-6DCF798E161A}"/>
    <cellStyle name="Salida 2 3 2 2 4 2" xfId="2969" xr:uid="{315D8D47-5E5E-4D1C-BE23-ADFD681B89F5}"/>
    <cellStyle name="Salida 2 3 2 2 4 2 2" xfId="3909" xr:uid="{25CA9910-A2DB-4895-B3C4-A6F2C35636F1}"/>
    <cellStyle name="Salida 2 3 2 2 4 2 2 2" xfId="10023" xr:uid="{F13BA1B8-E85D-494C-827E-1332A398B7A8}"/>
    <cellStyle name="Salida 2 3 2 2 4 2 3" xfId="6880" xr:uid="{C0BE38AA-A5E4-4E8B-949F-12F3121E4647}"/>
    <cellStyle name="Salida 2 3 2 2 4 2 3 2" xfId="12486" xr:uid="{66BA7585-E38E-4AA2-9334-2F9F21075D90}"/>
    <cellStyle name="Salida 2 3 2 2 4 2 4" xfId="7558" xr:uid="{606CDD56-6C6B-4CE3-8371-5F4B301BAC58}"/>
    <cellStyle name="Salida 2 3 2 2 4 2 4 2" xfId="13130" xr:uid="{D412692B-435C-4C88-B42F-E3CCD5DEE0AF}"/>
    <cellStyle name="Salida 2 3 2 2 4 2 5" xfId="8051" xr:uid="{429CBB39-C9C0-4431-8542-C79F6A0696F3}"/>
    <cellStyle name="Salida 2 3 2 2 4 2 5 2" xfId="13623" xr:uid="{18DCAEFC-3FB5-42A4-AD12-A52AF0302D9C}"/>
    <cellStyle name="Salida 2 3 2 2 4 2 6" xfId="9303" xr:uid="{6C4EB8E1-C646-4E49-B5DD-02CC0F486B48}"/>
    <cellStyle name="Salida 2 3 2 2 4 3" xfId="3429" xr:uid="{955BFAEF-DEC7-4638-BE0B-17655C6E0874}"/>
    <cellStyle name="Salida 2 3 2 2 4 3 2" xfId="9663" xr:uid="{8DF6C618-0C16-4C75-83E1-DE0EC546557A}"/>
    <cellStyle name="Salida 2 3 2 2 4 4" xfId="4605" xr:uid="{1C45769E-1918-4F2F-9A52-0AE1CDDA9429}"/>
    <cellStyle name="Salida 2 3 2 2 4 4 2" xfId="10469" xr:uid="{21A86E98-C05F-4BCD-94AB-4249FE3A6C77}"/>
    <cellStyle name="Salida 2 3 2 2 4 5" xfId="4846" xr:uid="{BCC1B157-A9B7-47B8-A17D-CA8E3C27C408}"/>
    <cellStyle name="Salida 2 3 2 2 4 5 2" xfId="10692" xr:uid="{44BF1339-239D-4C9D-8342-99D57918B4E1}"/>
    <cellStyle name="Salida 2 3 2 2 4 6" xfId="4372" xr:uid="{C4AEB3AC-8D63-4DDA-ACC3-713B5823BAF8}"/>
    <cellStyle name="Salida 2 3 2 2 4 6 2" xfId="10332" xr:uid="{B2A88E6F-E594-43FA-9595-16DE35BEA7CD}"/>
    <cellStyle name="Salida 2 3 2 2 4 7" xfId="5747" xr:uid="{04F8A260-6FC2-4AE8-AB0D-F447542E0126}"/>
    <cellStyle name="Salida 2 3 2 2 4 7 2" xfId="11475" xr:uid="{C55C968E-8485-4F7F-9B53-8A815D366C12}"/>
    <cellStyle name="Salida 2 3 2 2 4 8" xfId="5729" xr:uid="{73B4FFB4-35EF-4A79-84D1-D950C424EB57}"/>
    <cellStyle name="Salida 2 3 2 2 4 8 2" xfId="11457" xr:uid="{77AF68BB-D475-4C58-B587-4E0804A0372F}"/>
    <cellStyle name="Salida 2 3 2 2 4 9" xfId="5660" xr:uid="{C2E875D8-2D70-43A4-94FF-17D1A0FF4113}"/>
    <cellStyle name="Salida 2 3 2 2 4 9 2" xfId="11388" xr:uid="{E4FDD07D-6C28-467C-B8B6-19C0118A44E5}"/>
    <cellStyle name="Salida 2 3 2 2 5" xfId="2706" xr:uid="{21A03096-E1FA-4076-B1E0-6D8C1754E123}"/>
    <cellStyle name="Salida 2 3 2 2 5 2" xfId="3170" xr:uid="{0D218E11-E972-4770-930C-877AAA491D7E}"/>
    <cellStyle name="Salida 2 3 2 2 5 2 2" xfId="4128" xr:uid="{C9B5B877-AC2D-422B-863B-C820614639EE}"/>
    <cellStyle name="Salida 2 3 2 2 5 2 2 2" xfId="10224" xr:uid="{069A40FF-0C0A-4604-ADB1-32F1158474FC}"/>
    <cellStyle name="Salida 2 3 2 2 5 2 3" xfId="7099" xr:uid="{2D21EA8F-4048-417A-86BA-D825B64EB0B5}"/>
    <cellStyle name="Salida 2 3 2 2 5 2 3 2" xfId="12687" xr:uid="{A6C829EC-8610-481A-B41B-D30D83192DE5}"/>
    <cellStyle name="Salida 2 3 2 2 5 2 4" xfId="7760" xr:uid="{0A7081F0-014B-4C1C-966C-7D68F6EAFEBD}"/>
    <cellStyle name="Salida 2 3 2 2 5 2 4 2" xfId="13332" xr:uid="{8D0FCF23-7522-4E9F-8FD7-F58EAF78B9B5}"/>
    <cellStyle name="Salida 2 3 2 2 5 2 5" xfId="8252" xr:uid="{00CCECCF-17A0-464F-8A83-393E03F1C05C}"/>
    <cellStyle name="Salida 2 3 2 2 5 2 5 2" xfId="13824" xr:uid="{4A4D9A63-0912-4FDE-8DA9-DF3D3197375B}"/>
    <cellStyle name="Salida 2 3 2 2 5 2 6" xfId="9504" xr:uid="{DCACD158-D01C-483D-AEF9-13D2C13C6D20}"/>
    <cellStyle name="Salida 2 3 2 2 5 3" xfId="3648" xr:uid="{57156B99-1869-46D7-A36A-932980827115}"/>
    <cellStyle name="Salida 2 3 2 2 5 3 2" xfId="9864" xr:uid="{4EC4A790-D291-42F0-BA1E-F7B9B43002BA}"/>
    <cellStyle name="Salida 2 3 2 2 5 4" xfId="6085" xr:uid="{FAD7E8AB-8DAD-4953-B04F-1F7B5E151B9B}"/>
    <cellStyle name="Salida 2 3 2 2 5 4 2" xfId="11797" xr:uid="{A610CE5D-D672-4B4E-AE5C-DABE9979375A}"/>
    <cellStyle name="Salida 2 3 2 2 5 5" xfId="6603" xr:uid="{85F46A22-9D01-4AD6-A1A5-D7A82BD82FF0}"/>
    <cellStyle name="Salida 2 3 2 2 5 5 2" xfId="12307" xr:uid="{88359BE5-483E-438B-BA5B-D49E4F27E3DD}"/>
    <cellStyle name="Salida 2 3 2 2 5 6" xfId="7357" xr:uid="{26C01207-39F9-4252-BEA3-81CD26C772D7}"/>
    <cellStyle name="Salida 2 3 2 2 5 6 2" xfId="12929" xr:uid="{938802A3-CEDE-464E-9C05-A32989A10DC5}"/>
    <cellStyle name="Salida 2 3 2 2 5 7" xfId="7892" xr:uid="{3F3A30C2-357E-46DC-B225-CA7BA9E443FD}"/>
    <cellStyle name="Salida 2 3 2 2 5 7 2" xfId="13464" xr:uid="{571D891F-FDC4-4315-91D4-F5E1828A7BE6}"/>
    <cellStyle name="Salida 2 3 2 2 5 8" xfId="9144" xr:uid="{1AE91E04-61AE-4517-9053-7924BF78354E}"/>
    <cellStyle name="Salida 2 3 2 2 6" xfId="2798" xr:uid="{F4F69845-E777-4CD5-9322-CF9150E1003D}"/>
    <cellStyle name="Salida 2 3 2 2 6 2" xfId="3230" xr:uid="{3938B5B2-63B9-4059-9281-F69C56140BEF}"/>
    <cellStyle name="Salida 2 3 2 2 6 2 2" xfId="4188" xr:uid="{7706FD86-7970-4499-9511-791C7E4A87D0}"/>
    <cellStyle name="Salida 2 3 2 2 6 2 2 2" xfId="10284" xr:uid="{92C488F5-E7AA-44C3-BA28-19924C84E6DA}"/>
    <cellStyle name="Salida 2 3 2 2 6 2 3" xfId="7159" xr:uid="{7B662F78-FC2D-4705-97C7-1A41BB098DDB}"/>
    <cellStyle name="Salida 2 3 2 2 6 2 3 2" xfId="12747" xr:uid="{1E14E626-AA80-436E-AA1C-928431F71FF1}"/>
    <cellStyle name="Salida 2 3 2 2 6 2 4" xfId="7820" xr:uid="{928173F4-FC9C-486B-B561-A69AA505C542}"/>
    <cellStyle name="Salida 2 3 2 2 6 2 4 2" xfId="13392" xr:uid="{82262555-D066-4075-8CCA-A4CA3B4BD8C6}"/>
    <cellStyle name="Salida 2 3 2 2 6 2 5" xfId="8312" xr:uid="{69D105B4-FF59-4D36-A2AA-98B8C81EF4F1}"/>
    <cellStyle name="Salida 2 3 2 2 6 2 5 2" xfId="13884" xr:uid="{27627C19-AAFF-463A-BC1F-0C29225B8B30}"/>
    <cellStyle name="Salida 2 3 2 2 6 2 6" xfId="9564" xr:uid="{F353C17E-F334-41AB-AEA5-CE3B55D9C38A}"/>
    <cellStyle name="Salida 2 3 2 2 6 3" xfId="3708" xr:uid="{DEA495BD-90D3-439A-BE02-D40835C4671D}"/>
    <cellStyle name="Salida 2 3 2 2 6 3 2" xfId="9924" xr:uid="{FE4E76E0-754B-42E9-A509-92E8E9E330CC}"/>
    <cellStyle name="Salida 2 3 2 2 6 4" xfId="6165" xr:uid="{21C5792F-9A6F-4A4C-98EB-FBD5BCDE067C}"/>
    <cellStyle name="Salida 2 3 2 2 6 4 2" xfId="11877" xr:uid="{164529C1-16E6-446D-9032-1986C2CF6CC4}"/>
    <cellStyle name="Salida 2 3 2 2 6 5" xfId="6675" xr:uid="{D2339A72-84D3-4D46-8904-B3533172B608}"/>
    <cellStyle name="Salida 2 3 2 2 6 5 2" xfId="12379" xr:uid="{83BBBDDB-5866-4D89-B536-3E6CBBD77A90}"/>
    <cellStyle name="Salida 2 3 2 2 6 6" xfId="7419" xr:uid="{F0DDA99E-01DD-4F83-9006-04114168BF47}"/>
    <cellStyle name="Salida 2 3 2 2 6 6 2" xfId="12991" xr:uid="{7DAF3B1C-F785-4108-8812-EDF1DD3298EE}"/>
    <cellStyle name="Salida 2 3 2 2 6 7" xfId="7952" xr:uid="{EF594584-DA6C-40BC-85AE-908794657106}"/>
    <cellStyle name="Salida 2 3 2 2 6 7 2" xfId="13524" xr:uid="{0D53B5D9-190F-4201-95CA-3AB880F206F5}"/>
    <cellStyle name="Salida 2 3 2 2 6 8" xfId="9204" xr:uid="{BD8A7B52-F63A-4404-90C6-4F864978DA26}"/>
    <cellStyle name="Salida 2 3 2 2 7" xfId="2898" xr:uid="{5A6BFD5F-2C26-4142-8837-B59091F60F9D}"/>
    <cellStyle name="Salida 2 3 2 2 7 2" xfId="3826" xr:uid="{7C417317-1E8B-4433-89E8-ED020C1D870D}"/>
    <cellStyle name="Salida 2 3 2 2 7 2 2" xfId="9984" xr:uid="{86043D57-5561-46C6-A84A-58132CA160DC}"/>
    <cellStyle name="Salida 2 3 2 2 7 3" xfId="6797" xr:uid="{BA6C953D-98FA-4DAF-AD68-406B4BBE3CA6}"/>
    <cellStyle name="Salida 2 3 2 2 7 3 2" xfId="12447" xr:uid="{754DC948-8726-4169-9D79-C37B8FD4D33A}"/>
    <cellStyle name="Salida 2 3 2 2 7 4" xfId="7504" xr:uid="{08FA5934-715A-4FDE-B880-60FD60064C25}"/>
    <cellStyle name="Salida 2 3 2 2 7 4 2" xfId="13076" xr:uid="{29F694FA-3FE0-46C4-914B-72857F9C5275}"/>
    <cellStyle name="Salida 2 3 2 2 7 5" xfId="8012" xr:uid="{CBC9A68F-0A2C-4F5D-8DE3-F9B67A6D7937}"/>
    <cellStyle name="Salida 2 3 2 2 7 5 2" xfId="13584" xr:uid="{15A3F4BA-D62B-4554-BD08-63ADA3108C02}"/>
    <cellStyle name="Salida 2 3 2 2 7 6" xfId="9264" xr:uid="{A2011C5E-E17E-4B49-B971-961B471C019D}"/>
    <cellStyle name="Salida 2 3 2 2 8" xfId="3346" xr:uid="{09915E0D-0DC8-4560-8EBD-EE81DECBCEEB}"/>
    <cellStyle name="Salida 2 3 2 2 8 2" xfId="9624" xr:uid="{54B517CD-5AC0-4054-98DD-F8D63FBD6216}"/>
    <cellStyle name="Salida 2 3 2 2 9" xfId="4513" xr:uid="{8302CA66-6EC4-45B1-906E-0691CF853C71}"/>
    <cellStyle name="Salida 2 3 2 2 9 2" xfId="10421" xr:uid="{9E491323-496B-4C5B-AC5C-BA75200372A4}"/>
    <cellStyle name="Salida 2 3 2 3" xfId="1620" xr:uid="{3E437D12-FA43-454D-93EB-CD7FB3AEA054}"/>
    <cellStyle name="Salida 2 3 2 3 10" xfId="4704" xr:uid="{A218E2EB-7708-425A-AB8B-F7E594F6A287}"/>
    <cellStyle name="Salida 2 3 2 3 10 2" xfId="10568" xr:uid="{E1827A98-36CC-4B9C-AD55-A985A63D6EB2}"/>
    <cellStyle name="Salida 2 3 2 3 11" xfId="4402" xr:uid="{57BD4E0A-7A50-4000-8420-5B7229A8CA4D}"/>
    <cellStyle name="Salida 2 3 2 3 11 2" xfId="10360" xr:uid="{4698A6E8-476A-41ED-81F0-D9F83D9CDE3D}"/>
    <cellStyle name="Salida 2 3 2 3 12" xfId="5412" xr:uid="{F3ED51AC-F0AC-4798-BF33-D4483F0AD7B2}"/>
    <cellStyle name="Salida 2 3 2 3 12 2" xfId="11210" xr:uid="{FAA229D1-D3A9-4A22-A6A0-A68EBC6D7823}"/>
    <cellStyle name="Salida 2 3 2 3 13" xfId="5580" xr:uid="{5A417CD6-8EAD-4668-B3F8-1BCD48C6DAA5}"/>
    <cellStyle name="Salida 2 3 2 3 13 2" xfId="11308" xr:uid="{6C09C5CF-DAE7-4AE3-B12B-E0F8D260F1DE}"/>
    <cellStyle name="Salida 2 3 2 3 14" xfId="5316" xr:uid="{8BC44E61-757D-4B51-9758-2EE372CAFA34}"/>
    <cellStyle name="Salida 2 3 2 3 14 2" xfId="11160" xr:uid="{30FDDB56-4A79-40AB-903E-C24499390780}"/>
    <cellStyle name="Salida 2 3 2 3 15" xfId="5960" xr:uid="{AEDF711C-209E-4174-97CD-1F1F756F8027}"/>
    <cellStyle name="Salida 2 3 2 3 15 2" xfId="11687" xr:uid="{06E8E034-94E9-48E9-BE29-B4DDE44BE77D}"/>
    <cellStyle name="Salida 2 3 2 3 16" xfId="5737" xr:uid="{C4B73E40-1514-4810-B8DC-6F844B65F595}"/>
    <cellStyle name="Salida 2 3 2 3 16 2" xfId="11465" xr:uid="{D02A3F1D-A380-4DA5-A990-CB4295B1B753}"/>
    <cellStyle name="Salida 2 3 2 3 17" xfId="6540" xr:uid="{8C297CF8-CF27-4A08-8093-49F070E528AF}"/>
    <cellStyle name="Salida 2 3 2 3 17 2" xfId="12244" xr:uid="{3F34DF86-7EA7-4715-AEE3-259FC2AC64B0}"/>
    <cellStyle name="Salida 2 3 2 3 18" xfId="7516" xr:uid="{BAD986D6-B3CD-4F7E-A366-8069ED5FE99E}"/>
    <cellStyle name="Salida 2 3 2 3 18 2" xfId="13088" xr:uid="{C51A356C-B0FC-4351-A243-314F31F30992}"/>
    <cellStyle name="Salida 2 3 2 3 19" xfId="8432" xr:uid="{39583A8A-8BD6-4E53-821F-B6C292248070}"/>
    <cellStyle name="Salida 2 3 2 3 19 2" xfId="13912" xr:uid="{E002502D-7E0C-4536-9267-ED368860DBFE}"/>
    <cellStyle name="Salida 2 3 2 3 2" xfId="2410" xr:uid="{FECE5412-F5A2-4DBB-88E0-D7D732929A06}"/>
    <cellStyle name="Salida 2 3 2 3 2 10" xfId="6014" xr:uid="{C610ECF4-6B92-47EB-861A-74813260B190}"/>
    <cellStyle name="Salida 2 3 2 3 2 10 2" xfId="11726" xr:uid="{040AB274-8F0F-4151-A79D-C4A63EF265D2}"/>
    <cellStyle name="Salida 2 3 2 3 2 11" xfId="7522" xr:uid="{023F050C-F1AC-4C29-BD1C-8C7CEF6997D5}"/>
    <cellStyle name="Salida 2 3 2 3 2 11 2" xfId="13094" xr:uid="{F1D25209-0130-423B-A12E-3BF8D5FD7636}"/>
    <cellStyle name="Salida 2 3 2 3 2 12" xfId="8624" xr:uid="{2C34D82D-81AC-4795-8776-FFA01797B109}"/>
    <cellStyle name="Salida 2 3 2 3 2 12 2" xfId="14012" xr:uid="{8A3D01EB-E871-4E1B-9821-2C4C3E0F1D36}"/>
    <cellStyle name="Salida 2 3 2 3 2 13" xfId="8972" xr:uid="{7F61FE95-69CB-4FCA-AA7A-2ED3CC78A90D}"/>
    <cellStyle name="Salida 2 3 2 3 2 2" xfId="2998" xr:uid="{3149289E-08AC-496E-BB26-344B6ED8A873}"/>
    <cellStyle name="Salida 2 3 2 3 2 2 2" xfId="3938" xr:uid="{CACA5126-1013-4DC9-8A36-AA58565B7339}"/>
    <cellStyle name="Salida 2 3 2 3 2 2 2 2" xfId="10052" xr:uid="{0F68E276-4692-4D47-8B80-2D08DF578DEC}"/>
    <cellStyle name="Salida 2 3 2 3 2 2 3" xfId="6909" xr:uid="{66DAA25A-23EE-48B9-9CC5-D1C68F20E991}"/>
    <cellStyle name="Salida 2 3 2 3 2 2 3 2" xfId="12515" xr:uid="{9292FD5C-18D4-4EA4-8711-C35E7F1514C7}"/>
    <cellStyle name="Salida 2 3 2 3 2 2 4" xfId="7587" xr:uid="{F7EE4F2C-BD3D-454F-BC9B-C6F9CCB41A98}"/>
    <cellStyle name="Salida 2 3 2 3 2 2 4 2" xfId="13159" xr:uid="{DB701918-CE7A-43D1-AF68-5BF99D1A5CC9}"/>
    <cellStyle name="Salida 2 3 2 3 2 2 5" xfId="8080" xr:uid="{B1708FA1-03C6-4113-8C57-24C971308747}"/>
    <cellStyle name="Salida 2 3 2 3 2 2 5 2" xfId="13652" xr:uid="{B3CE0157-DBE7-4040-BF6A-169843DBFAE0}"/>
    <cellStyle name="Salida 2 3 2 3 2 2 6" xfId="9332" xr:uid="{C3F479E6-A90C-4D20-8B8B-ABC83E8CD3FD}"/>
    <cellStyle name="Salida 2 3 2 3 2 3" xfId="3458" xr:uid="{5D09816B-C018-4337-A4CF-EFB238221A31}"/>
    <cellStyle name="Salida 2 3 2 3 2 3 2" xfId="9692" xr:uid="{0BEFF126-7162-4B76-B634-DBD80A3CE63F}"/>
    <cellStyle name="Salida 2 3 2 3 2 4" xfId="4651" xr:uid="{545632E1-1C0C-4574-9006-808CC2F544CD}"/>
    <cellStyle name="Salida 2 3 2 3 2 4 2" xfId="10515" xr:uid="{0CCE6C1D-F54D-4B4E-94E4-DC9A4720D9A1}"/>
    <cellStyle name="Salida 2 3 2 3 2 5" xfId="4890" xr:uid="{945D048A-318C-49B0-A0A2-B94A2770C342}"/>
    <cellStyle name="Salida 2 3 2 3 2 5 2" xfId="10736" xr:uid="{79ED2DE9-6B2E-4A7F-AC9F-EC1825A66C52}"/>
    <cellStyle name="Salida 2 3 2 3 2 6" xfId="5046" xr:uid="{678C2982-9370-4061-9B2E-5EF70B5358BA}"/>
    <cellStyle name="Salida 2 3 2 3 2 6 2" xfId="10892" xr:uid="{CDE531A2-B714-42F2-99E1-AAD0A9F082A3}"/>
    <cellStyle name="Salida 2 3 2 3 2 7" xfId="5816" xr:uid="{001DD979-08A4-46E0-94F3-4834C32436E3}"/>
    <cellStyle name="Salida 2 3 2 3 2 7 2" xfId="11544" xr:uid="{60C0306F-B9E3-46ED-9CC1-64471D400FF7}"/>
    <cellStyle name="Salida 2 3 2 3 2 8" xfId="5294" xr:uid="{3A3F7FA3-000F-4E89-84A5-F90DD5897437}"/>
    <cellStyle name="Salida 2 3 2 3 2 8 2" xfId="11138" xr:uid="{57691663-B0B5-4612-947A-02A033C40BCB}"/>
    <cellStyle name="Salida 2 3 2 3 2 9" xfId="6353" xr:uid="{5D36ACD8-4640-4978-A5C7-601FA65DCA75}"/>
    <cellStyle name="Salida 2 3 2 3 2 9 2" xfId="12057" xr:uid="{AF31CE1D-296C-4078-9385-D3A747718852}"/>
    <cellStyle name="Salida 2 3 2 3 20" xfId="8872" xr:uid="{A403718B-8788-4E19-B4CD-692967190EC6}"/>
    <cellStyle name="Salida 2 3 2 3 21" xfId="2218" xr:uid="{38AB85EF-12BA-47AC-A59A-E1D439AC5F80}"/>
    <cellStyle name="Salida 2 3 2 3 3" xfId="2516" xr:uid="{225F2147-3BBB-4CF8-92A8-CCF19B212061}"/>
    <cellStyle name="Salida 2 3 2 3 3 10" xfId="7208" xr:uid="{161E7965-1B06-42A5-875E-C5E5A3CC2324}"/>
    <cellStyle name="Salida 2 3 2 3 3 10 2" xfId="12780" xr:uid="{82BD16DD-58A6-4E9D-91B1-978C27725020}"/>
    <cellStyle name="Salida 2 3 2 3 3 11" xfId="6326" xr:uid="{5B2345AA-0685-47E6-932A-4C786595AE36}"/>
    <cellStyle name="Salida 2 3 2 3 3 11 2" xfId="12030" xr:uid="{E5216D4C-394E-4191-ADFC-B97EF2355302}"/>
    <cellStyle name="Salida 2 3 2 3 3 12" xfId="8730" xr:uid="{9ADE4BA5-D291-4994-95EE-0BF3286788FE}"/>
    <cellStyle name="Salida 2 3 2 3 3 12 2" xfId="14086" xr:uid="{88F12464-DEFB-447D-AED4-BF4409B64962}"/>
    <cellStyle name="Salida 2 3 2 3 3 13" xfId="9046" xr:uid="{D1949C1A-CB22-4E1B-B5B1-FADBAA5CEC76}"/>
    <cellStyle name="Salida 2 3 2 3 3 2" xfId="3072" xr:uid="{C19A6974-7721-446C-960C-03DC7AEF836B}"/>
    <cellStyle name="Salida 2 3 2 3 3 2 2" xfId="4012" xr:uid="{1B966A3A-ECD9-4F57-952C-38CD87ACFDB8}"/>
    <cellStyle name="Salida 2 3 2 3 3 2 2 2" xfId="10126" xr:uid="{34BCC886-B333-4FAA-B86D-225676103FBB}"/>
    <cellStyle name="Salida 2 3 2 3 3 2 3" xfId="6983" xr:uid="{5CD8498D-4AB3-4BDB-8456-3AA46AD4D47F}"/>
    <cellStyle name="Salida 2 3 2 3 3 2 3 2" xfId="12589" xr:uid="{79C87B95-2631-4053-B974-FCDA1D0CD326}"/>
    <cellStyle name="Salida 2 3 2 3 3 2 4" xfId="7661" xr:uid="{510701C7-73C3-4477-AF8B-538BC8DE4BB0}"/>
    <cellStyle name="Salida 2 3 2 3 3 2 4 2" xfId="13233" xr:uid="{849DDAFF-3F98-4921-BF5E-C18EB769E189}"/>
    <cellStyle name="Salida 2 3 2 3 3 2 5" xfId="8154" xr:uid="{2011D118-4658-4F44-9597-66B7D37B39FB}"/>
    <cellStyle name="Salida 2 3 2 3 3 2 5 2" xfId="13726" xr:uid="{D7E0FFFE-76DC-44CF-B9FA-E7E703E151EF}"/>
    <cellStyle name="Salida 2 3 2 3 3 2 6" xfId="9406" xr:uid="{C45C2A7F-DF95-43AE-8D18-0FA61FB71667}"/>
    <cellStyle name="Salida 2 3 2 3 3 3" xfId="3532" xr:uid="{D0987128-34F3-4659-9679-43CA61A81A56}"/>
    <cellStyle name="Salida 2 3 2 3 3 3 2" xfId="9766" xr:uid="{AA3ACBED-3B76-4C5D-99F6-EE501A01B4F5}"/>
    <cellStyle name="Salida 2 3 2 3 3 4" xfId="4729" xr:uid="{8031BF9E-7A3B-456C-8D31-E80B66A3B5E4}"/>
    <cellStyle name="Salida 2 3 2 3 3 4 2" xfId="10593" xr:uid="{A0163D56-EDEE-433A-846B-5F9D5A4055C3}"/>
    <cellStyle name="Salida 2 3 2 3 3 5" xfId="4972" xr:uid="{3AFD25EC-FF3C-4940-873E-10A772291333}"/>
    <cellStyle name="Salida 2 3 2 3 3 5 2" xfId="10818" xr:uid="{B59BA09F-EC69-4403-8387-75D2F55D18DD}"/>
    <cellStyle name="Salida 2 3 2 3 3 6" xfId="5120" xr:uid="{786543A7-B6F1-4A73-91CD-A4EECD7F59DB}"/>
    <cellStyle name="Salida 2 3 2 3 3 6 2" xfId="10966" xr:uid="{8DC1BD7B-0F83-470F-A9E8-C68CABBD3099}"/>
    <cellStyle name="Salida 2 3 2 3 3 7" xfId="5911" xr:uid="{A176E871-3F10-4B20-A336-E8218B27DDFC}"/>
    <cellStyle name="Salida 2 3 2 3 3 7 2" xfId="11639" xr:uid="{B7AD581D-B75A-43F0-ACB2-7AECC4FD8FAD}"/>
    <cellStyle name="Salida 2 3 2 3 3 8" xfId="6241" xr:uid="{01515D0A-761D-4226-A8D3-1A849C262404}"/>
    <cellStyle name="Salida 2 3 2 3 3 8 2" xfId="11945" xr:uid="{D2BD9D81-BD95-42CD-B191-CE6A5EB74CB2}"/>
    <cellStyle name="Salida 2 3 2 3 3 9" xfId="6443" xr:uid="{6E6BB45D-5567-42DC-A5DC-E050969078AA}"/>
    <cellStyle name="Salida 2 3 2 3 3 9 2" xfId="12147" xr:uid="{F8248764-B995-4AA7-BB65-78E738677447}"/>
    <cellStyle name="Salida 2 3 2 3 4" xfId="2557" xr:uid="{71D2C785-5CCA-4A0E-A09A-524AA2B95D32}"/>
    <cellStyle name="Salida 2 3 2 3 4 10" xfId="7249" xr:uid="{E5E979C7-593D-4238-9A48-5AC8D82A2DD9}"/>
    <cellStyle name="Salida 2 3 2 3 4 10 2" xfId="12821" xr:uid="{3504F621-647E-41C4-8161-340B001894BB}"/>
    <cellStyle name="Salida 2 3 2 3 4 11" xfId="7834" xr:uid="{72486601-9711-4A7A-B6F5-689E06FBC5C7}"/>
    <cellStyle name="Salida 2 3 2 3 4 11 2" xfId="13406" xr:uid="{418DFD83-CAA4-4749-A07B-44B951DC45E6}"/>
    <cellStyle name="Salida 2 3 2 3 4 12" xfId="8771" xr:uid="{B5812828-F53D-4340-860A-F01F2A086343}"/>
    <cellStyle name="Salida 2 3 2 3 4 12 2" xfId="14127" xr:uid="{87FAC4D1-02FF-4774-B754-0794598A6CB8}"/>
    <cellStyle name="Salida 2 3 2 3 4 13" xfId="9087" xr:uid="{DFE34B32-7383-49D2-96A9-1E7C0ADBD7A5}"/>
    <cellStyle name="Salida 2 3 2 3 4 2" xfId="3113" xr:uid="{BEBCB4EA-B4A1-41D3-83DD-0234F98F0FA8}"/>
    <cellStyle name="Salida 2 3 2 3 4 2 2" xfId="4053" xr:uid="{76888829-BD37-482D-AF53-8DBA44ABF7FF}"/>
    <cellStyle name="Salida 2 3 2 3 4 2 2 2" xfId="10167" xr:uid="{F8DA64B2-3A6B-49F5-872B-D0D298B84EA8}"/>
    <cellStyle name="Salida 2 3 2 3 4 2 3" xfId="7024" xr:uid="{51A393EA-74F2-4A1E-8A29-AC78AA4162CF}"/>
    <cellStyle name="Salida 2 3 2 3 4 2 3 2" xfId="12630" xr:uid="{2D692424-1F60-43F7-A568-0DFD225AAE7C}"/>
    <cellStyle name="Salida 2 3 2 3 4 2 4" xfId="7702" xr:uid="{AF0795A3-FCB7-4A14-B3E0-26FD58AF73E2}"/>
    <cellStyle name="Salida 2 3 2 3 4 2 4 2" xfId="13274" xr:uid="{50626EAB-3097-404C-8E7F-39275AB28621}"/>
    <cellStyle name="Salida 2 3 2 3 4 2 5" xfId="8195" xr:uid="{634A3662-5DC7-48FF-AE30-0E45C0ABDA16}"/>
    <cellStyle name="Salida 2 3 2 3 4 2 5 2" xfId="13767" xr:uid="{D97A9980-2C91-418D-B1DB-8991F3FB6238}"/>
    <cellStyle name="Salida 2 3 2 3 4 2 6" xfId="9447" xr:uid="{93D18627-084A-40A2-8687-0A81A8D4071B}"/>
    <cellStyle name="Salida 2 3 2 3 4 3" xfId="3573" xr:uid="{4629E9D7-EA66-410F-9596-37E327462447}"/>
    <cellStyle name="Salida 2 3 2 3 4 3 2" xfId="9807" xr:uid="{C4887AB9-4DB6-416C-8347-6FB1230B85DE}"/>
    <cellStyle name="Salida 2 3 2 3 4 4" xfId="4770" xr:uid="{40419F21-FFCA-4805-9D94-6B7E3583AE48}"/>
    <cellStyle name="Salida 2 3 2 3 4 4 2" xfId="10634" xr:uid="{0AE48B4E-FFC1-4FF5-BFDA-CFD12F6F5EA4}"/>
    <cellStyle name="Salida 2 3 2 3 4 5" xfId="5013" xr:uid="{77A80335-FBB8-443D-A74F-D91417330E17}"/>
    <cellStyle name="Salida 2 3 2 3 4 5 2" xfId="10859" xr:uid="{F1A642AF-8464-41EB-8CA0-F358BD2E97FD}"/>
    <cellStyle name="Salida 2 3 2 3 4 6" xfId="5161" xr:uid="{26FAC09E-922E-4339-94EE-8947F7956D6F}"/>
    <cellStyle name="Salida 2 3 2 3 4 6 2" xfId="11007" xr:uid="{B12E337E-D880-49C3-BF32-910500D23FAC}"/>
    <cellStyle name="Salida 2 3 2 3 4 7" xfId="5952" xr:uid="{8B171C1C-250B-4201-929C-ABD7F5401EAC}"/>
    <cellStyle name="Salida 2 3 2 3 4 7 2" xfId="11680" xr:uid="{70AD5293-1DF6-4B1D-9923-E2FBDB9272D0}"/>
    <cellStyle name="Salida 2 3 2 3 4 8" xfId="6282" xr:uid="{DD753760-EABA-4060-89A2-0A05FC40F336}"/>
    <cellStyle name="Salida 2 3 2 3 4 8 2" xfId="11986" xr:uid="{CF05442C-5997-49DA-84CC-AC36F6EBC920}"/>
    <cellStyle name="Salida 2 3 2 3 4 9" xfId="6484" xr:uid="{B4F0928A-5662-4A2C-B6C3-F108B346D33B}"/>
    <cellStyle name="Salida 2 3 2 3 4 9 2" xfId="12188" xr:uid="{B1B43E5A-03F2-4F5B-B212-06A810DE62A1}"/>
    <cellStyle name="Salida 2 3 2 3 5" xfId="2674" xr:uid="{629FCCAF-D12A-4BBB-A826-CC8AF2521C53}"/>
    <cellStyle name="Salida 2 3 2 3 5 2" xfId="3138" xr:uid="{0A4A435A-136D-49C6-9C30-9182995E149B}"/>
    <cellStyle name="Salida 2 3 2 3 5 2 2" xfId="4096" xr:uid="{FD2BAC83-8940-41DB-9845-18BF763B19A6}"/>
    <cellStyle name="Salida 2 3 2 3 5 2 2 2" xfId="10192" xr:uid="{007861A3-D25D-4C9B-9EB3-F3FB57BBE212}"/>
    <cellStyle name="Salida 2 3 2 3 5 2 3" xfId="7067" xr:uid="{D4F43771-05AE-4FC9-B82B-CFBE60563D58}"/>
    <cellStyle name="Salida 2 3 2 3 5 2 3 2" xfId="12655" xr:uid="{087DF899-161E-4761-9697-7885ADE43938}"/>
    <cellStyle name="Salida 2 3 2 3 5 2 4" xfId="7728" xr:uid="{04D22CE1-D4C0-4631-A90A-80C159AD550F}"/>
    <cellStyle name="Salida 2 3 2 3 5 2 4 2" xfId="13300" xr:uid="{059B4AC1-4FEF-4DFD-92EA-5DA72C97C1F2}"/>
    <cellStyle name="Salida 2 3 2 3 5 2 5" xfId="8220" xr:uid="{FFAF1885-3FE8-42DE-A955-59E7EF1F45C2}"/>
    <cellStyle name="Salida 2 3 2 3 5 2 5 2" xfId="13792" xr:uid="{46FC1063-8CAB-471C-9C5A-0F857A11FF1C}"/>
    <cellStyle name="Salida 2 3 2 3 5 2 6" xfId="9472" xr:uid="{64B1B0D0-298F-4300-A3A3-A09BD8A64897}"/>
    <cellStyle name="Salida 2 3 2 3 5 3" xfId="3616" xr:uid="{122917B1-8E95-4372-8267-E5BCC120A8C3}"/>
    <cellStyle name="Salida 2 3 2 3 5 3 2" xfId="9832" xr:uid="{C8F1ECA3-A2C2-4DBA-8FE2-D52E017ED871}"/>
    <cellStyle name="Salida 2 3 2 3 5 4" xfId="6053" xr:uid="{4FE07A53-B506-4D8D-97D8-7BFFD1F0EEFD}"/>
    <cellStyle name="Salida 2 3 2 3 5 4 2" xfId="11765" xr:uid="{891520D7-F100-4DFC-810A-F2570AAF96CD}"/>
    <cellStyle name="Salida 2 3 2 3 5 5" xfId="6571" xr:uid="{964A0C6E-81DA-460A-8394-CD26D1CC2243}"/>
    <cellStyle name="Salida 2 3 2 3 5 5 2" xfId="12275" xr:uid="{43CA2A5A-6227-46C0-877C-AE59BEAF013B}"/>
    <cellStyle name="Salida 2 3 2 3 5 6" xfId="7325" xr:uid="{71E9163A-F2FD-4D54-B5F3-717605B1670E}"/>
    <cellStyle name="Salida 2 3 2 3 5 6 2" xfId="12897" xr:uid="{99C7D059-EA97-49B4-A347-17C921F4DC8F}"/>
    <cellStyle name="Salida 2 3 2 3 5 7" xfId="7860" xr:uid="{DCED48B4-00D0-455C-AF2B-DF8F805D4148}"/>
    <cellStyle name="Salida 2 3 2 3 5 7 2" xfId="13432" xr:uid="{4DDF3EA6-CFCC-4E5D-B3BB-DD94F17083BA}"/>
    <cellStyle name="Salida 2 3 2 3 5 8" xfId="9112" xr:uid="{C74B7C74-76CA-4B9F-AB19-20F0311A8AD5}"/>
    <cellStyle name="Salida 2 3 2 3 6" xfId="2766" xr:uid="{987697A7-7AF7-4D7B-8C41-FF77982E7305}"/>
    <cellStyle name="Salida 2 3 2 3 6 2" xfId="3198" xr:uid="{005A0BCA-04F1-4117-BD8D-4BA0CB416FD3}"/>
    <cellStyle name="Salida 2 3 2 3 6 2 2" xfId="4156" xr:uid="{513EBEFF-6073-41F9-BF33-1F230DBC7D21}"/>
    <cellStyle name="Salida 2 3 2 3 6 2 2 2" xfId="10252" xr:uid="{4C13E1FF-6DBF-45BA-B495-9AD93894AC17}"/>
    <cellStyle name="Salida 2 3 2 3 6 2 3" xfId="7127" xr:uid="{70793470-A56B-4F3B-935C-3C8B872BAA9B}"/>
    <cellStyle name="Salida 2 3 2 3 6 2 3 2" xfId="12715" xr:uid="{2F360232-62AD-4A2B-802F-B0647197AC77}"/>
    <cellStyle name="Salida 2 3 2 3 6 2 4" xfId="7788" xr:uid="{AD39933C-A467-464E-B9A3-07047B76C4C4}"/>
    <cellStyle name="Salida 2 3 2 3 6 2 4 2" xfId="13360" xr:uid="{2FB42115-5E0E-41EF-BF50-424DC77D7CB2}"/>
    <cellStyle name="Salida 2 3 2 3 6 2 5" xfId="8280" xr:uid="{6F08ECDA-92E1-413D-BA3D-10B64F2995EE}"/>
    <cellStyle name="Salida 2 3 2 3 6 2 5 2" xfId="13852" xr:uid="{066398AF-1F1C-4DCD-9F7D-E5CB858EF3A8}"/>
    <cellStyle name="Salida 2 3 2 3 6 2 6" xfId="9532" xr:uid="{06D61F75-98C3-4B1E-9314-D76B7120A1E0}"/>
    <cellStyle name="Salida 2 3 2 3 6 3" xfId="3676" xr:uid="{1BD72F75-6D95-4454-82F5-E83F9E088B6D}"/>
    <cellStyle name="Salida 2 3 2 3 6 3 2" xfId="9892" xr:uid="{B9C89B63-7CE2-42C9-A75A-0F0D8518FD09}"/>
    <cellStyle name="Salida 2 3 2 3 6 4" xfId="6133" xr:uid="{8FE16BBA-1C21-40A3-BE25-8B55B951CFB3}"/>
    <cellStyle name="Salida 2 3 2 3 6 4 2" xfId="11845" xr:uid="{CB926977-720B-4CDC-8CD3-23935F7EE525}"/>
    <cellStyle name="Salida 2 3 2 3 6 5" xfId="6643" xr:uid="{CD6190D8-3675-48B4-9781-4F1C571A4F8B}"/>
    <cellStyle name="Salida 2 3 2 3 6 5 2" xfId="12347" xr:uid="{79A0CA50-8556-4B30-8EF5-8DDBF614048E}"/>
    <cellStyle name="Salida 2 3 2 3 6 6" xfId="7387" xr:uid="{4084E57D-515E-4D1C-805D-86BC7AE5B377}"/>
    <cellStyle name="Salida 2 3 2 3 6 6 2" xfId="12959" xr:uid="{46D9ED99-339C-4166-8E56-C05294F8D83D}"/>
    <cellStyle name="Salida 2 3 2 3 6 7" xfId="7920" xr:uid="{39AD0652-9A49-4879-A41A-539D0D4D3E27}"/>
    <cellStyle name="Salida 2 3 2 3 6 7 2" xfId="13492" xr:uid="{11FD2A57-837D-4A88-B8AF-056CDDA0A6FF}"/>
    <cellStyle name="Salida 2 3 2 3 6 8" xfId="9172" xr:uid="{99863F48-13C0-40F9-9552-67CD90BE0BA5}"/>
    <cellStyle name="Salida 2 3 2 3 7" xfId="2866" xr:uid="{47D1BC19-89ED-4AED-8100-82F8720A97F8}"/>
    <cellStyle name="Salida 2 3 2 3 7 2" xfId="3790" xr:uid="{C6CEEE9D-2B5F-44B4-810F-870064F8551B}"/>
    <cellStyle name="Salida 2 3 2 3 7 2 2" xfId="9952" xr:uid="{91460AD0-E8FD-491F-B7D1-768C47FD848B}"/>
    <cellStyle name="Salida 2 3 2 3 7 3" xfId="6761" xr:uid="{D0FCAF6A-A1EF-462D-8466-C1653F22093B}"/>
    <cellStyle name="Salida 2 3 2 3 7 3 2" xfId="12415" xr:uid="{38425869-837C-4EF5-848F-D214DE829475}"/>
    <cellStyle name="Salida 2 3 2 3 7 4" xfId="7471" xr:uid="{FF63ECFB-0F32-48B5-AD12-DB554288D3E4}"/>
    <cellStyle name="Salida 2 3 2 3 7 4 2" xfId="13043" xr:uid="{B5E7884C-A4C8-4095-847B-0D15DD9658DA}"/>
    <cellStyle name="Salida 2 3 2 3 7 5" xfId="7980" xr:uid="{4A3E5E08-59F7-427D-8056-600662EE87DF}"/>
    <cellStyle name="Salida 2 3 2 3 7 5 2" xfId="13552" xr:uid="{7C8F3255-0BCC-4F02-943A-69BCFC82EB72}"/>
    <cellStyle name="Salida 2 3 2 3 7 6" xfId="9232" xr:uid="{9F084E9A-62B2-4829-9E86-C65B92858307}"/>
    <cellStyle name="Salida 2 3 2 3 8" xfId="3310" xr:uid="{0C3FEE41-676F-4014-A6E4-53842A5C56B3}"/>
    <cellStyle name="Salida 2 3 2 3 8 2" xfId="9592" xr:uid="{EA07F8CA-2455-407E-9F77-DE05FAEB3D62}"/>
    <cellStyle name="Salida 2 3 2 3 9" xfId="4477" xr:uid="{99394916-2F9A-4BC0-A4DF-ABAB370A14D4}"/>
    <cellStyle name="Salida 2 3 2 3 9 2" xfId="10389" xr:uid="{AB8E486B-8F58-435B-84CB-538116211A13}"/>
    <cellStyle name="Salida 2 3 2 4" xfId="8851" xr:uid="{607FB5B8-CAB1-48CC-8A59-B4D93D870877}"/>
    <cellStyle name="Salida 2 3 2 5" xfId="2130" xr:uid="{5DF7A127-1A11-4B4A-A4C4-AA8BDB520541}"/>
    <cellStyle name="Salida 2 3 3" xfId="1532" xr:uid="{02BE01D3-BDB3-4F07-A079-5A548C24FB79}"/>
    <cellStyle name="Salida 2 3 3 10" xfId="4361" xr:uid="{9688E23A-7986-4E8E-B940-81E62086A012}"/>
    <cellStyle name="Salida 2 3 3 10 2" xfId="10321" xr:uid="{0A90DEC6-A3D2-471A-B064-616C7AE970A1}"/>
    <cellStyle name="Salida 2 3 3 11" xfId="4620" xr:uid="{A96187DA-5995-4BC7-8771-345A455BCFDB}"/>
    <cellStyle name="Salida 2 3 3 11 2" xfId="10484" xr:uid="{B869F901-DBB7-4735-B5E4-B5EC32995167}"/>
    <cellStyle name="Salida 2 3 3 12" xfId="5422" xr:uid="{B8AA1117-35AD-4DED-99D9-B951EB601F83}"/>
    <cellStyle name="Salida 2 3 3 12 2" xfId="11220" xr:uid="{D290F6D6-1FEF-422F-ACE3-863DDE05FD60}"/>
    <cellStyle name="Salida 2 3 3 13" xfId="5590" xr:uid="{7FCC9722-EC7C-40D9-B5B2-6C4CE7FF3EDF}"/>
    <cellStyle name="Salida 2 3 3 13 2" xfId="11318" xr:uid="{770B909B-EEE8-41C7-BA81-16F6D989AAEA}"/>
    <cellStyle name="Salida 2 3 3 14" xfId="5224" xr:uid="{A5079F0B-7423-4F94-8B19-E7225DD1E259}"/>
    <cellStyle name="Salida 2 3 3 14 2" xfId="11070" xr:uid="{9F6C9C3A-266D-4D0F-8D24-960904451A45}"/>
    <cellStyle name="Salida 2 3 3 15" xfId="5984" xr:uid="{EAB38CB9-28BA-4A4A-AF3A-A852F363A3C2}"/>
    <cellStyle name="Salida 2 3 3 15 2" xfId="11696" xr:uid="{5845A258-0333-4E8F-9096-4DB9EF35E0CF}"/>
    <cellStyle name="Salida 2 3 3 16" xfId="5201" xr:uid="{9B412F35-699E-4319-BF29-18C49795CFAA}"/>
    <cellStyle name="Salida 2 3 3 16 2" xfId="11047" xr:uid="{704DEFE5-7554-44D8-8D06-6ADB4969941E}"/>
    <cellStyle name="Salida 2 3 3 17" xfId="6518" xr:uid="{E7EE814E-23E5-4E7C-9A21-88EB257AFC56}"/>
    <cellStyle name="Salida 2 3 3 17 2" xfId="12222" xr:uid="{BC443036-4908-484C-AD80-E4208A84AA9F}"/>
    <cellStyle name="Salida 2 3 3 18" xfId="5740" xr:uid="{C3C1FD97-FE42-4C24-8532-99C7A7F08555}"/>
    <cellStyle name="Salida 2 3 3 18 2" xfId="11468" xr:uid="{DF5A23E0-B7BA-47B8-97A3-85243565CEFE}"/>
    <cellStyle name="Salida 2 3 3 19" xfId="8442" xr:uid="{72B9CFFC-3573-4DA4-81AD-706F05636038}"/>
    <cellStyle name="Salida 2 3 3 19 2" xfId="13922" xr:uid="{897C4280-2673-4F6C-9BC1-6F0529CA4C7A}"/>
    <cellStyle name="Salida 2 3 3 2" xfId="2420" xr:uid="{11452F54-6B5E-431B-8D0B-E8EDECE78226}"/>
    <cellStyle name="Salida 2 3 3 2 10" xfId="6686" xr:uid="{75E291F6-C971-4C9D-9FD4-B5A4FBC28235}"/>
    <cellStyle name="Salida 2 3 3 2 10 2" xfId="12390" xr:uid="{9F7C67ED-84E8-44D3-A42F-3C107E4EB96A}"/>
    <cellStyle name="Salida 2 3 3 2 11" xfId="7305" xr:uid="{8A31A1CD-B2B4-4385-8402-DE24E2E71356}"/>
    <cellStyle name="Salida 2 3 3 2 11 2" xfId="12877" xr:uid="{33518512-9E86-4E6D-8822-D96056A466A6}"/>
    <cellStyle name="Salida 2 3 3 2 12" xfId="8634" xr:uid="{C8CDC8E4-C987-494D-B72F-524E15C8054A}"/>
    <cellStyle name="Salida 2 3 3 2 12 2" xfId="14022" xr:uid="{18AD8EBE-9678-47A3-8D25-0C56447BC037}"/>
    <cellStyle name="Salida 2 3 3 2 13" xfId="8982" xr:uid="{6DBAEAA2-4491-4175-9F7F-DF8B4E943F03}"/>
    <cellStyle name="Salida 2 3 3 2 2" xfId="3008" xr:uid="{BFEC51DE-8E70-42A1-9210-906D667842CA}"/>
    <cellStyle name="Salida 2 3 3 2 2 2" xfId="3948" xr:uid="{64860FBC-72CE-4EBC-8914-41D99380486A}"/>
    <cellStyle name="Salida 2 3 3 2 2 2 2" xfId="10062" xr:uid="{63A45374-597C-4C09-B0D7-CE7B1C31BB43}"/>
    <cellStyle name="Salida 2 3 3 2 2 3" xfId="6919" xr:uid="{B78B8897-0107-4994-9A12-55A9539BBFA8}"/>
    <cellStyle name="Salida 2 3 3 2 2 3 2" xfId="12525" xr:uid="{B5918EB4-C654-4C3F-9017-14BE67C48A8E}"/>
    <cellStyle name="Salida 2 3 3 2 2 4" xfId="7597" xr:uid="{6330BD14-52F3-499E-8FDD-D39856FE2876}"/>
    <cellStyle name="Salida 2 3 3 2 2 4 2" xfId="13169" xr:uid="{BAACC217-CC0C-4C08-BD3C-B8B3BCBCB804}"/>
    <cellStyle name="Salida 2 3 3 2 2 5" xfId="8090" xr:uid="{0895A0BC-86EC-42D8-8B03-3ABFFE7826A7}"/>
    <cellStyle name="Salida 2 3 3 2 2 5 2" xfId="13662" xr:uid="{4A2723D5-1F1D-4683-9A3E-04C4C04641F1}"/>
    <cellStyle name="Salida 2 3 3 2 2 6" xfId="9342" xr:uid="{60BC1232-DC93-4D7D-839E-59F2E00EAEB5}"/>
    <cellStyle name="Salida 2 3 3 2 3" xfId="3468" xr:uid="{8A391CD4-7F21-4EAE-8FA7-1589973DF748}"/>
    <cellStyle name="Salida 2 3 3 2 3 2" xfId="9702" xr:uid="{CCCEAEE8-3B90-49AA-A5BE-01F10FFFBDE9}"/>
    <cellStyle name="Salida 2 3 3 2 4" xfId="4661" xr:uid="{92D5F800-C9E9-425B-B852-5BD2631D11D6}"/>
    <cellStyle name="Salida 2 3 3 2 4 2" xfId="10525" xr:uid="{045D91C2-793E-48F3-87B6-EDA06BD7DEC7}"/>
    <cellStyle name="Salida 2 3 3 2 5" xfId="4900" xr:uid="{6E7FE285-2B65-4769-8018-14946FAFAEA8}"/>
    <cellStyle name="Salida 2 3 3 2 5 2" xfId="10746" xr:uid="{462FCFF0-B073-4771-A789-98A6AA845C8F}"/>
    <cellStyle name="Salida 2 3 3 2 6" xfId="5056" xr:uid="{2C3246BA-A785-4645-924F-604813A988B3}"/>
    <cellStyle name="Salida 2 3 3 2 6 2" xfId="10902" xr:uid="{87DF072E-2E86-4049-B191-55658904CD14}"/>
    <cellStyle name="Salida 2 3 3 2 7" xfId="5826" xr:uid="{1319FDA4-DB7B-459E-9F5D-BDF4BEA172AA}"/>
    <cellStyle name="Salida 2 3 3 2 7 2" xfId="11554" xr:uid="{2D18B0E9-EA16-474E-B3F0-A5AF9804EC97}"/>
    <cellStyle name="Salida 2 3 3 2 8" xfId="5236" xr:uid="{87CF16F6-E436-45D0-B65A-7DEE12A1D5D7}"/>
    <cellStyle name="Salida 2 3 3 2 8 2" xfId="11082" xr:uid="{7008B5EC-7858-435D-8718-4EFD68E56D9E}"/>
    <cellStyle name="Salida 2 3 3 2 9" xfId="6363" xr:uid="{97204C15-0C95-4209-9ADF-2191EF53F209}"/>
    <cellStyle name="Salida 2 3 3 2 9 2" xfId="12067" xr:uid="{0E04E846-5378-4E09-8BF1-F3938F3C9DC8}"/>
    <cellStyle name="Salida 2 3 3 20" xfId="8882" xr:uid="{C6896EB1-3141-4675-B78B-C9B7B8010E7C}"/>
    <cellStyle name="Salida 2 3 3 21" xfId="2228" xr:uid="{0DDC0834-B4BC-48E0-BBFF-5D5DB2866F18}"/>
    <cellStyle name="Salida 2 3 3 3" xfId="2526" xr:uid="{56EA2B77-F697-4599-BA17-E68ED65321B3}"/>
    <cellStyle name="Salida 2 3 3 3 10" xfId="7218" xr:uid="{B0D6737A-61AF-45D4-9190-90236C4C9E03}"/>
    <cellStyle name="Salida 2 3 3 3 10 2" xfId="12790" xr:uid="{F8943993-345E-4DE1-AD0E-A4DF766DB941}"/>
    <cellStyle name="Salida 2 3 3 3 11" xfId="6413" xr:uid="{86C4C6E7-51C3-4176-8F06-5BF5177C5E8D}"/>
    <cellStyle name="Salida 2 3 3 3 11 2" xfId="12117" xr:uid="{C3106C77-0F98-4C16-A796-1594CC880137}"/>
    <cellStyle name="Salida 2 3 3 3 12" xfId="8740" xr:uid="{A5763523-0B39-434B-AC6D-06D4A83326BA}"/>
    <cellStyle name="Salida 2 3 3 3 12 2" xfId="14096" xr:uid="{8868246A-79DA-4C2C-95DA-E5C0EA611C01}"/>
    <cellStyle name="Salida 2 3 3 3 13" xfId="9056" xr:uid="{A51AB4E2-FF02-4F8F-BC57-CD51EA15A106}"/>
    <cellStyle name="Salida 2 3 3 3 2" xfId="3082" xr:uid="{BB715741-F81D-4A04-840C-909D7519B931}"/>
    <cellStyle name="Salida 2 3 3 3 2 2" xfId="4022" xr:uid="{7632B0EF-F408-4F01-B3AD-3149BF76E889}"/>
    <cellStyle name="Salida 2 3 3 3 2 2 2" xfId="10136" xr:uid="{6230140A-042F-4F16-8298-847850516341}"/>
    <cellStyle name="Salida 2 3 3 3 2 3" xfId="6993" xr:uid="{3C1DCE37-A8A6-490E-A86E-4533CC28A90C}"/>
    <cellStyle name="Salida 2 3 3 3 2 3 2" xfId="12599" xr:uid="{87149470-A2C0-4E2C-9DD0-1AB94624353A}"/>
    <cellStyle name="Salida 2 3 3 3 2 4" xfId="7671" xr:uid="{CB220E86-C056-4CAC-BB6D-D8A40175136D}"/>
    <cellStyle name="Salida 2 3 3 3 2 4 2" xfId="13243" xr:uid="{5B25E0AA-6DFA-4B19-958C-37D5280BFC60}"/>
    <cellStyle name="Salida 2 3 3 3 2 5" xfId="8164" xr:uid="{BC487BB1-1308-461C-B564-C87F66A54705}"/>
    <cellStyle name="Salida 2 3 3 3 2 5 2" xfId="13736" xr:uid="{D82AA64A-285B-482B-A08A-466900E7BE4D}"/>
    <cellStyle name="Salida 2 3 3 3 2 6" xfId="9416" xr:uid="{EF5AFB9E-CFFF-4B83-80D1-576EEF630ECE}"/>
    <cellStyle name="Salida 2 3 3 3 3" xfId="3542" xr:uid="{AFAC3895-314E-4C94-A43A-3EFDADC211AF}"/>
    <cellStyle name="Salida 2 3 3 3 3 2" xfId="9776" xr:uid="{817E8167-58B4-4F95-8901-D88C979DE80A}"/>
    <cellStyle name="Salida 2 3 3 3 4" xfId="4739" xr:uid="{0C968AA9-11C3-4B01-9153-13D7BEF77D40}"/>
    <cellStyle name="Salida 2 3 3 3 4 2" xfId="10603" xr:uid="{03B8FC3B-D1BE-4038-A40A-92AECA3DADA7}"/>
    <cellStyle name="Salida 2 3 3 3 5" xfId="4982" xr:uid="{FFC5C2E0-5E90-4A66-9899-CDDCD18ADC08}"/>
    <cellStyle name="Salida 2 3 3 3 5 2" xfId="10828" xr:uid="{290EAF88-41E0-4005-8D25-FDDAE314D11C}"/>
    <cellStyle name="Salida 2 3 3 3 6" xfId="5130" xr:uid="{E475E4F2-180B-4F3F-BC9A-372CF040EA11}"/>
    <cellStyle name="Salida 2 3 3 3 6 2" xfId="10976" xr:uid="{09AA684C-6FA7-449F-A0A8-3878D836C7FB}"/>
    <cellStyle name="Salida 2 3 3 3 7" xfId="5921" xr:uid="{B8BBC252-C84C-4CF7-A34A-FD4B0AFB258F}"/>
    <cellStyle name="Salida 2 3 3 3 7 2" xfId="11649" xr:uid="{62A825AE-22E7-49A5-9E2B-FF9D80A8E6AD}"/>
    <cellStyle name="Salida 2 3 3 3 8" xfId="6251" xr:uid="{4A4D41FF-0E9F-4B52-8FF4-9D8AA9DD205A}"/>
    <cellStyle name="Salida 2 3 3 3 8 2" xfId="11955" xr:uid="{6537C1B5-9D1E-4022-AA0C-37BDA5D4A8A0}"/>
    <cellStyle name="Salida 2 3 3 3 9" xfId="6453" xr:uid="{9D253737-A54D-4802-BF5E-D1620AD60A7D}"/>
    <cellStyle name="Salida 2 3 3 3 9 2" xfId="12157" xr:uid="{B464B115-D6A1-4646-8D80-7CBD663EE5AD}"/>
    <cellStyle name="Salida 2 3 3 4" xfId="2284" xr:uid="{A39130BF-7B9D-43F3-A2C8-8A90D3442259}"/>
    <cellStyle name="Salida 2 3 3 4 10" xfId="6524" xr:uid="{FB1416D0-3D43-4D73-A334-C69406509BCE}"/>
    <cellStyle name="Salida 2 3 3 4 10 2" xfId="12228" xr:uid="{FB5C81B3-D442-4FA0-BB22-2CDA68F35B16}"/>
    <cellStyle name="Salida 2 3 3 4 11" xfId="7432" xr:uid="{D6CDA4FF-D5E4-4D17-AC2A-4496EE7F5382}"/>
    <cellStyle name="Salida 2 3 3 4 11 2" xfId="13004" xr:uid="{85A3AA91-C068-4369-BCEE-D4490F0B73D9}"/>
    <cellStyle name="Salida 2 3 3 4 12" xfId="8498" xr:uid="{193BF04F-9759-4E3C-9EC5-7A122646504D}"/>
    <cellStyle name="Salida 2 3 3 4 12 2" xfId="13978" xr:uid="{050C34D0-F70C-4367-8453-E42598DC8143}"/>
    <cellStyle name="Salida 2 3 3 4 13" xfId="8938" xr:uid="{69CED84B-487D-40E5-B35F-DDDBA6DD931F}"/>
    <cellStyle name="Salida 2 3 3 4 2" xfId="2964" xr:uid="{ED0F221A-61E2-4CDD-8BB1-2B12127DC520}"/>
    <cellStyle name="Salida 2 3 3 4 2 2" xfId="3904" xr:uid="{F4981A6C-8273-4E66-B238-89E6DCB8040E}"/>
    <cellStyle name="Salida 2 3 3 4 2 2 2" xfId="10018" xr:uid="{4B227506-246B-43D4-AA1C-850EA3847394}"/>
    <cellStyle name="Salida 2 3 3 4 2 3" xfId="6875" xr:uid="{8489F6C4-17A4-4138-9766-EF43A1C78A4E}"/>
    <cellStyle name="Salida 2 3 3 4 2 3 2" xfId="12481" xr:uid="{535A12D0-7F60-4A68-A7B6-6609F297E0BD}"/>
    <cellStyle name="Salida 2 3 3 4 2 4" xfId="7553" xr:uid="{5AFAFD51-0116-4C81-ABBA-F08C471C8137}"/>
    <cellStyle name="Salida 2 3 3 4 2 4 2" xfId="13125" xr:uid="{D02641B2-2EEF-4118-A8B6-CC39D711AFF6}"/>
    <cellStyle name="Salida 2 3 3 4 2 5" xfId="8046" xr:uid="{CD44E7EA-6B63-4575-AC19-55618BA42EC4}"/>
    <cellStyle name="Salida 2 3 3 4 2 5 2" xfId="13618" xr:uid="{E68DAAD1-7F32-4345-A24F-3B89AD9A5CA0}"/>
    <cellStyle name="Salida 2 3 3 4 2 6" xfId="9298" xr:uid="{C1D3A6B1-DD6B-4825-97AE-574E8E63B8DF}"/>
    <cellStyle name="Salida 2 3 3 4 3" xfId="3424" xr:uid="{74D9206C-3EDF-4516-903D-3B3C123762FC}"/>
    <cellStyle name="Salida 2 3 3 4 3 2" xfId="9658" xr:uid="{D7AEE5AB-B22F-47F5-A590-85933E75C495}"/>
    <cellStyle name="Salida 2 3 3 4 4" xfId="4591" xr:uid="{C73DD08E-D552-4AF6-86A3-E03B486B5ED3}"/>
    <cellStyle name="Salida 2 3 3 4 4 2" xfId="10455" xr:uid="{9D866032-5798-4298-8201-63652EB7EF80}"/>
    <cellStyle name="Salida 2 3 3 4 5" xfId="4836" xr:uid="{6EA95633-B84E-4C90-8843-66E9F3D95514}"/>
    <cellStyle name="Salida 2 3 3 4 5 2" xfId="10682" xr:uid="{F3C5D38E-7FAA-441F-895A-FDF29186351F}"/>
    <cellStyle name="Salida 2 3 3 4 6" xfId="4384" xr:uid="{4444BCB6-594E-4582-A496-47DDCE42D44F}"/>
    <cellStyle name="Salida 2 3 3 4 6 2" xfId="10342" xr:uid="{2DF717E4-2A46-419A-A119-51397981C98A}"/>
    <cellStyle name="Salida 2 3 3 4 7" xfId="5722" xr:uid="{A0AEDF97-4494-4111-909C-CD6BBE7BB09D}"/>
    <cellStyle name="Salida 2 3 3 4 7 2" xfId="11450" xr:uid="{2CA07FBA-F4BA-450D-B0C3-AAE4D2F3F8DA}"/>
    <cellStyle name="Salida 2 3 3 4 8" xfId="5731" xr:uid="{E2B96B5E-ACDB-4049-BBB0-52E7808BD22B}"/>
    <cellStyle name="Salida 2 3 3 4 8 2" xfId="11459" xr:uid="{1DBDAB05-47EA-4999-BA83-7491521934D4}"/>
    <cellStyle name="Salida 2 3 3 4 9" xfId="6103" xr:uid="{724BBA16-DA1E-40BC-9D9D-43EA26343114}"/>
    <cellStyle name="Salida 2 3 3 4 9 2" xfId="11815" xr:uid="{560741F7-07A5-4A84-811B-298153D1A60F}"/>
    <cellStyle name="Salida 2 3 3 5" xfId="2684" xr:uid="{232A137C-66E2-4CE7-8699-7369C0B3276D}"/>
    <cellStyle name="Salida 2 3 3 5 2" xfId="3148" xr:uid="{9F63F759-8DD9-4D39-851A-EF63E2912619}"/>
    <cellStyle name="Salida 2 3 3 5 2 2" xfId="4106" xr:uid="{F425592A-E448-4389-925D-86D0D2DCEA01}"/>
    <cellStyle name="Salida 2 3 3 5 2 2 2" xfId="10202" xr:uid="{6E102C13-CDFC-4003-9E9C-A9B8A0A9B8F1}"/>
    <cellStyle name="Salida 2 3 3 5 2 3" xfId="7077" xr:uid="{2259A25C-4DC4-4BBA-B011-4AE8574B12DA}"/>
    <cellStyle name="Salida 2 3 3 5 2 3 2" xfId="12665" xr:uid="{CCA05DAB-26AA-40C7-A6ED-E475BAD37BDE}"/>
    <cellStyle name="Salida 2 3 3 5 2 4" xfId="7738" xr:uid="{D44897EA-80D8-48BB-9463-CE84631016C2}"/>
    <cellStyle name="Salida 2 3 3 5 2 4 2" xfId="13310" xr:uid="{263C1ED7-5580-4E59-BE79-3661A25BCA78}"/>
    <cellStyle name="Salida 2 3 3 5 2 5" xfId="8230" xr:uid="{188D38A2-6DFE-4BC7-B70A-A87388013A55}"/>
    <cellStyle name="Salida 2 3 3 5 2 5 2" xfId="13802" xr:uid="{2F80B287-380A-4B2F-B371-EEAB5E5196E3}"/>
    <cellStyle name="Salida 2 3 3 5 2 6" xfId="9482" xr:uid="{0CB5EF63-6261-4A91-BF4F-50CF801C4629}"/>
    <cellStyle name="Salida 2 3 3 5 3" xfId="3626" xr:uid="{FFF74B7F-288F-441D-BDD4-697F991212C8}"/>
    <cellStyle name="Salida 2 3 3 5 3 2" xfId="9842" xr:uid="{2D08E56F-6F5A-41D3-93D0-AF9309A70ECB}"/>
    <cellStyle name="Salida 2 3 3 5 4" xfId="6063" xr:uid="{CA2A8EEF-32E3-4902-88A2-F02FEB748B1F}"/>
    <cellStyle name="Salida 2 3 3 5 4 2" xfId="11775" xr:uid="{103EC3CE-B953-4073-9EBB-5883CCF089BE}"/>
    <cellStyle name="Salida 2 3 3 5 5" xfId="6581" xr:uid="{9A49F5A7-5E63-4C41-B2CC-BB07B5F9CF7C}"/>
    <cellStyle name="Salida 2 3 3 5 5 2" xfId="12285" xr:uid="{1727C42A-629B-40AD-9475-992CBF6D4BB1}"/>
    <cellStyle name="Salida 2 3 3 5 6" xfId="7335" xr:uid="{C5A5270C-8488-461F-BF4D-66E8B875F992}"/>
    <cellStyle name="Salida 2 3 3 5 6 2" xfId="12907" xr:uid="{2CA0F4A8-8186-4A88-8F23-0662D53B8F00}"/>
    <cellStyle name="Salida 2 3 3 5 7" xfId="7870" xr:uid="{E9A83488-6504-43B4-8E10-7A225DB678AA}"/>
    <cellStyle name="Salida 2 3 3 5 7 2" xfId="13442" xr:uid="{E18B07CA-BE0E-4619-B283-BA088D82EDDE}"/>
    <cellStyle name="Salida 2 3 3 5 8" xfId="9122" xr:uid="{4074DB93-3867-4A6B-9605-6BEA6F246CDD}"/>
    <cellStyle name="Salida 2 3 3 6" xfId="2776" xr:uid="{D2B57D11-73BA-4316-AD4D-5D75E9D0C527}"/>
    <cellStyle name="Salida 2 3 3 6 2" xfId="3208" xr:uid="{0D2F56D4-8D57-4A53-9041-7F560134D3E1}"/>
    <cellStyle name="Salida 2 3 3 6 2 2" xfId="4166" xr:uid="{E34EFD07-EAE5-4545-88B0-BD77C1F99555}"/>
    <cellStyle name="Salida 2 3 3 6 2 2 2" xfId="10262" xr:uid="{BD0EB0EC-4B00-406B-B5CE-D0DC9F9F5FE8}"/>
    <cellStyle name="Salida 2 3 3 6 2 3" xfId="7137" xr:uid="{25E06739-74FC-4E7F-9EF6-53D8B6D53EBD}"/>
    <cellStyle name="Salida 2 3 3 6 2 3 2" xfId="12725" xr:uid="{3EACA231-49BD-4954-9FA0-CFD74716BED4}"/>
    <cellStyle name="Salida 2 3 3 6 2 4" xfId="7798" xr:uid="{D0D076B3-274A-4DED-AD50-490214E689D7}"/>
    <cellStyle name="Salida 2 3 3 6 2 4 2" xfId="13370" xr:uid="{BEEC25A2-9901-4D7D-A076-084469808ED1}"/>
    <cellStyle name="Salida 2 3 3 6 2 5" xfId="8290" xr:uid="{EFCF093D-D698-46F0-9750-ACBD8AC0383C}"/>
    <cellStyle name="Salida 2 3 3 6 2 5 2" xfId="13862" xr:uid="{BAA59CA9-9AC9-4BA9-8404-BD20E50438B8}"/>
    <cellStyle name="Salida 2 3 3 6 2 6" xfId="9542" xr:uid="{F4656B78-6B64-477F-8169-B3DD4422BDE3}"/>
    <cellStyle name="Salida 2 3 3 6 3" xfId="3686" xr:uid="{E35960E6-4BF1-46E9-AF2B-5A1752556AC8}"/>
    <cellStyle name="Salida 2 3 3 6 3 2" xfId="9902" xr:uid="{E04718D0-AF02-467C-87D9-9EA433B27178}"/>
    <cellStyle name="Salida 2 3 3 6 4" xfId="6143" xr:uid="{501C3B35-F681-4974-994F-9EA0C2A395C2}"/>
    <cellStyle name="Salida 2 3 3 6 4 2" xfId="11855" xr:uid="{D03C0CBC-FA57-44FA-8AD7-D70FDD6C57B3}"/>
    <cellStyle name="Salida 2 3 3 6 5" xfId="6653" xr:uid="{E91E7247-956A-4038-89A9-A41370404422}"/>
    <cellStyle name="Salida 2 3 3 6 5 2" xfId="12357" xr:uid="{754282B9-E5F0-4BC2-832F-D044B9704B18}"/>
    <cellStyle name="Salida 2 3 3 6 6" xfId="7397" xr:uid="{F898A089-FF0B-49A5-8911-C0854F7A5684}"/>
    <cellStyle name="Salida 2 3 3 6 6 2" xfId="12969" xr:uid="{54D05C8F-260F-49BB-9E2B-4D9420DDFBF0}"/>
    <cellStyle name="Salida 2 3 3 6 7" xfId="7930" xr:uid="{599445C9-A584-488D-A336-9812F9E7890C}"/>
    <cellStyle name="Salida 2 3 3 6 7 2" xfId="13502" xr:uid="{CC6DB9CA-E261-4D70-8D44-C292E397A574}"/>
    <cellStyle name="Salida 2 3 3 6 8" xfId="9182" xr:uid="{30E43ED6-4488-4CAA-BEA2-2CCE43F8ED97}"/>
    <cellStyle name="Salida 2 3 3 7" xfId="2876" xr:uid="{48CEBDEE-B350-4BD8-BB67-4C3F96C6ACA8}"/>
    <cellStyle name="Salida 2 3 3 7 2" xfId="3800" xr:uid="{71A6A95F-42C5-4C7E-9F80-E4F8D4D81694}"/>
    <cellStyle name="Salida 2 3 3 7 2 2" xfId="9962" xr:uid="{7562C466-1AAE-4F75-B7C0-D3D5CF9B4B29}"/>
    <cellStyle name="Salida 2 3 3 7 3" xfId="6771" xr:uid="{7154EE37-8182-4605-BD9E-0B741ABB125E}"/>
    <cellStyle name="Salida 2 3 3 7 3 2" xfId="12425" xr:uid="{F7337F0A-C9EB-48BF-B30E-C518F320561F}"/>
    <cellStyle name="Salida 2 3 3 7 4" xfId="7481" xr:uid="{F57CA859-25D8-40D1-B2FB-C38ADE4FFE82}"/>
    <cellStyle name="Salida 2 3 3 7 4 2" xfId="13053" xr:uid="{DDC0CC74-1A43-4E7E-9624-79B820B1AC88}"/>
    <cellStyle name="Salida 2 3 3 7 5" xfId="7990" xr:uid="{3BAD5AC6-9274-4999-9F58-69320467C9AA}"/>
    <cellStyle name="Salida 2 3 3 7 5 2" xfId="13562" xr:uid="{2403FF0F-C2E3-4C00-A637-ABBDF0D18AA3}"/>
    <cellStyle name="Salida 2 3 3 7 6" xfId="9242" xr:uid="{E3A2BC75-2D95-40E2-AE5F-DAAFFAA4F29B}"/>
    <cellStyle name="Salida 2 3 3 8" xfId="3320" xr:uid="{81B3BC5C-CA74-48E9-B271-DB2A6E2133E3}"/>
    <cellStyle name="Salida 2 3 3 8 2" xfId="9602" xr:uid="{F4B5A386-E611-4F8D-A64F-FC1C7971DA6B}"/>
    <cellStyle name="Salida 2 3 3 9" xfId="4487" xr:uid="{62568649-D4F7-4629-B583-54A3BB9F6AE7}"/>
    <cellStyle name="Salida 2 3 3 9 2" xfId="10399" xr:uid="{D4C1BD06-B14F-4EF6-B495-F6B0AF4EAFAD}"/>
    <cellStyle name="Salida 2 3 4" xfId="1543" xr:uid="{124BEECC-AA09-4174-A534-CEF32C927707}"/>
    <cellStyle name="Salida 2 3 4 10" xfId="4352" xr:uid="{FBA82B13-3BE2-4B2D-A95D-FCA1180F5BD3}"/>
    <cellStyle name="Salida 2 3 4 10 2" xfId="10312" xr:uid="{B25C62AF-E0C5-43F6-98AD-33585BEB3599}"/>
    <cellStyle name="Salida 2 3 4 11" xfId="4801" xr:uid="{44225593-8299-480A-8959-A302816B38D9}"/>
    <cellStyle name="Salida 2 3 4 11 2" xfId="10647" xr:uid="{912A8A4F-6383-47AD-8076-36B63468DD67}"/>
    <cellStyle name="Salida 2 3 4 12" xfId="5431" xr:uid="{7186D768-067B-4381-BA25-EE7648EE5DED}"/>
    <cellStyle name="Salida 2 3 4 12 2" xfId="11225" xr:uid="{6DB92C73-9A7E-4F2E-8A73-BDE08E9D19A8}"/>
    <cellStyle name="Salida 2 3 4 13" xfId="5599" xr:uid="{7C36BDF0-2037-46F3-9869-3424F9A4127E}"/>
    <cellStyle name="Salida 2 3 4 13 2" xfId="11327" xr:uid="{68ED05AE-1C64-40B9-968F-4A3BB799B090}"/>
    <cellStyle name="Salida 2 3 4 14" xfId="5240" xr:uid="{B48F29E2-73D5-4DB0-8853-C456699274A8}"/>
    <cellStyle name="Salida 2 3 4 14 2" xfId="11086" xr:uid="{3BB51F6E-D40F-4CAD-BF31-9AA841CD0D7A}"/>
    <cellStyle name="Salida 2 3 4 15" xfId="5761" xr:uid="{B875D9C1-1BC8-4166-B297-50F29839D28B}"/>
    <cellStyle name="Salida 2 3 4 15 2" xfId="11489" xr:uid="{AC02B4F5-C8BA-48C0-876B-D84B25E39F6A}"/>
    <cellStyle name="Salida 2 3 4 16" xfId="5654" xr:uid="{C062C716-7BBB-4775-929F-0AA92B3D9E23}"/>
    <cellStyle name="Salida 2 3 4 16 2" xfId="11382" xr:uid="{26DA3FBB-BAC8-42A8-BCAE-472E6C64588E}"/>
    <cellStyle name="Salida 2 3 4 17" xfId="6202" xr:uid="{9222D959-377D-468A-B36A-72992FDD574D}"/>
    <cellStyle name="Salida 2 3 4 17 2" xfId="11906" xr:uid="{F22531DA-BD96-4834-8E23-17CCCFF5F5C0}"/>
    <cellStyle name="Salida 2 3 4 18" xfId="6551" xr:uid="{4BA53581-A819-48EC-B0C4-7AB0AC4ED1B5}"/>
    <cellStyle name="Salida 2 3 4 18 2" xfId="12255" xr:uid="{E298D353-EF9C-4C13-9661-6F7002128448}"/>
    <cellStyle name="Salida 2 3 4 19" xfId="8447" xr:uid="{70B89389-C268-4499-B203-FC9BE2DBAFA7}"/>
    <cellStyle name="Salida 2 3 4 19 2" xfId="13927" xr:uid="{952B60D6-DD17-4580-8971-1CD1EDF41FF8}"/>
    <cellStyle name="Salida 2 3 4 2" xfId="2427" xr:uid="{E704DB17-9B33-448C-BA50-4B9F1069CFEC}"/>
    <cellStyle name="Salida 2 3 4 2 10" xfId="5207" xr:uid="{AADE6121-1E6D-49C4-A18A-2547F6008C95}"/>
    <cellStyle name="Salida 2 3 4 2 10 2" xfId="11053" xr:uid="{95F6DD1B-FA8D-434F-8896-C53E4330A364}"/>
    <cellStyle name="Salida 2 3 4 2 11" xfId="6533" xr:uid="{70806855-B259-4648-BAB9-1B7F5473BEC4}"/>
    <cellStyle name="Salida 2 3 4 2 11 2" xfId="12237" xr:uid="{7995DE25-FC62-4545-B39B-32AE91DAC12D}"/>
    <cellStyle name="Salida 2 3 4 2 12" xfId="8641" xr:uid="{97949096-7D55-48FF-A99D-FEF4A66417B4}"/>
    <cellStyle name="Salida 2 3 4 2 12 2" xfId="14029" xr:uid="{E204ED00-11DB-4A0E-B8D5-682FDCD66BA9}"/>
    <cellStyle name="Salida 2 3 4 2 13" xfId="8989" xr:uid="{1C7C284F-A789-46C0-B7E0-883A188677B5}"/>
    <cellStyle name="Salida 2 3 4 2 2" xfId="3015" xr:uid="{8E5C9EE2-F6D1-4D06-9AEE-E2BFB8AFE12D}"/>
    <cellStyle name="Salida 2 3 4 2 2 2" xfId="3955" xr:uid="{5708F447-8765-476F-BAE2-EEA057F6B80B}"/>
    <cellStyle name="Salida 2 3 4 2 2 2 2" xfId="10069" xr:uid="{A73831AA-AA52-44FF-BE16-80506A03F9FF}"/>
    <cellStyle name="Salida 2 3 4 2 2 3" xfId="6926" xr:uid="{02767857-C8F9-465E-A16D-70AFA50B5372}"/>
    <cellStyle name="Salida 2 3 4 2 2 3 2" xfId="12532" xr:uid="{FC9C18CA-69D0-48B6-8E88-B160A0B7CA8C}"/>
    <cellStyle name="Salida 2 3 4 2 2 4" xfId="7604" xr:uid="{53F0664D-D7C6-4759-ADFF-EB1DF1CB6FCE}"/>
    <cellStyle name="Salida 2 3 4 2 2 4 2" xfId="13176" xr:uid="{C9F70B59-DB23-4B53-8758-1027C3E1712D}"/>
    <cellStyle name="Salida 2 3 4 2 2 5" xfId="8097" xr:uid="{A5E7B606-36B3-46F0-B9D8-E4ACB67F28DD}"/>
    <cellStyle name="Salida 2 3 4 2 2 5 2" xfId="13669" xr:uid="{54F31D8D-ED10-48FE-AB21-104DDEF9956E}"/>
    <cellStyle name="Salida 2 3 4 2 2 6" xfId="9349" xr:uid="{82967FC5-43EF-4C09-8F5F-A70740518E8D}"/>
    <cellStyle name="Salida 2 3 4 2 3" xfId="3475" xr:uid="{B744639B-FB2A-488A-BC1E-0954CFBA9237}"/>
    <cellStyle name="Salida 2 3 4 2 3 2" xfId="9709" xr:uid="{87D96DFC-EA36-4D4D-8F69-9BFEB7B7DDF2}"/>
    <cellStyle name="Salida 2 3 4 2 4" xfId="4668" xr:uid="{22A75FEA-23E6-4184-82EC-312F1D3D76F9}"/>
    <cellStyle name="Salida 2 3 4 2 4 2" xfId="10532" xr:uid="{278293A1-3955-49D1-B466-E6775B9CCB4E}"/>
    <cellStyle name="Salida 2 3 4 2 5" xfId="4907" xr:uid="{E19CBE6F-B451-4FB7-BEEB-20E3D7DABE08}"/>
    <cellStyle name="Salida 2 3 4 2 5 2" xfId="10753" xr:uid="{A74839BA-BA7F-48DA-8803-145D4FA81C87}"/>
    <cellStyle name="Salida 2 3 4 2 6" xfId="5063" xr:uid="{97D8AB0A-36BA-47CC-A002-BFD141C18BC1}"/>
    <cellStyle name="Salida 2 3 4 2 6 2" xfId="10909" xr:uid="{3B3838FC-E992-49C3-859F-6786D43E10B9}"/>
    <cellStyle name="Salida 2 3 4 2 7" xfId="5833" xr:uid="{E60F4C05-661E-4695-8CF6-A33532D5B484}"/>
    <cellStyle name="Salida 2 3 4 2 7 2" xfId="11561" xr:uid="{5CC41A84-0953-4A35-B224-02B84D64DCC9}"/>
    <cellStyle name="Salida 2 3 4 2 8" xfId="5354" xr:uid="{91342471-7B76-4FC4-A4F3-2B32A8AC7C00}"/>
    <cellStyle name="Salida 2 3 4 2 8 2" xfId="11186" xr:uid="{313BB719-F9B2-4CAC-B840-E9DB5A0117E3}"/>
    <cellStyle name="Salida 2 3 4 2 9" xfId="6370" xr:uid="{A3450011-1BC1-495A-9D7F-B8E982D01CE8}"/>
    <cellStyle name="Salida 2 3 4 2 9 2" xfId="12074" xr:uid="{67FDC442-29DC-4E51-967F-6EFF53493415}"/>
    <cellStyle name="Salida 2 3 4 20" xfId="8887" xr:uid="{20489F47-2EC5-4775-8706-CF9DA90A89F7}"/>
    <cellStyle name="Salida 2 3 4 21" xfId="2233" xr:uid="{022CDC67-08A1-4CAE-83C4-2CBF46992239}"/>
    <cellStyle name="Salida 2 3 4 3" xfId="2532" xr:uid="{BA4AC77C-A100-4176-8528-DA7C1FBDDE0C}"/>
    <cellStyle name="Salida 2 3 4 3 10" xfId="7224" xr:uid="{9BF1BE8D-0ACF-4F9F-B040-CDEE47EA06C8}"/>
    <cellStyle name="Salida 2 3 4 3 10 2" xfId="12796" xr:uid="{D97CFBC4-7523-4DC2-B44E-3142F66E3262}"/>
    <cellStyle name="Salida 2 3 4 3 11" xfId="6514" xr:uid="{20A45263-BD8D-4153-88D6-A64FFB886635}"/>
    <cellStyle name="Salida 2 3 4 3 11 2" xfId="12218" xr:uid="{247873DB-A4D4-45B4-A8AC-2F8A206C9085}"/>
    <cellStyle name="Salida 2 3 4 3 12" xfId="8746" xr:uid="{E5F89099-5CD5-4053-8F83-DB6F4E8FD06F}"/>
    <cellStyle name="Salida 2 3 4 3 12 2" xfId="14102" xr:uid="{0FB1064F-2DD3-48F5-861B-28AADF3007A1}"/>
    <cellStyle name="Salida 2 3 4 3 13" xfId="9062" xr:uid="{157EEF74-7E5D-47AE-B882-EBB705D62B01}"/>
    <cellStyle name="Salida 2 3 4 3 2" xfId="3088" xr:uid="{F995AC83-2B87-4108-813C-1B5175897F01}"/>
    <cellStyle name="Salida 2 3 4 3 2 2" xfId="4028" xr:uid="{40E89996-665B-4F71-AF03-8FDC58F48239}"/>
    <cellStyle name="Salida 2 3 4 3 2 2 2" xfId="10142" xr:uid="{0924C964-4156-4562-BA58-D2442F577650}"/>
    <cellStyle name="Salida 2 3 4 3 2 3" xfId="6999" xr:uid="{AD987EBC-AE1E-45CB-9C55-08C73AF8A7E3}"/>
    <cellStyle name="Salida 2 3 4 3 2 3 2" xfId="12605" xr:uid="{E0913E45-959E-40B1-B1AA-488137993B79}"/>
    <cellStyle name="Salida 2 3 4 3 2 4" xfId="7677" xr:uid="{C0B4FF8B-8AB5-4C15-A00D-BB6F69BB0F38}"/>
    <cellStyle name="Salida 2 3 4 3 2 4 2" xfId="13249" xr:uid="{7DCACB2E-5FCD-4495-B75C-A2BDC9DBF062}"/>
    <cellStyle name="Salida 2 3 4 3 2 5" xfId="8170" xr:uid="{33B3B5DF-1894-4A77-BE10-7C76EDD66E03}"/>
    <cellStyle name="Salida 2 3 4 3 2 5 2" xfId="13742" xr:uid="{A9567168-91E3-4716-8E9C-E1BD09D620F0}"/>
    <cellStyle name="Salida 2 3 4 3 2 6" xfId="9422" xr:uid="{111B4A28-7F60-4E93-989F-C1BF827D93D2}"/>
    <cellStyle name="Salida 2 3 4 3 3" xfId="3548" xr:uid="{A439ADC8-ED37-4F1E-9703-F2C7FE30117B}"/>
    <cellStyle name="Salida 2 3 4 3 3 2" xfId="9782" xr:uid="{58A271B2-AB9B-4755-A034-B954CCB188A4}"/>
    <cellStyle name="Salida 2 3 4 3 4" xfId="4745" xr:uid="{B3BC5D48-EF51-4D89-AB5F-C04ECE1050FA}"/>
    <cellStyle name="Salida 2 3 4 3 4 2" xfId="10609" xr:uid="{5B6339A5-AD7A-4DDE-95EA-CA2AF644D625}"/>
    <cellStyle name="Salida 2 3 4 3 5" xfId="4988" xr:uid="{9EB63820-F720-4152-8E13-F7C22060371D}"/>
    <cellStyle name="Salida 2 3 4 3 5 2" xfId="10834" xr:uid="{E8411159-904A-47F4-AED8-C204C825C973}"/>
    <cellStyle name="Salida 2 3 4 3 6" xfId="5136" xr:uid="{A2860374-1377-4293-805E-456F10FA830A}"/>
    <cellStyle name="Salida 2 3 4 3 6 2" xfId="10982" xr:uid="{95E76CFD-4118-4809-888E-F7F92B6A019D}"/>
    <cellStyle name="Salida 2 3 4 3 7" xfId="5927" xr:uid="{BA301B41-E506-41A6-99A4-97CDDB294273}"/>
    <cellStyle name="Salida 2 3 4 3 7 2" xfId="11655" xr:uid="{9CBAC3A0-0C44-4064-8A6C-D7DD92D80C86}"/>
    <cellStyle name="Salida 2 3 4 3 8" xfId="6257" xr:uid="{4075CBEF-18D3-4ABE-8007-12A656CCBA64}"/>
    <cellStyle name="Salida 2 3 4 3 8 2" xfId="11961" xr:uid="{AB957CB8-B5FF-4644-A87B-F1B3DABC443B}"/>
    <cellStyle name="Salida 2 3 4 3 9" xfId="6459" xr:uid="{BD9F5558-44A0-47EC-A6C7-1A1814F38425}"/>
    <cellStyle name="Salida 2 3 4 3 9 2" xfId="12163" xr:uid="{69219513-7959-492E-8DAF-A2F3FB6E44F7}"/>
    <cellStyle name="Salida 2 3 4 4" xfId="2265" xr:uid="{4E60F2C6-1030-442A-9FB5-7DAD8DE5B92C}"/>
    <cellStyle name="Salida 2 3 4 4 10" xfId="5692" xr:uid="{CF2B9C06-2F28-4CC7-871B-A8FC8F0826E9}"/>
    <cellStyle name="Salida 2 3 4 4 10 2" xfId="11420" xr:uid="{F403DABB-379C-4313-97E3-27C0BF97DBC7}"/>
    <cellStyle name="Salida 2 3 4 4 11" xfId="7837" xr:uid="{20B428F4-0EFF-4268-8D86-AC10C94DD75C}"/>
    <cellStyle name="Salida 2 3 4 4 11 2" xfId="13409" xr:uid="{AFFAE32A-DDB4-4944-A248-2B0E583E0BA6}"/>
    <cellStyle name="Salida 2 3 4 4 12" xfId="8479" xr:uid="{A66E57B2-3448-47F9-AF84-53865E66DB39}"/>
    <cellStyle name="Salida 2 3 4 4 12 2" xfId="13959" xr:uid="{EC0DCD85-B9D6-4B0B-898F-42AA2B5C2352}"/>
    <cellStyle name="Salida 2 3 4 4 13" xfId="8919" xr:uid="{4E56D418-762E-4769-BB12-3C0A524F70F8}"/>
    <cellStyle name="Salida 2 3 4 4 2" xfId="2945" xr:uid="{99E55B0A-62C6-4396-8588-DDE0579E6F95}"/>
    <cellStyle name="Salida 2 3 4 4 2 2" xfId="3885" xr:uid="{CB4D26DE-315D-488A-8564-E81E0818B6E5}"/>
    <cellStyle name="Salida 2 3 4 4 2 2 2" xfId="9999" xr:uid="{0A47638F-0E24-4D90-9F02-A4F1D84AFBCE}"/>
    <cellStyle name="Salida 2 3 4 4 2 3" xfId="6856" xr:uid="{79DA63D1-00B3-4815-A795-A8352A5A921F}"/>
    <cellStyle name="Salida 2 3 4 4 2 3 2" xfId="12462" xr:uid="{A3EE1319-6BB7-4768-A6C6-283F3A13D38A}"/>
    <cellStyle name="Salida 2 3 4 4 2 4" xfId="7534" xr:uid="{AFA76366-15D2-45EF-A3DB-949B34726C67}"/>
    <cellStyle name="Salida 2 3 4 4 2 4 2" xfId="13106" xr:uid="{9A9BB46F-DEF0-4962-9476-8E5D188AE7B6}"/>
    <cellStyle name="Salida 2 3 4 4 2 5" xfId="8027" xr:uid="{BD1380AD-D918-43F1-B0CF-E9BF4A11528F}"/>
    <cellStyle name="Salida 2 3 4 4 2 5 2" xfId="13599" xr:uid="{57E3C887-4900-4137-BD35-59EDACBC1FDF}"/>
    <cellStyle name="Salida 2 3 4 4 2 6" xfId="9279" xr:uid="{9771E5A5-5757-4885-86FE-9738D172BF70}"/>
    <cellStyle name="Salida 2 3 4 4 3" xfId="3405" xr:uid="{9825A3C6-C1BA-4377-822F-33027B8AA5BF}"/>
    <cellStyle name="Salida 2 3 4 4 3 2" xfId="9639" xr:uid="{69872CAC-FE7D-4108-9A8A-A676C448B5CE}"/>
    <cellStyle name="Salida 2 3 4 4 4" xfId="4572" xr:uid="{9EA2DCA6-D647-4465-825A-862753FE5D36}"/>
    <cellStyle name="Salida 2 3 4 4 4 2" xfId="10436" xr:uid="{66C0AB6D-22FD-414F-BF04-5D5462522C3E}"/>
    <cellStyle name="Salida 2 3 4 4 5" xfId="4817" xr:uid="{B745B45F-8104-4102-AE3A-15A8F3B04CF3}"/>
    <cellStyle name="Salida 2 3 4 4 5 2" xfId="10663" xr:uid="{9B1873E5-10AE-4E7E-BA7C-9C276DD8C678}"/>
    <cellStyle name="Salida 2 3 4 4 6" xfId="4353" xr:uid="{70731CC1-CE93-4EA4-B763-4AD66F04955D}"/>
    <cellStyle name="Salida 2 3 4 4 6 2" xfId="10313" xr:uid="{255B9800-A2A6-4956-ABC7-9421BAA5F30B}"/>
    <cellStyle name="Salida 2 3 4 4 7" xfId="5703" xr:uid="{DA163456-E14F-48EF-806E-3875EBA413F8}"/>
    <cellStyle name="Salida 2 3 4 4 7 2" xfId="11431" xr:uid="{560907DA-CE62-497C-8298-F07147F47F48}"/>
    <cellStyle name="Salida 2 3 4 4 8" xfId="5211" xr:uid="{E262FA04-A7A5-4608-8FCC-4D1911E71500}"/>
    <cellStyle name="Salida 2 3 4 4 8 2" xfId="11057" xr:uid="{49D6D3BE-C936-4897-8DEB-6199EBB3EAD7}"/>
    <cellStyle name="Salida 2 3 4 4 9" xfId="5983" xr:uid="{5F469E17-A536-4761-BBB5-1A1BDEC2B172}"/>
    <cellStyle name="Salida 2 3 4 4 9 2" xfId="11695" xr:uid="{030D0E96-82D9-498E-9BE3-C08F78F35D7A}"/>
    <cellStyle name="Salida 2 3 4 5" xfId="2689" xr:uid="{172AF9AC-A7A6-4E0C-8AAD-05A9245D3BF3}"/>
    <cellStyle name="Salida 2 3 4 5 2" xfId="3153" xr:uid="{8FF1B291-E549-4AFD-BF98-834D994EFE26}"/>
    <cellStyle name="Salida 2 3 4 5 2 2" xfId="4111" xr:uid="{EAD1BD0A-6D9A-4308-95DF-843049F1957E}"/>
    <cellStyle name="Salida 2 3 4 5 2 2 2" xfId="10207" xr:uid="{D150B533-5511-4E29-9546-AFD34863C888}"/>
    <cellStyle name="Salida 2 3 4 5 2 3" xfId="7082" xr:uid="{E0B9E6F7-4822-4670-B8D4-A5268E1F82D3}"/>
    <cellStyle name="Salida 2 3 4 5 2 3 2" xfId="12670" xr:uid="{7F27D382-ED8E-499C-A704-80B8947751C7}"/>
    <cellStyle name="Salida 2 3 4 5 2 4" xfId="7743" xr:uid="{BE30DA4F-0938-460D-A579-570AF7473A63}"/>
    <cellStyle name="Salida 2 3 4 5 2 4 2" xfId="13315" xr:uid="{7A6B5845-C29F-4890-9536-98387B053CB9}"/>
    <cellStyle name="Salida 2 3 4 5 2 5" xfId="8235" xr:uid="{491D39C8-5F2A-4FAF-8D14-87006684AD2E}"/>
    <cellStyle name="Salida 2 3 4 5 2 5 2" xfId="13807" xr:uid="{4C5B0C11-9937-45AE-992C-3C5D09DFDC7E}"/>
    <cellStyle name="Salida 2 3 4 5 2 6" xfId="9487" xr:uid="{D8A2C956-1AAC-45DE-AEB5-346710E40012}"/>
    <cellStyle name="Salida 2 3 4 5 3" xfId="3631" xr:uid="{E4F729C9-9E62-487C-9ACA-C718E72B2860}"/>
    <cellStyle name="Salida 2 3 4 5 3 2" xfId="9847" xr:uid="{915F5EDE-3467-4129-AD45-EA00CF4159EE}"/>
    <cellStyle name="Salida 2 3 4 5 4" xfId="6068" xr:uid="{B6EA12B5-E0AB-4FCA-B7AE-32083D33F403}"/>
    <cellStyle name="Salida 2 3 4 5 4 2" xfId="11780" xr:uid="{29DBF55D-4802-4124-BA50-29F8F851CB30}"/>
    <cellStyle name="Salida 2 3 4 5 5" xfId="6586" xr:uid="{24EEFCDA-966E-494F-9CA0-23234D9FBB30}"/>
    <cellStyle name="Salida 2 3 4 5 5 2" xfId="12290" xr:uid="{D79A904F-25E2-4850-95FF-F67A70CFCDB8}"/>
    <cellStyle name="Salida 2 3 4 5 6" xfId="7340" xr:uid="{9D743CD7-4EEB-4B88-9867-A67A9214E97B}"/>
    <cellStyle name="Salida 2 3 4 5 6 2" xfId="12912" xr:uid="{D3741A6D-5370-4F1E-931F-15D807CC5749}"/>
    <cellStyle name="Salida 2 3 4 5 7" xfId="7875" xr:uid="{A89B9374-D0F0-4FF2-96E1-81BFD3E5EA60}"/>
    <cellStyle name="Salida 2 3 4 5 7 2" xfId="13447" xr:uid="{8B72A6AE-DCBC-410A-9D68-54C818E0FD76}"/>
    <cellStyle name="Salida 2 3 4 5 8" xfId="9127" xr:uid="{92693769-3BD4-4035-9670-FD51AE8F6FEE}"/>
    <cellStyle name="Salida 2 3 4 6" xfId="2781" xr:uid="{BB7B44CC-5DBA-42FE-88AC-D87CBF79EC26}"/>
    <cellStyle name="Salida 2 3 4 6 2" xfId="3213" xr:uid="{A4D2A6EB-8108-4416-8316-CD566A11C9BD}"/>
    <cellStyle name="Salida 2 3 4 6 2 2" xfId="4171" xr:uid="{EDCE2330-7E1C-4E23-9083-FCCCDBC77A95}"/>
    <cellStyle name="Salida 2 3 4 6 2 2 2" xfId="10267" xr:uid="{65EE641A-AD14-469F-BAC4-5E1EA4973549}"/>
    <cellStyle name="Salida 2 3 4 6 2 3" xfId="7142" xr:uid="{10FD1A78-0C46-4CD5-B538-BA174259E71A}"/>
    <cellStyle name="Salida 2 3 4 6 2 3 2" xfId="12730" xr:uid="{26F09891-4CD5-466B-8E01-8063FCFAB5BD}"/>
    <cellStyle name="Salida 2 3 4 6 2 4" xfId="7803" xr:uid="{DAD6AA5D-B29A-4849-A982-34961FEC2623}"/>
    <cellStyle name="Salida 2 3 4 6 2 4 2" xfId="13375" xr:uid="{C366A073-CD2E-42CB-9C69-A3B3B4FDFBF0}"/>
    <cellStyle name="Salida 2 3 4 6 2 5" xfId="8295" xr:uid="{544E75AF-4313-4453-A9BA-C6423B68D9C8}"/>
    <cellStyle name="Salida 2 3 4 6 2 5 2" xfId="13867" xr:uid="{8AE35560-2A22-43C1-843E-CBAD4286A66B}"/>
    <cellStyle name="Salida 2 3 4 6 2 6" xfId="9547" xr:uid="{C40E6B8E-2710-42E1-8B81-2B0691390DE7}"/>
    <cellStyle name="Salida 2 3 4 6 3" xfId="3691" xr:uid="{B4428E6A-0152-4659-8F38-3C55D8177725}"/>
    <cellStyle name="Salida 2 3 4 6 3 2" xfId="9907" xr:uid="{512A88C0-5EA9-4C2E-A252-C9883655E7CD}"/>
    <cellStyle name="Salida 2 3 4 6 4" xfId="6148" xr:uid="{86CD9E22-90A5-4ABA-B603-E436B9E2F4C3}"/>
    <cellStyle name="Salida 2 3 4 6 4 2" xfId="11860" xr:uid="{EF91EFB1-6E8B-40DA-87A4-E73B9D36120A}"/>
    <cellStyle name="Salida 2 3 4 6 5" xfId="6658" xr:uid="{99D76020-69EA-49B5-AEB2-44E701A3AA6D}"/>
    <cellStyle name="Salida 2 3 4 6 5 2" xfId="12362" xr:uid="{79AF954B-FE0E-4AF4-A62A-298154C82AD0}"/>
    <cellStyle name="Salida 2 3 4 6 6" xfId="7402" xr:uid="{76A68E25-160E-4487-8146-7A42FE69CBED}"/>
    <cellStyle name="Salida 2 3 4 6 6 2" xfId="12974" xr:uid="{25F562F5-7E5E-455A-A9D0-46872FE6DF03}"/>
    <cellStyle name="Salida 2 3 4 6 7" xfId="7935" xr:uid="{110B0982-D139-4822-97A5-3E658F71B37A}"/>
    <cellStyle name="Salida 2 3 4 6 7 2" xfId="13507" xr:uid="{B3799A7F-8C0C-4C61-8EF1-A1964FB860C5}"/>
    <cellStyle name="Salida 2 3 4 6 8" xfId="9187" xr:uid="{87BCE15C-BDAB-42F1-AD4A-772498171784}"/>
    <cellStyle name="Salida 2 3 4 7" xfId="2881" xr:uid="{F1EFA37A-8EC3-457F-B436-6222C86E9FBC}"/>
    <cellStyle name="Salida 2 3 4 7 2" xfId="3809" xr:uid="{1E1D5423-39D7-4ADE-AB3D-996BFC6D1BA5}"/>
    <cellStyle name="Salida 2 3 4 7 2 2" xfId="9967" xr:uid="{1E840A29-B6BB-4C6D-941E-F7464619B1B0}"/>
    <cellStyle name="Salida 2 3 4 7 3" xfId="6780" xr:uid="{F7DCE318-88FD-4A43-9312-19C35268353D}"/>
    <cellStyle name="Salida 2 3 4 7 3 2" xfId="12430" xr:uid="{C439DF76-8825-4306-9795-71CFC5A32E48}"/>
    <cellStyle name="Salida 2 3 4 7 4" xfId="7487" xr:uid="{0E8C1A93-DB6E-43DC-ABF0-7BCCEF7E433A}"/>
    <cellStyle name="Salida 2 3 4 7 4 2" xfId="13059" xr:uid="{A365BC2F-43CD-4509-91DF-BE3972E9A069}"/>
    <cellStyle name="Salida 2 3 4 7 5" xfId="7995" xr:uid="{EB51F44F-8D5F-4910-9CAE-5F518712C61F}"/>
    <cellStyle name="Salida 2 3 4 7 5 2" xfId="13567" xr:uid="{9F78043A-6A9C-4E4F-8635-0571F601AA74}"/>
    <cellStyle name="Salida 2 3 4 7 6" xfId="9247" xr:uid="{F2644466-3C3C-4AC5-8435-2C63110292A8}"/>
    <cellStyle name="Salida 2 3 4 8" xfId="3329" xr:uid="{D05E39FA-7ACE-4A0F-9460-90C53A740465}"/>
    <cellStyle name="Salida 2 3 4 8 2" xfId="9607" xr:uid="{4D0D8CB9-65B5-495A-BBB0-95024CC26A63}"/>
    <cellStyle name="Salida 2 3 4 9" xfId="4496" xr:uid="{98AF266A-F3BC-4F10-B967-6DD43C49C0AF}"/>
    <cellStyle name="Salida 2 3 4 9 2" xfId="10404" xr:uid="{25E88380-FBC3-4E4C-A3D6-CCC455D38A22}"/>
    <cellStyle name="Salida 2 3 5" xfId="8836" xr:uid="{9A7DDCFF-D0DC-481E-BED2-F9931F1281C7}"/>
    <cellStyle name="Salida 2 3 6" xfId="2085" xr:uid="{AFD6D632-840B-4320-BBE6-DDFCCF48A0B5}"/>
    <cellStyle name="Salida 2 4" xfId="338" xr:uid="{8D2A81CE-0731-471B-895E-D3424C9103E4}"/>
    <cellStyle name="Salida 2 4 2" xfId="1446" xr:uid="{A0CBBFA9-83C4-4C5B-A2B9-FA7F2B9B0A4B}"/>
    <cellStyle name="Salida 2 4 2 10" xfId="4366" xr:uid="{F6FEC754-081E-448A-A08A-9C004D1E2C9F}"/>
    <cellStyle name="Salida 2 4 2 10 2" xfId="10326" xr:uid="{6E643F51-2611-4A0A-9B9B-2C828949A4BC}"/>
    <cellStyle name="Salida 2 4 2 11" xfId="4866" xr:uid="{5446BBC3-4E95-4858-B9D4-813DB0AFF009}"/>
    <cellStyle name="Salida 2 4 2 11 2" xfId="10712" xr:uid="{39171792-E6B4-4F25-970C-4B557D4FC27E}"/>
    <cellStyle name="Salida 2 4 2 12" xfId="5439" xr:uid="{ADC0FE38-6337-43EC-9F59-63D522CCC7B8}"/>
    <cellStyle name="Salida 2 4 2 12 2" xfId="11233" xr:uid="{0132DE1C-1CA2-4FA9-92C0-F539B77AEEBF}"/>
    <cellStyle name="Salida 2 4 2 13" xfId="5607" xr:uid="{DCB06801-778F-471C-9532-1C8A8B80E750}"/>
    <cellStyle name="Salida 2 4 2 13 2" xfId="11335" xr:uid="{D258ABB8-1186-407B-AC2A-BFF946FD269C}"/>
    <cellStyle name="Salida 2 4 2 14" xfId="5242" xr:uid="{805DCAE3-A3CE-4351-AE29-E4DF1C0F1A75}"/>
    <cellStyle name="Salida 2 4 2 14 2" xfId="11088" xr:uid="{E8AB7448-B80B-4CA8-B22C-4C0AFB7CEC4C}"/>
    <cellStyle name="Salida 2 4 2 15" xfId="5886" xr:uid="{FEF0CA8F-AC9A-4080-B03E-60A1A7698320}"/>
    <cellStyle name="Salida 2 4 2 15 2" xfId="11614" xr:uid="{6EFD118F-4CD6-4A82-9E2F-8F46EBBBB6F5}"/>
    <cellStyle name="Salida 2 4 2 16" xfId="5996" xr:uid="{299D7F63-FF95-48FE-BAE1-DAC8F820F231}"/>
    <cellStyle name="Salida 2 4 2 16 2" xfId="11708" xr:uid="{76E48CA0-ED08-413F-8F1F-26B37AA96760}"/>
    <cellStyle name="Salida 2 4 2 17" xfId="5254" xr:uid="{B002B4CF-03C3-4D1B-BD0C-1CBC49FBDAA1}"/>
    <cellStyle name="Salida 2 4 2 17 2" xfId="11100" xr:uid="{EDC92701-7FB4-4E4C-B0A4-29AA231E3639}"/>
    <cellStyle name="Salida 2 4 2 18" xfId="7267" xr:uid="{D36BAA9B-B4E7-44D8-BD86-728D047FF3B9}"/>
    <cellStyle name="Salida 2 4 2 18 2" xfId="12839" xr:uid="{361417E3-7869-4AF3-9B37-191B8165539D}"/>
    <cellStyle name="Salida 2 4 2 19" xfId="8455" xr:uid="{E99E3CBB-5427-4426-AF5A-CB9D20E39C33}"/>
    <cellStyle name="Salida 2 4 2 19 2" xfId="13935" xr:uid="{7EF48525-5363-46CC-9DAA-A58E285CEC8D}"/>
    <cellStyle name="Salida 2 4 2 2" xfId="1559" xr:uid="{F96B2773-0AB2-4413-A5D5-51B317529B68}"/>
    <cellStyle name="Salida 2 4 2 2 10" xfId="5733" xr:uid="{CB4B891C-E96B-4C5B-A97D-81447299A594}"/>
    <cellStyle name="Salida 2 4 2 2 10 2" xfId="11461" xr:uid="{E25D992B-0B0C-4C3E-A3FD-71B72C42F0D7}"/>
    <cellStyle name="Salida 2 4 2 2 11" xfId="6546" xr:uid="{017272BD-DC81-4138-B733-29DBAF067B7E}"/>
    <cellStyle name="Salida 2 4 2 2 11 2" xfId="12250" xr:uid="{25C34BE8-3E57-4B17-9629-4DE5F1F995DE}"/>
    <cellStyle name="Salida 2 4 2 2 12" xfId="8649" xr:uid="{4CA0E6A9-1774-4AF6-9F5A-672829D6C6F5}"/>
    <cellStyle name="Salida 2 4 2 2 12 2" xfId="14037" xr:uid="{4F19CCD8-0B55-47C0-AB67-F2B57DF6AC47}"/>
    <cellStyle name="Salida 2 4 2 2 13" xfId="8997" xr:uid="{826E6F62-7788-4272-A8D1-6ED50E27CCAE}"/>
    <cellStyle name="Salida 2 4 2 2 14" xfId="2435" xr:uid="{C868FF41-6A08-4675-9A3B-57C81FAC03A3}"/>
    <cellStyle name="Salida 2 4 2 2 2" xfId="3023" xr:uid="{A8BA5E6F-70B3-4F0D-8AB7-58B322152BFC}"/>
    <cellStyle name="Salida 2 4 2 2 2 2" xfId="3963" xr:uid="{2CD1CE19-51A4-4B1C-840D-0FEC488C8975}"/>
    <cellStyle name="Salida 2 4 2 2 2 2 2" xfId="10077" xr:uid="{A7AA9A64-A199-4E78-B709-1CC55C7DCF74}"/>
    <cellStyle name="Salida 2 4 2 2 2 3" xfId="6934" xr:uid="{ABCAB086-7C3A-495D-AF1E-F878C020619E}"/>
    <cellStyle name="Salida 2 4 2 2 2 3 2" xfId="12540" xr:uid="{E114004E-97F4-4E01-8245-058F646DBDB3}"/>
    <cellStyle name="Salida 2 4 2 2 2 4" xfId="7612" xr:uid="{145B40D5-F80C-4B92-9E17-CA4114F070C1}"/>
    <cellStyle name="Salida 2 4 2 2 2 4 2" xfId="13184" xr:uid="{A0CE4B4C-4DE5-4FCB-B16C-D8E6B326FAE3}"/>
    <cellStyle name="Salida 2 4 2 2 2 5" xfId="8105" xr:uid="{BB201F4E-6CDB-42B0-B252-D9F35D518C9F}"/>
    <cellStyle name="Salida 2 4 2 2 2 5 2" xfId="13677" xr:uid="{238B6A06-B538-402E-9D68-B62D7EA870A2}"/>
    <cellStyle name="Salida 2 4 2 2 2 6" xfId="9357" xr:uid="{43954FB2-37EF-481C-A294-07C4F458716F}"/>
    <cellStyle name="Salida 2 4 2 2 3" xfId="3483" xr:uid="{B2FDB4A1-6E69-4DBA-A126-6E2BAA7A1A76}"/>
    <cellStyle name="Salida 2 4 2 2 3 2" xfId="9717" xr:uid="{BDE34486-9966-4D5B-B1DB-365B0066F045}"/>
    <cellStyle name="Salida 2 4 2 2 4" xfId="4676" xr:uid="{49158910-BB92-4677-9168-7B1624514635}"/>
    <cellStyle name="Salida 2 4 2 2 4 2" xfId="10540" xr:uid="{0EB117BC-0234-44BA-B888-901F5EB65811}"/>
    <cellStyle name="Salida 2 4 2 2 5" xfId="4915" xr:uid="{04795B70-B8F4-4C73-9032-F24E276D1399}"/>
    <cellStyle name="Salida 2 4 2 2 5 2" xfId="10761" xr:uid="{E2FFF6A7-C125-4FA5-85BD-F9891362AFCD}"/>
    <cellStyle name="Salida 2 4 2 2 6" xfId="5071" xr:uid="{3438E485-9BA6-400A-B547-889612F55E08}"/>
    <cellStyle name="Salida 2 4 2 2 6 2" xfId="10917" xr:uid="{C4BE1CED-7904-4C48-B0B9-C0DC9D0A07C2}"/>
    <cellStyle name="Salida 2 4 2 2 7" xfId="5841" xr:uid="{D37F09D8-7639-4FCB-9BAB-A333C3424388}"/>
    <cellStyle name="Salida 2 4 2 2 7 2" xfId="11569" xr:uid="{5DC9AF5D-1998-40E6-92BD-33324C72C2F5}"/>
    <cellStyle name="Salida 2 4 2 2 8" xfId="5250" xr:uid="{C91CC124-63A1-4DE2-A950-6AB70B9216DF}"/>
    <cellStyle name="Salida 2 4 2 2 8 2" xfId="11096" xr:uid="{5304DF96-D0D4-42A4-AC4E-96DA2264AEAA}"/>
    <cellStyle name="Salida 2 4 2 2 9" xfId="6378" xr:uid="{D0F459B9-BDDA-453B-B547-B32D7FFB1C0D}"/>
    <cellStyle name="Salida 2 4 2 2 9 2" xfId="12082" xr:uid="{A91DC8C7-5684-4C67-A72A-44A534A432DD}"/>
    <cellStyle name="Salida 2 4 2 20" xfId="8895" xr:uid="{E596C1DA-08BA-415D-BCD8-E1F8B777893C}"/>
    <cellStyle name="Salida 2 4 2 21" xfId="2241" xr:uid="{7BE1A38E-5175-496E-819A-893E05858D21}"/>
    <cellStyle name="Salida 2 4 2 3" xfId="1612" xr:uid="{33181C6B-27D3-43B4-9117-B4562AF71AAF}"/>
    <cellStyle name="Salida 2 4 2 3 10" xfId="7232" xr:uid="{BBE87B42-2B7B-4C12-BFA7-6FFEF70D27A0}"/>
    <cellStyle name="Salida 2 4 2 3 10 2" xfId="12804" xr:uid="{87389295-33E1-4FD1-9108-4D4ABACAE315}"/>
    <cellStyle name="Salida 2 4 2 3 11" xfId="5775" xr:uid="{E3FEAAB5-2C1D-48F6-84B1-783F9848D427}"/>
    <cellStyle name="Salida 2 4 2 3 11 2" xfId="11503" xr:uid="{AA6F85F0-9FD2-4344-B777-B560C0291B47}"/>
    <cellStyle name="Salida 2 4 2 3 12" xfId="8754" xr:uid="{772AD1A9-B464-4FE7-9514-27D30EB3A474}"/>
    <cellStyle name="Salida 2 4 2 3 12 2" xfId="14110" xr:uid="{7E44795A-449E-4082-BB56-2B562EE34C97}"/>
    <cellStyle name="Salida 2 4 2 3 13" xfId="9070" xr:uid="{3D99FF38-BED1-4189-9F8B-D13B3EBC9D8F}"/>
    <cellStyle name="Salida 2 4 2 3 14" xfId="2540" xr:uid="{8B9FA7EA-D93C-42F8-8A00-7AAD57807C33}"/>
    <cellStyle name="Salida 2 4 2 3 2" xfId="3096" xr:uid="{B4A1654F-6EAF-43C1-AF98-490E5626BBF1}"/>
    <cellStyle name="Salida 2 4 2 3 2 2" xfId="4036" xr:uid="{B658DA8D-B6B6-449B-91F1-DF72BDB0C7B7}"/>
    <cellStyle name="Salida 2 4 2 3 2 2 2" xfId="10150" xr:uid="{659BCADE-9899-4DFB-9028-4A0FFBAA9B63}"/>
    <cellStyle name="Salida 2 4 2 3 2 3" xfId="7007" xr:uid="{F9E8D94F-8BB5-44E1-A0FA-00293263489A}"/>
    <cellStyle name="Salida 2 4 2 3 2 3 2" xfId="12613" xr:uid="{828BBF93-68E7-46AB-9E6D-A9B3527B9A24}"/>
    <cellStyle name="Salida 2 4 2 3 2 4" xfId="7685" xr:uid="{4CE7A88A-3329-46F0-B183-C82A44A183CA}"/>
    <cellStyle name="Salida 2 4 2 3 2 4 2" xfId="13257" xr:uid="{8D6DAB2C-0F53-44F1-9E0C-232B33D3A6EE}"/>
    <cellStyle name="Salida 2 4 2 3 2 5" xfId="8178" xr:uid="{471017D8-0922-4368-8CE9-7AB1CF0C7005}"/>
    <cellStyle name="Salida 2 4 2 3 2 5 2" xfId="13750" xr:uid="{F30AD17B-78B7-42E0-BBE1-A373738522AC}"/>
    <cellStyle name="Salida 2 4 2 3 2 6" xfId="9430" xr:uid="{5F255CF9-D4A3-4B05-A799-09EF1C73255F}"/>
    <cellStyle name="Salida 2 4 2 3 3" xfId="3556" xr:uid="{1BB7A76A-A82C-444C-AC79-52E4F01966AB}"/>
    <cellStyle name="Salida 2 4 2 3 3 2" xfId="9790" xr:uid="{5E3DE453-4B67-47FE-B75D-E7C5DEBA6CC8}"/>
    <cellStyle name="Salida 2 4 2 3 4" xfId="4753" xr:uid="{48A9F9C7-2CC3-4D71-8CD2-CFBEAD5BBC24}"/>
    <cellStyle name="Salida 2 4 2 3 4 2" xfId="10617" xr:uid="{812A9BE7-431A-4F5B-8437-40923B3BB8C7}"/>
    <cellStyle name="Salida 2 4 2 3 5" xfId="4996" xr:uid="{14DC85AD-CB2C-4F2F-A92A-F0290F94B6BD}"/>
    <cellStyle name="Salida 2 4 2 3 5 2" xfId="10842" xr:uid="{707101BE-B339-49D4-A10D-FE1BEAA1338B}"/>
    <cellStyle name="Salida 2 4 2 3 6" xfId="5144" xr:uid="{11DF4AB4-7618-4BD1-928E-41EE1BE96C32}"/>
    <cellStyle name="Salida 2 4 2 3 6 2" xfId="10990" xr:uid="{EE6EA0BF-CB98-428E-A7BB-5DD785D79A88}"/>
    <cellStyle name="Salida 2 4 2 3 7" xfId="5935" xr:uid="{4CCD99FA-C67A-4920-B8FC-5DBC4C955D9D}"/>
    <cellStyle name="Salida 2 4 2 3 7 2" xfId="11663" xr:uid="{9CC9BB4A-044E-41BD-B51D-F511A37B92E2}"/>
    <cellStyle name="Salida 2 4 2 3 8" xfId="6265" xr:uid="{0C5FA19C-4FE2-42DB-A720-250708E7C13F}"/>
    <cellStyle name="Salida 2 4 2 3 8 2" xfId="11969" xr:uid="{42D788DE-79DB-4335-A85E-87BE602E920D}"/>
    <cellStyle name="Salida 2 4 2 3 9" xfId="6467" xr:uid="{5ED2146E-AA4E-4EDC-93EA-94383E3D8905}"/>
    <cellStyle name="Salida 2 4 2 3 9 2" xfId="12171" xr:uid="{7208CE87-CCFC-402D-8379-FB5CB8F41225}"/>
    <cellStyle name="Salida 2 4 2 4" xfId="2267" xr:uid="{049F1626-0630-4BD1-8F7D-7512AC3BF966}"/>
    <cellStyle name="Salida 2 4 2 4 10" xfId="6211" xr:uid="{9A1804BF-C36F-4D8B-BCED-D9E00AF1B223}"/>
    <cellStyle name="Salida 2 4 2 4 10 2" xfId="11915" xr:uid="{7FBFFF34-1AEE-4406-8E4A-3ED6DED7A3E6}"/>
    <cellStyle name="Salida 2 4 2 4 11" xfId="6550" xr:uid="{210D551E-31BC-488A-B609-3F6C9701F543}"/>
    <cellStyle name="Salida 2 4 2 4 11 2" xfId="12254" xr:uid="{567CE676-698F-4CA3-9CAB-C3EDFB5F349E}"/>
    <cellStyle name="Salida 2 4 2 4 12" xfId="8481" xr:uid="{0D2CE2F4-B846-4C40-8122-81CBD51B3BFA}"/>
    <cellStyle name="Salida 2 4 2 4 12 2" xfId="13961" xr:uid="{8B9D3A63-1191-4D88-A017-0256582C4A9A}"/>
    <cellStyle name="Salida 2 4 2 4 13" xfId="8921" xr:uid="{63116CAF-D5BB-495A-93E0-8B7F4019B79D}"/>
    <cellStyle name="Salida 2 4 2 4 2" xfId="2947" xr:uid="{07D1E8E1-7A46-4B9F-90D7-EA3FE6B6B0F2}"/>
    <cellStyle name="Salida 2 4 2 4 2 2" xfId="3887" xr:uid="{CF3CF913-B314-44DE-97F2-8ED6CE9215A8}"/>
    <cellStyle name="Salida 2 4 2 4 2 2 2" xfId="10001" xr:uid="{48A11E28-CC01-4D70-9BD5-5AEF3EAEE732}"/>
    <cellStyle name="Salida 2 4 2 4 2 3" xfId="6858" xr:uid="{2B28EE48-5183-4B6C-B110-BF103006B7CA}"/>
    <cellStyle name="Salida 2 4 2 4 2 3 2" xfId="12464" xr:uid="{4C0A8005-E30A-4A05-BE4D-CB5A7D3A8794}"/>
    <cellStyle name="Salida 2 4 2 4 2 4" xfId="7536" xr:uid="{B3A59F73-A103-4060-9E04-2465E3921486}"/>
    <cellStyle name="Salida 2 4 2 4 2 4 2" xfId="13108" xr:uid="{7DCAFC13-E189-4049-8A71-47108EAC3B36}"/>
    <cellStyle name="Salida 2 4 2 4 2 5" xfId="8029" xr:uid="{46646097-7F5B-452D-A016-1B088A91BCB2}"/>
    <cellStyle name="Salida 2 4 2 4 2 5 2" xfId="13601" xr:uid="{ADA9C6EC-74B3-4AD8-9ACF-7BA0BB8DDF44}"/>
    <cellStyle name="Salida 2 4 2 4 2 6" xfId="9281" xr:uid="{272E6F86-B42D-49DC-A53B-61BA356643AA}"/>
    <cellStyle name="Salida 2 4 2 4 3" xfId="3407" xr:uid="{98394DE9-65D8-4C71-8F2B-CB4B29737BB8}"/>
    <cellStyle name="Salida 2 4 2 4 3 2" xfId="9641" xr:uid="{2A0B192D-6252-421B-97FA-B9C9A855D1EA}"/>
    <cellStyle name="Salida 2 4 2 4 4" xfId="4574" xr:uid="{43658A57-7380-4F4B-9228-979FB1CB8FB6}"/>
    <cellStyle name="Salida 2 4 2 4 4 2" xfId="10438" xr:uid="{AAC6F920-9F0C-40B8-B37C-E38587B9C3F9}"/>
    <cellStyle name="Salida 2 4 2 4 5" xfId="4819" xr:uid="{DC3EBE88-8A8B-4357-A40D-D1100E8A5EEB}"/>
    <cellStyle name="Salida 2 4 2 4 5 2" xfId="10665" xr:uid="{4312D3B6-B57E-4EC4-A3C1-C5144C8FCA47}"/>
    <cellStyle name="Salida 2 4 2 4 6" xfId="4389" xr:uid="{B0E7A06A-3028-46A4-9553-A62AA0ECAFD7}"/>
    <cellStyle name="Salida 2 4 2 4 6 2" xfId="10347" xr:uid="{E59F3D3A-2F08-409B-AB38-28D6E7BA2F17}"/>
    <cellStyle name="Salida 2 4 2 4 7" xfId="5705" xr:uid="{84572940-BDF2-4E97-B640-5E767A39402E}"/>
    <cellStyle name="Salida 2 4 2 4 7 2" xfId="11433" xr:uid="{BC0A8D21-1077-46A3-B7E6-E7FFF8946F71}"/>
    <cellStyle name="Salida 2 4 2 4 8" xfId="5192" xr:uid="{A6F54677-F71E-4DBF-80DE-C7EFC923C2A3}"/>
    <cellStyle name="Salida 2 4 2 4 8 2" xfId="11038" xr:uid="{8EC0E245-A452-4CA0-B4AE-F4ABAC4A612F}"/>
    <cellStyle name="Salida 2 4 2 4 9" xfId="6003" xr:uid="{2714A709-50FE-4B76-B863-DDED360A8AA1}"/>
    <cellStyle name="Salida 2 4 2 4 9 2" xfId="11715" xr:uid="{D972468B-B628-4006-95D9-241CFDCBE146}"/>
    <cellStyle name="Salida 2 4 2 5" xfId="2697" xr:uid="{577BF280-7C73-4197-920F-CE7FF63A2556}"/>
    <cellStyle name="Salida 2 4 2 5 2" xfId="3161" xr:uid="{719E4E39-48EF-4A2D-B0DD-8B5A0AC1B81B}"/>
    <cellStyle name="Salida 2 4 2 5 2 2" xfId="4119" xr:uid="{C332E2F9-BED5-4E5A-8862-04DD3BDE51CA}"/>
    <cellStyle name="Salida 2 4 2 5 2 2 2" xfId="10215" xr:uid="{F00B4A3D-D168-427C-B3F9-7EA064B8B8FF}"/>
    <cellStyle name="Salida 2 4 2 5 2 3" xfId="7090" xr:uid="{939A9DB0-D9F9-4B1F-929C-5600ECFBC2DB}"/>
    <cellStyle name="Salida 2 4 2 5 2 3 2" xfId="12678" xr:uid="{C3CDF9F2-3D9B-4870-85BE-359D6FF3DC92}"/>
    <cellStyle name="Salida 2 4 2 5 2 4" xfId="7751" xr:uid="{6D026CDC-15C7-4892-85ED-FD8F0A39F081}"/>
    <cellStyle name="Salida 2 4 2 5 2 4 2" xfId="13323" xr:uid="{835C9225-013B-4FAF-BC21-F42E6EFAF11C}"/>
    <cellStyle name="Salida 2 4 2 5 2 5" xfId="8243" xr:uid="{D467E53C-F7F2-468E-97DC-3661786DC1CB}"/>
    <cellStyle name="Salida 2 4 2 5 2 5 2" xfId="13815" xr:uid="{0B86CE29-D4A1-443F-B0BF-9FE354728A69}"/>
    <cellStyle name="Salida 2 4 2 5 2 6" xfId="9495" xr:uid="{D5A11D32-38A2-4E96-A08C-59B6302B24EE}"/>
    <cellStyle name="Salida 2 4 2 5 3" xfId="3639" xr:uid="{7147685E-96AE-4644-808B-06E24236C511}"/>
    <cellStyle name="Salida 2 4 2 5 3 2" xfId="9855" xr:uid="{A45078E8-16E1-4AE4-B207-FB4A9BE197E6}"/>
    <cellStyle name="Salida 2 4 2 5 4" xfId="6076" xr:uid="{BD08A421-E2EE-4D77-B6F8-BCB1DA8E05F0}"/>
    <cellStyle name="Salida 2 4 2 5 4 2" xfId="11788" xr:uid="{5BA9B485-913F-4756-A9F6-636A57CE73F5}"/>
    <cellStyle name="Salida 2 4 2 5 5" xfId="6594" xr:uid="{D7093502-E4D0-4A2A-896A-7C92F9DBC0EC}"/>
    <cellStyle name="Salida 2 4 2 5 5 2" xfId="12298" xr:uid="{78542613-EF06-4CEE-847D-023344D19314}"/>
    <cellStyle name="Salida 2 4 2 5 6" xfId="7348" xr:uid="{9B416461-3A76-4C69-B588-8CEEE626D085}"/>
    <cellStyle name="Salida 2 4 2 5 6 2" xfId="12920" xr:uid="{FED7BF57-CC49-49A9-9A90-664BD744ACB6}"/>
    <cellStyle name="Salida 2 4 2 5 7" xfId="7883" xr:uid="{7769B310-AD24-4EFB-924B-1895C50EACA9}"/>
    <cellStyle name="Salida 2 4 2 5 7 2" xfId="13455" xr:uid="{5BF4DA7F-E516-4A17-9E1D-DFBE60EC8768}"/>
    <cellStyle name="Salida 2 4 2 5 8" xfId="9135" xr:uid="{333F645E-618A-4860-A8F3-E66F431A0442}"/>
    <cellStyle name="Salida 2 4 2 6" xfId="2789" xr:uid="{CA02D6F3-4865-4D05-A3D7-9082667D926B}"/>
    <cellStyle name="Salida 2 4 2 6 2" xfId="3221" xr:uid="{94E0B351-1105-4C44-A86D-FE2E4395F4E6}"/>
    <cellStyle name="Salida 2 4 2 6 2 2" xfId="4179" xr:uid="{169CCE85-AA99-4B74-BB37-7683BDF5F7CD}"/>
    <cellStyle name="Salida 2 4 2 6 2 2 2" xfId="10275" xr:uid="{65559CFD-402B-4283-A513-40A905B2A425}"/>
    <cellStyle name="Salida 2 4 2 6 2 3" xfId="7150" xr:uid="{3E600E83-71F2-4B1B-BB98-A8AF740277B1}"/>
    <cellStyle name="Salida 2 4 2 6 2 3 2" xfId="12738" xr:uid="{BC6C1A43-E5DE-48C7-BDB8-AA2F995C57DF}"/>
    <cellStyle name="Salida 2 4 2 6 2 4" xfId="7811" xr:uid="{DCF0F41A-E2C6-4240-9A12-B9F7C8B75DAB}"/>
    <cellStyle name="Salida 2 4 2 6 2 4 2" xfId="13383" xr:uid="{E1DB3DD7-F920-4EF6-9101-77337A6353BA}"/>
    <cellStyle name="Salida 2 4 2 6 2 5" xfId="8303" xr:uid="{59620AE4-2FEF-4B31-9F22-652D9AEBDBAB}"/>
    <cellStyle name="Salida 2 4 2 6 2 5 2" xfId="13875" xr:uid="{297FF6A2-9B84-4E3D-82B6-AAD29640C998}"/>
    <cellStyle name="Salida 2 4 2 6 2 6" xfId="9555" xr:uid="{229F45EE-E023-45C5-A2B5-06031557E2B3}"/>
    <cellStyle name="Salida 2 4 2 6 3" xfId="3699" xr:uid="{7AB8A126-88DB-4B22-8FBD-6A4C87A0859E}"/>
    <cellStyle name="Salida 2 4 2 6 3 2" xfId="9915" xr:uid="{0AA86D24-8706-42F0-8899-8304F46F8594}"/>
    <cellStyle name="Salida 2 4 2 6 4" xfId="6156" xr:uid="{7EFB61D9-7995-4B56-9FBC-A9D1E7B1CD23}"/>
    <cellStyle name="Salida 2 4 2 6 4 2" xfId="11868" xr:uid="{B86E2E29-AFD6-4C8E-B9C5-BA3FA6A41560}"/>
    <cellStyle name="Salida 2 4 2 6 5" xfId="6666" xr:uid="{E58DCE5A-A902-4AB7-918E-3F4346EB024E}"/>
    <cellStyle name="Salida 2 4 2 6 5 2" xfId="12370" xr:uid="{7F495D23-1641-4D90-A6A7-3CA330AA15E6}"/>
    <cellStyle name="Salida 2 4 2 6 6" xfId="7410" xr:uid="{AAA53CA2-6DC7-4EF6-BADE-FB831FF519FA}"/>
    <cellStyle name="Salida 2 4 2 6 6 2" xfId="12982" xr:uid="{9FE643CD-2068-487C-A2D5-4CB2B8A4BCD6}"/>
    <cellStyle name="Salida 2 4 2 6 7" xfId="7943" xr:uid="{C39595A1-C18D-4AEE-A0B7-ED43ACCED323}"/>
    <cellStyle name="Salida 2 4 2 6 7 2" xfId="13515" xr:uid="{1C8DA6D8-225B-4E43-8419-DE9507D0271E}"/>
    <cellStyle name="Salida 2 4 2 6 8" xfId="9195" xr:uid="{55FD0DC1-B988-4003-86CA-9458D170A5C0}"/>
    <cellStyle name="Salida 2 4 2 7" xfId="2889" xr:uid="{BB529401-B568-44B3-BD39-36866063026C}"/>
    <cellStyle name="Salida 2 4 2 7 2" xfId="3817" xr:uid="{DD0B3D8F-D225-4A44-B212-E09A177442A9}"/>
    <cellStyle name="Salida 2 4 2 7 2 2" xfId="9975" xr:uid="{6C1D5472-AA7D-433B-BB4A-B7D007E47F9B}"/>
    <cellStyle name="Salida 2 4 2 7 3" xfId="6788" xr:uid="{E006FCCC-7269-4AB3-9518-3FFE49F0C709}"/>
    <cellStyle name="Salida 2 4 2 7 3 2" xfId="12438" xr:uid="{A497C4A7-EF30-41DD-95A9-F3E765C525DE}"/>
    <cellStyle name="Salida 2 4 2 7 4" xfId="7495" xr:uid="{800CD4BE-DCDE-4E95-8B0E-0C29DA6BCBE8}"/>
    <cellStyle name="Salida 2 4 2 7 4 2" xfId="13067" xr:uid="{8FC73DA2-8B93-49C6-B258-084290BD8603}"/>
    <cellStyle name="Salida 2 4 2 7 5" xfId="8003" xr:uid="{3A6C3E13-6E52-4E0A-A6AC-1C0DD7FE7D90}"/>
    <cellStyle name="Salida 2 4 2 7 5 2" xfId="13575" xr:uid="{33899847-BCED-486C-A432-5B0CF1CB094C}"/>
    <cellStyle name="Salida 2 4 2 7 6" xfId="9255" xr:uid="{76E4985D-5A3B-49A8-8351-5809C65184CA}"/>
    <cellStyle name="Salida 2 4 2 8" xfId="3337" xr:uid="{BFD5C01E-61D4-43E4-9669-8813CC66648D}"/>
    <cellStyle name="Salida 2 4 2 8 2" xfId="9615" xr:uid="{D1267790-6B08-4B5D-8FC5-1AEB9F85E1B6}"/>
    <cellStyle name="Salida 2 4 2 9" xfId="4504" xr:uid="{EB580EAC-0A03-4D51-87F0-4ACCBE2BDFCB}"/>
    <cellStyle name="Salida 2 4 2 9 2" xfId="10412" xr:uid="{0B292D2D-0FE0-4D97-AA4C-312E610F78DD}"/>
    <cellStyle name="Salida 2 4 3" xfId="1523" xr:uid="{4AFC337D-0936-4FB4-8B66-488E0BC2845B}"/>
    <cellStyle name="Salida 2 4 3 10" xfId="4388" xr:uid="{B952840E-82EB-4FB9-858C-019FA0672895}"/>
    <cellStyle name="Salida 2 4 3 10 2" xfId="10346" xr:uid="{89A555DD-2E4D-4CB7-AEFC-45DDFF309DC0}"/>
    <cellStyle name="Salida 2 4 3 11" xfId="4949" xr:uid="{930D7AA7-7CB1-49E5-A28E-FF62E3ED3BC3}"/>
    <cellStyle name="Salida 2 4 3 11 2" xfId="10795" xr:uid="{2C19572D-AA0A-4B90-AA80-F2AFAB1904A3}"/>
    <cellStyle name="Salida 2 4 3 12" xfId="5395" xr:uid="{3056705E-3BC1-4F2B-9190-EA4C6342BBAE}"/>
    <cellStyle name="Salida 2 4 3 12 2" xfId="11193" xr:uid="{C5BC1B0B-DB26-43E6-A5F9-C247FC846FC2}"/>
    <cellStyle name="Salida 2 4 3 13" xfId="5563" xr:uid="{BBDA0732-C8B0-4694-993A-9AEEFD606324}"/>
    <cellStyle name="Salida 2 4 3 13 2" xfId="11291" xr:uid="{70D11818-635A-427D-B1CD-0260B0F60059}"/>
    <cellStyle name="Salida 2 4 3 14" xfId="5548" xr:uid="{9516AA53-5C11-4EF1-AA2A-4D88F92A635D}"/>
    <cellStyle name="Salida 2 4 3 14 2" xfId="11276" xr:uid="{D00E0B4D-A192-416B-A62E-C4507DD4DB05}"/>
    <cellStyle name="Salida 2 4 3 15" xfId="5629" xr:uid="{333CCCAC-16E7-40FF-9867-DCD3FDADE612}"/>
    <cellStyle name="Salida 2 4 3 15 2" xfId="11357" xr:uid="{6BF16AAF-705D-4018-A392-0D33FDC99455}"/>
    <cellStyle name="Salida 2 4 3 16" xfId="6208" xr:uid="{669D8FEE-66EC-45EE-9E68-916422236034}"/>
    <cellStyle name="Salida 2 4 3 16 2" xfId="11912" xr:uid="{DAC080EF-260F-4F57-8687-3A0010D61952}"/>
    <cellStyle name="Salida 2 4 3 17" xfId="6530" xr:uid="{7DDEAC1C-8047-4EFB-B0A5-A9606397BE97}"/>
    <cellStyle name="Salida 2 4 3 17 2" xfId="12234" xr:uid="{F6B0FB2E-E655-46FF-97E8-9C0E6E81F2EC}"/>
    <cellStyle name="Salida 2 4 3 18" xfId="7292" xr:uid="{0C3584D9-E34D-4FF9-8003-25BC565A83CD}"/>
    <cellStyle name="Salida 2 4 3 18 2" xfId="12864" xr:uid="{319CC185-4879-4198-BDF9-29F5EABE7BBC}"/>
    <cellStyle name="Salida 2 4 3 19" xfId="8415" xr:uid="{93808F59-3177-4576-90BE-595A70531645}"/>
    <cellStyle name="Salida 2 4 3 19 2" xfId="13895" xr:uid="{63BD7BBB-DE4B-45D5-ABDD-CFB3E51FE17F}"/>
    <cellStyle name="Salida 2 4 3 2" xfId="2393" xr:uid="{69E1E1CE-47CA-4F06-B6B8-200D2AC84082}"/>
    <cellStyle name="Salida 2 4 3 2 10" xfId="5293" xr:uid="{EF77DA0D-7264-42CD-8044-1F378098CAB5}"/>
    <cellStyle name="Salida 2 4 3 2 10 2" xfId="11137" xr:uid="{E88ABE29-ADDD-4F7B-AD48-7BF645E6CB9A}"/>
    <cellStyle name="Salida 2 4 3 2 11" xfId="7275" xr:uid="{F4BE7F5C-E4F6-4587-8D0D-F2123F4A227B}"/>
    <cellStyle name="Salida 2 4 3 2 11 2" xfId="12847" xr:uid="{13C38B80-29FD-49B2-A124-68F583B44878}"/>
    <cellStyle name="Salida 2 4 3 2 12" xfId="8607" xr:uid="{43E79B6B-496A-457D-B7DB-DF2F1625E8A9}"/>
    <cellStyle name="Salida 2 4 3 2 12 2" xfId="13995" xr:uid="{F2E99494-5B64-4B00-93C9-A692AE9101B4}"/>
    <cellStyle name="Salida 2 4 3 2 13" xfId="8955" xr:uid="{3AEC8286-3F63-4184-8794-08A98509EDA9}"/>
    <cellStyle name="Salida 2 4 3 2 2" xfId="2981" xr:uid="{7D94FE8F-2CC8-4896-AE02-6151AE79AAFB}"/>
    <cellStyle name="Salida 2 4 3 2 2 2" xfId="3921" xr:uid="{E8CC9918-321A-4D7F-AB5B-46B3B45728A9}"/>
    <cellStyle name="Salida 2 4 3 2 2 2 2" xfId="10035" xr:uid="{8BBC1DEB-E194-418B-8381-FD2410759598}"/>
    <cellStyle name="Salida 2 4 3 2 2 3" xfId="6892" xr:uid="{062929AB-2B22-43AF-936D-95A5E6C2F245}"/>
    <cellStyle name="Salida 2 4 3 2 2 3 2" xfId="12498" xr:uid="{D2B896A4-04A6-4C8F-9FA8-D301BFFD183D}"/>
    <cellStyle name="Salida 2 4 3 2 2 4" xfId="7570" xr:uid="{9D452C85-AF21-46BA-9FA2-4E4396FD4BC5}"/>
    <cellStyle name="Salida 2 4 3 2 2 4 2" xfId="13142" xr:uid="{E25A2E14-48FA-43FB-A15C-3949C345ACED}"/>
    <cellStyle name="Salida 2 4 3 2 2 5" xfId="8063" xr:uid="{27B197C6-CA87-4CCE-90B5-504F9F23F808}"/>
    <cellStyle name="Salida 2 4 3 2 2 5 2" xfId="13635" xr:uid="{C9C1F666-E214-463A-A5BE-AEF612360A2C}"/>
    <cellStyle name="Salida 2 4 3 2 2 6" xfId="9315" xr:uid="{16C45319-4C83-49A0-8FAB-F226DFE59FBD}"/>
    <cellStyle name="Salida 2 4 3 2 3" xfId="3441" xr:uid="{D7098210-D391-4579-80BB-DC406401B697}"/>
    <cellStyle name="Salida 2 4 3 2 3 2" xfId="9675" xr:uid="{38253390-1AA4-4C80-86D3-716DEAE669D9}"/>
    <cellStyle name="Salida 2 4 3 2 4" xfId="4634" xr:uid="{7A0B943F-8BE1-479D-BF66-03828776E8AA}"/>
    <cellStyle name="Salida 2 4 3 2 4 2" xfId="10498" xr:uid="{9F335842-7FF6-4F88-891B-D7CDC44480FF}"/>
    <cellStyle name="Salida 2 4 3 2 5" xfId="4873" xr:uid="{AA01ACD9-EABB-470B-9B1D-2395023CE427}"/>
    <cellStyle name="Salida 2 4 3 2 5 2" xfId="10719" xr:uid="{A3795DA1-7039-4CC1-97B1-1EA8F44BC407}"/>
    <cellStyle name="Salida 2 4 3 2 6" xfId="5029" xr:uid="{1C51EDBB-DAEC-494A-BFEE-B88629863251}"/>
    <cellStyle name="Salida 2 4 3 2 6 2" xfId="10875" xr:uid="{EBCD4156-80A8-499C-B088-BBD8225B9EB1}"/>
    <cellStyle name="Salida 2 4 3 2 7" xfId="5799" xr:uid="{A8B07C7C-30DB-41F1-95D9-B96C0039F157}"/>
    <cellStyle name="Salida 2 4 3 2 7 2" xfId="11527" xr:uid="{7BE4E01A-B59B-4BBC-99B5-6FB172430D2C}"/>
    <cellStyle name="Salida 2 4 3 2 8" xfId="5249" xr:uid="{F66C02BA-BD5B-4706-B13C-8DFEC8CA3ECB}"/>
    <cellStyle name="Salida 2 4 3 2 8 2" xfId="11095" xr:uid="{5614BE65-1BB4-43AF-9874-5EB38864FC26}"/>
    <cellStyle name="Salida 2 4 3 2 9" xfId="6336" xr:uid="{A46720DC-ECE9-4D21-AA90-6FB7D42BBA09}"/>
    <cellStyle name="Salida 2 4 3 2 9 2" xfId="12040" xr:uid="{8A4C9103-203E-4E2D-8BAB-5BA33376C85F}"/>
    <cellStyle name="Salida 2 4 3 20" xfId="8855" xr:uid="{D5108037-563C-48D0-87A2-FF9B093962C4}"/>
    <cellStyle name="Salida 2 4 3 21" xfId="2201" xr:uid="{A6806F59-D3D8-467E-AAC3-003F172FB0DD}"/>
    <cellStyle name="Salida 2 4 3 3" xfId="2499" xr:uid="{03B4501F-E143-4126-9AC7-82D1E730A73A}"/>
    <cellStyle name="Salida 2 4 3 3 10" xfId="7191" xr:uid="{D9151F9D-4354-4FDA-B9D4-3D8250F5DC08}"/>
    <cellStyle name="Salida 2 4 3 3 10 2" xfId="12763" xr:uid="{3389E146-D505-4B20-9C84-3AB7E32C12F0}"/>
    <cellStyle name="Salida 2 4 3 3 11" xfId="7288" xr:uid="{8987A170-08C0-462A-9051-D3EFDDC0E02A}"/>
    <cellStyle name="Salida 2 4 3 3 11 2" xfId="12860" xr:uid="{B5371BF4-0B23-4325-89A3-66632E108FAA}"/>
    <cellStyle name="Salida 2 4 3 3 12" xfId="8713" xr:uid="{5C1264DF-C54A-46C9-B552-4ACD2F64E40A}"/>
    <cellStyle name="Salida 2 4 3 3 12 2" xfId="14069" xr:uid="{B2317627-E054-4CB6-B14F-99EBE00118F3}"/>
    <cellStyle name="Salida 2 4 3 3 13" xfId="9029" xr:uid="{F13812B0-BCE4-4037-BB41-00B9CCDC8584}"/>
    <cellStyle name="Salida 2 4 3 3 2" xfId="3055" xr:uid="{0673AB09-F284-4633-80B8-2C7F5DF5C128}"/>
    <cellStyle name="Salida 2 4 3 3 2 2" xfId="3995" xr:uid="{744CB057-C41A-4CF9-A34F-D86F7ECA7A61}"/>
    <cellStyle name="Salida 2 4 3 3 2 2 2" xfId="10109" xr:uid="{47B77781-7C3F-4D4F-BD6A-69DDA0BBABF8}"/>
    <cellStyle name="Salida 2 4 3 3 2 3" xfId="6966" xr:uid="{4B5D051D-43C0-451B-8B1A-FE506854683D}"/>
    <cellStyle name="Salida 2 4 3 3 2 3 2" xfId="12572" xr:uid="{B0921E04-499F-4693-840A-4E841747B48E}"/>
    <cellStyle name="Salida 2 4 3 3 2 4" xfId="7644" xr:uid="{DA553A25-159D-4DB2-A4C9-37BE28AAD658}"/>
    <cellStyle name="Salida 2 4 3 3 2 4 2" xfId="13216" xr:uid="{0C20D6BD-6CEA-4D13-B96D-A0A59F0DF432}"/>
    <cellStyle name="Salida 2 4 3 3 2 5" xfId="8137" xr:uid="{0602A896-3CF7-4BEC-9E33-45D430EC954A}"/>
    <cellStyle name="Salida 2 4 3 3 2 5 2" xfId="13709" xr:uid="{9BE0B6BB-BC83-4BE8-9DFD-936901A7D0F7}"/>
    <cellStyle name="Salida 2 4 3 3 2 6" xfId="9389" xr:uid="{BA7A76C7-D161-4501-8D95-DCDEA4C389FB}"/>
    <cellStyle name="Salida 2 4 3 3 3" xfId="3515" xr:uid="{0AB62587-E5C7-48DC-9028-8A486CD53541}"/>
    <cellStyle name="Salida 2 4 3 3 3 2" xfId="9749" xr:uid="{6E5A496C-242F-49EC-82A2-881CD67694C5}"/>
    <cellStyle name="Salida 2 4 3 3 4" xfId="4712" xr:uid="{CB32BEEE-A669-4B38-AF6B-F0C259D64E6D}"/>
    <cellStyle name="Salida 2 4 3 3 4 2" xfId="10576" xr:uid="{5621F560-EE2B-44D2-92C8-C4BE2734BF61}"/>
    <cellStyle name="Salida 2 4 3 3 5" xfId="4955" xr:uid="{9C176990-D1CB-4737-8061-AEC7D775B4EE}"/>
    <cellStyle name="Salida 2 4 3 3 5 2" xfId="10801" xr:uid="{D11775E7-C1B9-4723-BAA0-0268F12F4A25}"/>
    <cellStyle name="Salida 2 4 3 3 6" xfId="5103" xr:uid="{F24F8137-BB49-42C6-93F5-5A5D51015BFD}"/>
    <cellStyle name="Salida 2 4 3 3 6 2" xfId="10949" xr:uid="{3558C1CF-24B2-4F06-8282-6591E2A91A7F}"/>
    <cellStyle name="Salida 2 4 3 3 7" xfId="5894" xr:uid="{42A342B7-43AF-4AEF-A8B2-A19208629158}"/>
    <cellStyle name="Salida 2 4 3 3 7 2" xfId="11622" xr:uid="{841A565E-35F6-4FC2-8C16-F7BC94F1B088}"/>
    <cellStyle name="Salida 2 4 3 3 8" xfId="6224" xr:uid="{14A6E0BF-B767-4886-9733-71CA9114888F}"/>
    <cellStyle name="Salida 2 4 3 3 8 2" xfId="11928" xr:uid="{45B14113-9BA7-4F08-BA48-181BB38D8AF8}"/>
    <cellStyle name="Salida 2 4 3 3 9" xfId="6426" xr:uid="{3F863BED-BF8A-4D7B-B463-D3058EAE5BCF}"/>
    <cellStyle name="Salida 2 4 3 3 9 2" xfId="12130" xr:uid="{F0241861-CE85-40F0-BFD2-D9B02BA8C374}"/>
    <cellStyle name="Salida 2 4 3 4" xfId="2264" xr:uid="{B5174546-9657-42AF-B70C-CA116177285C}"/>
    <cellStyle name="Salida 2 4 3 4 10" xfId="5998" xr:uid="{11A501A1-4F2E-4414-9EF0-370AD87E33CB}"/>
    <cellStyle name="Salida 2 4 3 4 10 2" xfId="11710" xr:uid="{FF7ED5FC-C1AB-4613-BFE0-7420AD008CE0}"/>
    <cellStyle name="Salida 2 4 3 4 11" xfId="7838" xr:uid="{0ED6EAAE-D922-4B7C-94A5-1AEB719E8898}"/>
    <cellStyle name="Salida 2 4 3 4 11 2" xfId="13410" xr:uid="{0D83D788-4CA8-4ACE-824C-EA66DCFECB7F}"/>
    <cellStyle name="Salida 2 4 3 4 12" xfId="8478" xr:uid="{392CFF12-2AED-4364-B07F-C75F826BB0C6}"/>
    <cellStyle name="Salida 2 4 3 4 12 2" xfId="13958" xr:uid="{4EECD2CE-C6E1-4658-968E-C6334CB50057}"/>
    <cellStyle name="Salida 2 4 3 4 13" xfId="8918" xr:uid="{A89757C2-D4B3-4F73-B11A-81C175296DBD}"/>
    <cellStyle name="Salida 2 4 3 4 2" xfId="2944" xr:uid="{BF0BB4E6-1617-4F84-BBE0-BEB602877E57}"/>
    <cellStyle name="Salida 2 4 3 4 2 2" xfId="3884" xr:uid="{49073C81-F77D-4744-BDBC-C6D2D89E256B}"/>
    <cellStyle name="Salida 2 4 3 4 2 2 2" xfId="9998" xr:uid="{F133E7DC-4FC2-4604-9188-06744E5695EE}"/>
    <cellStyle name="Salida 2 4 3 4 2 3" xfId="6855" xr:uid="{DD2F4155-D479-44BF-A0AC-0CC6DDE6E339}"/>
    <cellStyle name="Salida 2 4 3 4 2 3 2" xfId="12461" xr:uid="{B06E7DBC-2DEE-4E86-B8F4-7DF2C641AD4B}"/>
    <cellStyle name="Salida 2 4 3 4 2 4" xfId="7533" xr:uid="{B1CC78C3-2BB1-479E-843B-8492B972E757}"/>
    <cellStyle name="Salida 2 4 3 4 2 4 2" xfId="13105" xr:uid="{C8E54DF8-0F59-4D38-A621-56501FC096AB}"/>
    <cellStyle name="Salida 2 4 3 4 2 5" xfId="8026" xr:uid="{75728D40-22DD-4E23-95CB-CDF348A969D1}"/>
    <cellStyle name="Salida 2 4 3 4 2 5 2" xfId="13598" xr:uid="{36439DA8-0DD4-4667-9C1B-98C33B04A295}"/>
    <cellStyle name="Salida 2 4 3 4 2 6" xfId="9278" xr:uid="{694BA655-9541-441B-89B3-2E71784D716A}"/>
    <cellStyle name="Salida 2 4 3 4 3" xfId="3404" xr:uid="{01A02240-BA69-416B-9FB3-A640F1715630}"/>
    <cellStyle name="Salida 2 4 3 4 3 2" xfId="9638" xr:uid="{17F87400-C41E-480E-9E1F-B79653C91586}"/>
    <cellStyle name="Salida 2 4 3 4 4" xfId="4571" xr:uid="{ACF206B6-8368-4990-95A2-0B6E13BF3B32}"/>
    <cellStyle name="Salida 2 4 3 4 4 2" xfId="10435" xr:uid="{33737D50-6E5D-4A04-92B1-8E0AB7A641FF}"/>
    <cellStyle name="Salida 2 4 3 4 5" xfId="4816" xr:uid="{6560B374-8B60-4338-A0B6-B2285E379F36}"/>
    <cellStyle name="Salida 2 4 3 4 5 2" xfId="10662" xr:uid="{D788961A-DA65-4A77-AE96-1426A0A45F0B}"/>
    <cellStyle name="Salida 2 4 3 4 6" xfId="4624" xr:uid="{6C3C8B1F-462E-4FA7-8A92-4AECC8977DBC}"/>
    <cellStyle name="Salida 2 4 3 4 6 2" xfId="10488" xr:uid="{26BE45DB-FA27-413C-BB7D-D0022E95D961}"/>
    <cellStyle name="Salida 2 4 3 4 7" xfId="5702" xr:uid="{F1258CE3-BEB7-469E-8A37-B6F78484D3BE}"/>
    <cellStyle name="Salida 2 4 3 4 7 2" xfId="11430" xr:uid="{54824D69-DC3C-4F28-ABF4-75B6657BE56D}"/>
    <cellStyle name="Salida 2 4 3 4 8" xfId="5680" xr:uid="{3BDACCAE-94B7-4CDD-AE1C-90026674F5A5}"/>
    <cellStyle name="Salida 2 4 3 4 8 2" xfId="11408" xr:uid="{A76EBFDC-24ED-4881-99CB-3A30D9D384A4}"/>
    <cellStyle name="Salida 2 4 3 4 9" xfId="5554" xr:uid="{B84A8052-557C-4665-9953-63A235A38915}"/>
    <cellStyle name="Salida 2 4 3 4 9 2" xfId="11282" xr:uid="{3DE51881-D5D5-43D3-82BE-33F5FBC2F45E}"/>
    <cellStyle name="Salida 2 4 3 5" xfId="2657" xr:uid="{5E124EE1-5728-4208-AC83-E8105563780D}"/>
    <cellStyle name="Salida 2 4 3 5 2" xfId="3121" xr:uid="{10192AB2-9831-4FE4-99F3-78D0D256992D}"/>
    <cellStyle name="Salida 2 4 3 5 2 2" xfId="4079" xr:uid="{7148A50A-7AF3-4FED-A878-0F8A06D80DE9}"/>
    <cellStyle name="Salida 2 4 3 5 2 2 2" xfId="10175" xr:uid="{2E79E115-4EE3-4088-B51D-3F39A6F11FBF}"/>
    <cellStyle name="Salida 2 4 3 5 2 3" xfId="7050" xr:uid="{FBBD5847-E336-4B6E-A1E8-81688FF685FF}"/>
    <cellStyle name="Salida 2 4 3 5 2 3 2" xfId="12638" xr:uid="{45323409-91CA-4C2E-9B8D-D176B818BC5B}"/>
    <cellStyle name="Salida 2 4 3 5 2 4" xfId="7711" xr:uid="{10733F83-9AF5-4AF9-9CF9-13F5652FF741}"/>
    <cellStyle name="Salida 2 4 3 5 2 4 2" xfId="13283" xr:uid="{A9A9E463-42A7-4FC7-A8C6-914125B07731}"/>
    <cellStyle name="Salida 2 4 3 5 2 5" xfId="8203" xr:uid="{BB79FE77-7D1B-4E29-B671-20F13C9400EF}"/>
    <cellStyle name="Salida 2 4 3 5 2 5 2" xfId="13775" xr:uid="{8F8444FB-C6EE-4508-9FB6-81D40DF87A3B}"/>
    <cellStyle name="Salida 2 4 3 5 2 6" xfId="9455" xr:uid="{602F704A-6290-4764-8191-24F19C88C9B7}"/>
    <cellStyle name="Salida 2 4 3 5 3" xfId="3599" xr:uid="{C4CEA598-1FEC-46BB-9264-7287BDD9D74A}"/>
    <cellStyle name="Salida 2 4 3 5 3 2" xfId="9815" xr:uid="{F6E982B1-BE94-4E65-91C4-3AD8ACF783C7}"/>
    <cellStyle name="Salida 2 4 3 5 4" xfId="6036" xr:uid="{865D539A-A094-404D-9D12-6E05DAC4E5E8}"/>
    <cellStyle name="Salida 2 4 3 5 4 2" xfId="11748" xr:uid="{A5B456F3-7A7C-4930-9F50-EAC21E40472D}"/>
    <cellStyle name="Salida 2 4 3 5 5" xfId="6554" xr:uid="{7A3C508B-247E-448B-BF32-3786A5C0E1E1}"/>
    <cellStyle name="Salida 2 4 3 5 5 2" xfId="12258" xr:uid="{DB160817-6C1A-466D-AF69-44A3C4107B72}"/>
    <cellStyle name="Salida 2 4 3 5 6" xfId="7308" xr:uid="{655E0F3E-FEFC-4943-888C-F33D7FA1E2C5}"/>
    <cellStyle name="Salida 2 4 3 5 6 2" xfId="12880" xr:uid="{D08562F8-C52C-4AF9-801A-19B208393A63}"/>
    <cellStyle name="Salida 2 4 3 5 7" xfId="7843" xr:uid="{5D1ABE4D-F50C-42D9-8658-0C08214A9CA0}"/>
    <cellStyle name="Salida 2 4 3 5 7 2" xfId="13415" xr:uid="{E8F526A0-9AEA-4CAE-9723-7D985A7FA79C}"/>
    <cellStyle name="Salida 2 4 3 5 8" xfId="9095" xr:uid="{EBB6FEBA-CC2F-4ADF-AC64-2E60D1458A0B}"/>
    <cellStyle name="Salida 2 4 3 6" xfId="2749" xr:uid="{3004ABD4-757A-4F1E-BC6B-5741CAF258A2}"/>
    <cellStyle name="Salida 2 4 3 6 2" xfId="3181" xr:uid="{B98FFD69-A7DB-491B-A494-3043DE5D8E4D}"/>
    <cellStyle name="Salida 2 4 3 6 2 2" xfId="4139" xr:uid="{0A2A77B6-FC0B-4CD8-BCB7-366C038E10F2}"/>
    <cellStyle name="Salida 2 4 3 6 2 2 2" xfId="10235" xr:uid="{9AB1F588-8CA3-4A51-BF98-DDBDD63EE2AD}"/>
    <cellStyle name="Salida 2 4 3 6 2 3" xfId="7110" xr:uid="{6AE368C9-8716-4C76-81C5-CA44C8FA69FD}"/>
    <cellStyle name="Salida 2 4 3 6 2 3 2" xfId="12698" xr:uid="{38D9C858-C04F-414E-923C-2375F6E91774}"/>
    <cellStyle name="Salida 2 4 3 6 2 4" xfId="7771" xr:uid="{D3E15B94-9B39-408C-A7A0-B9784817B969}"/>
    <cellStyle name="Salida 2 4 3 6 2 4 2" xfId="13343" xr:uid="{64D5440C-0789-4B0D-9AAA-66B67C37DF08}"/>
    <cellStyle name="Salida 2 4 3 6 2 5" xfId="8263" xr:uid="{D87DE96E-4A77-4714-B8F5-2329BBBB7CDF}"/>
    <cellStyle name="Salida 2 4 3 6 2 5 2" xfId="13835" xr:uid="{BF02B8FD-18DB-49DE-9C05-1D6BB1B76E01}"/>
    <cellStyle name="Salida 2 4 3 6 2 6" xfId="9515" xr:uid="{6D3D76D9-454B-4941-80D4-7703BC8B6856}"/>
    <cellStyle name="Salida 2 4 3 6 3" xfId="3659" xr:uid="{716C5A6E-106C-497D-B3FA-6D5BE093E1F7}"/>
    <cellStyle name="Salida 2 4 3 6 3 2" xfId="9875" xr:uid="{3F14FA88-8338-4CE3-8AF9-6BA1BFCD5308}"/>
    <cellStyle name="Salida 2 4 3 6 4" xfId="6116" xr:uid="{679FB646-12E9-470D-95F6-66F6A98B94A1}"/>
    <cellStyle name="Salida 2 4 3 6 4 2" xfId="11828" xr:uid="{C544353D-BADB-4A22-B564-DFECF8966846}"/>
    <cellStyle name="Salida 2 4 3 6 5" xfId="6626" xr:uid="{E9427369-5141-41EB-A6A5-5F1225DB18D6}"/>
    <cellStyle name="Salida 2 4 3 6 5 2" xfId="12330" xr:uid="{A95B9452-88AB-4DF6-B6A4-FB32C86EDEFA}"/>
    <cellStyle name="Salida 2 4 3 6 6" xfId="7370" xr:uid="{210364DF-FA67-4F9A-AEBD-C7A2892EE4C6}"/>
    <cellStyle name="Salida 2 4 3 6 6 2" xfId="12942" xr:uid="{2C0DAF49-AC5A-4088-9B0C-BB3209E296B6}"/>
    <cellStyle name="Salida 2 4 3 6 7" xfId="7903" xr:uid="{5B59E144-36AD-45FB-A83D-761B4EFC94F3}"/>
    <cellStyle name="Salida 2 4 3 6 7 2" xfId="13475" xr:uid="{62C9CCD6-E68A-4F65-AA0B-593848A3B751}"/>
    <cellStyle name="Salida 2 4 3 6 8" xfId="9155" xr:uid="{2A66330F-5AF0-4F8E-9A1E-15CF449787CA}"/>
    <cellStyle name="Salida 2 4 3 7" xfId="2849" xr:uid="{D004E170-8F91-485D-AEB9-A7D32D3FC1DA}"/>
    <cellStyle name="Salida 2 4 3 7 2" xfId="3773" xr:uid="{AEB6034F-4DA8-40EC-B65F-269146CF5C4C}"/>
    <cellStyle name="Salida 2 4 3 7 2 2" xfId="9935" xr:uid="{BC7AB92B-404E-4491-A03E-DBA0D9BB72F4}"/>
    <cellStyle name="Salida 2 4 3 7 3" xfId="6744" xr:uid="{85346C8A-F398-4CC4-9195-330160542A99}"/>
    <cellStyle name="Salida 2 4 3 7 3 2" xfId="12398" xr:uid="{2341A1C9-52BE-4FF6-8950-788F7E5D6460}"/>
    <cellStyle name="Salida 2 4 3 7 4" xfId="7454" xr:uid="{7E22D5BC-9E8F-4FED-9EB4-20246E1B1A57}"/>
    <cellStyle name="Salida 2 4 3 7 4 2" xfId="13026" xr:uid="{7EA040E0-A1A9-471F-BE44-5E73738CFDED}"/>
    <cellStyle name="Salida 2 4 3 7 5" xfId="7963" xr:uid="{F6DD2BE1-46BE-4DCD-A63A-EC1DFCC59A4D}"/>
    <cellStyle name="Salida 2 4 3 7 5 2" xfId="13535" xr:uid="{49180369-A59E-42A3-8AA3-73FBCFC50B67}"/>
    <cellStyle name="Salida 2 4 3 7 6" xfId="9215" xr:uid="{AB8FFEBB-4F3F-4CCE-A6D8-922307B3DBAF}"/>
    <cellStyle name="Salida 2 4 3 8" xfId="3293" xr:uid="{B6DBB58C-8DC1-484E-BBA4-23FC92F40F0E}"/>
    <cellStyle name="Salida 2 4 3 8 2" xfId="9575" xr:uid="{9A5D54AA-E090-4936-BA2E-37B4B2DA7D36}"/>
    <cellStyle name="Salida 2 4 3 9" xfId="4460" xr:uid="{CC2FB175-8451-4FAC-AD7F-C20AC3545E0B}"/>
    <cellStyle name="Salida 2 4 3 9 2" xfId="10372" xr:uid="{1751360A-03B7-42F5-BE3D-50558D0148F8}"/>
    <cellStyle name="Salida 2 4 4" xfId="1546" xr:uid="{CE1FC526-7EA4-4AFB-B64E-6FD12E1357E4}"/>
    <cellStyle name="Salida 2 4 4 2" xfId="8842" xr:uid="{97E6C15C-B7A5-46BF-9224-A208EF04196A}"/>
    <cellStyle name="Salida 2 4 5" xfId="2121" xr:uid="{CDD56A0C-94A2-4670-8446-ACAC5F31306F}"/>
    <cellStyle name="Salida 2 5" xfId="1441" xr:uid="{2C518680-A696-4A59-861F-BC0841135410}"/>
    <cellStyle name="Salida 2 5 10" xfId="4395" xr:uid="{48058C7F-DA61-4F3A-9AF8-CD2352DBAF1E}"/>
    <cellStyle name="Salida 2 5 10 2" xfId="10353" xr:uid="{10B90B31-8E88-4BE2-A26E-AE4BA30041D1}"/>
    <cellStyle name="Salida 2 5 11" xfId="4401" xr:uid="{1298278E-3A3E-4AAA-980F-CA04E4792E74}"/>
    <cellStyle name="Salida 2 5 11 2" xfId="10359" xr:uid="{573A052D-98D2-46FA-883B-64AEEF664ABA}"/>
    <cellStyle name="Salida 2 5 12" xfId="5410" xr:uid="{D7F72F39-082A-4E61-AAA4-4EE04997D7A5}"/>
    <cellStyle name="Salida 2 5 12 2" xfId="11208" xr:uid="{F46144FF-14A8-4575-B49B-784C12C5E800}"/>
    <cellStyle name="Salida 2 5 13" xfId="5578" xr:uid="{16FF9803-2D85-4604-BEA8-190FF3C8055D}"/>
    <cellStyle name="Salida 2 5 13 2" xfId="11306" xr:uid="{C503C946-DA11-4BCC-B33D-E75097CAFEBB}"/>
    <cellStyle name="Salida 2 5 14" xfId="5262" xr:uid="{84B116ED-FC98-495E-930D-950ADC11736B}"/>
    <cellStyle name="Salida 2 5 14 2" xfId="11108" xr:uid="{36CD7109-6AEF-469E-B49A-A7CB181C6FB6}"/>
    <cellStyle name="Salida 2 5 15" xfId="5216" xr:uid="{1447A2F2-68D3-4876-935D-2A2B977DE1EA}"/>
    <cellStyle name="Salida 2 5 15 2" xfId="11062" xr:uid="{2B830B75-37C2-416E-B0C8-FF916188CAF1}"/>
    <cellStyle name="Salida 2 5 16" xfId="5526" xr:uid="{0BC60C23-4CA2-4236-8D54-42937893D1E6}"/>
    <cellStyle name="Salida 2 5 16 2" xfId="11254" xr:uid="{03B7CF2A-D152-4703-A6DC-5DD4132DA1BB}"/>
    <cellStyle name="Salida 2 5 17" xfId="5682" xr:uid="{51186E09-7D3B-4A82-A400-18302A137DA8}"/>
    <cellStyle name="Salida 2 5 17 2" xfId="11410" xr:uid="{DCB6040F-864E-49CE-B423-6CED80B5D24C}"/>
    <cellStyle name="Salida 2 5 18" xfId="6419" xr:uid="{A4F88020-F076-4FDA-BF8D-ECB1A2ED31CD}"/>
    <cellStyle name="Salida 2 5 18 2" xfId="12123" xr:uid="{12BA1DD2-50A9-4D04-B384-E3E49AC1496E}"/>
    <cellStyle name="Salida 2 5 19" xfId="8430" xr:uid="{314CC1F4-7885-4381-82A9-68E9F2A411DF}"/>
    <cellStyle name="Salida 2 5 19 2" xfId="13910" xr:uid="{B7982B2E-3B40-411E-A0A6-C431060FD8E4}"/>
    <cellStyle name="Salida 2 5 2" xfId="1554" xr:uid="{A7851292-6F63-470E-9084-D9BA7EF1A703}"/>
    <cellStyle name="Salida 2 5 2 10" xfId="6539" xr:uid="{60B99947-45F7-46D8-A9A4-F3E776F03BAF}"/>
    <cellStyle name="Salida 2 5 2 10 2" xfId="12243" xr:uid="{F61B93C2-0AA3-46A1-996C-685F6C33A6E9}"/>
    <cellStyle name="Salida 2 5 2 11" xfId="5989" xr:uid="{7B71ED73-6911-4FF2-B3A3-0411860C609F}"/>
    <cellStyle name="Salida 2 5 2 11 2" xfId="11701" xr:uid="{5ED81BC9-BD86-43D1-8330-8B937E68694A}"/>
    <cellStyle name="Salida 2 5 2 12" xfId="8622" xr:uid="{EF8A4564-B39E-426B-8629-1B2E60189303}"/>
    <cellStyle name="Salida 2 5 2 12 2" xfId="14010" xr:uid="{77A97072-7E18-43B7-94F5-20EAA86A0433}"/>
    <cellStyle name="Salida 2 5 2 13" xfId="8970" xr:uid="{50FAFCCE-1984-498B-94EE-D379943A2E4F}"/>
    <cellStyle name="Salida 2 5 2 14" xfId="2408" xr:uid="{427D0BA6-E12A-4201-966B-C2D143B4C3AD}"/>
    <cellStyle name="Salida 2 5 2 2" xfId="2996" xr:uid="{E254FEAC-6C52-4ECC-BD56-B93C66241405}"/>
    <cellStyle name="Salida 2 5 2 2 2" xfId="3936" xr:uid="{5C2C51EB-2540-4865-A864-AFD0B8A9E799}"/>
    <cellStyle name="Salida 2 5 2 2 2 2" xfId="10050" xr:uid="{AF92741E-2D2B-4A78-BEB6-6CED9FE0642A}"/>
    <cellStyle name="Salida 2 5 2 2 3" xfId="6907" xr:uid="{3B761C57-C75C-4FF7-BAB3-B17297A76AC9}"/>
    <cellStyle name="Salida 2 5 2 2 3 2" xfId="12513" xr:uid="{2FDFD2CF-227D-4BC6-892F-9E4BED01F0CD}"/>
    <cellStyle name="Salida 2 5 2 2 4" xfId="7585" xr:uid="{2CC5E101-2D72-4009-8ADC-3090478DB7C4}"/>
    <cellStyle name="Salida 2 5 2 2 4 2" xfId="13157" xr:uid="{CBCD5B05-FC13-4FE3-85A6-7EE7F154AD8B}"/>
    <cellStyle name="Salida 2 5 2 2 5" xfId="8078" xr:uid="{ABA8E03B-1C49-4E7A-97CE-F80E8ADDD890}"/>
    <cellStyle name="Salida 2 5 2 2 5 2" xfId="13650" xr:uid="{87E12E44-AF9C-490F-B113-915369BA66BA}"/>
    <cellStyle name="Salida 2 5 2 2 6" xfId="9330" xr:uid="{1DFECF33-7878-483E-B2F3-7D170510CC78}"/>
    <cellStyle name="Salida 2 5 2 3" xfId="3456" xr:uid="{AD950CC4-8FE9-4254-A57F-F5DD6A0437C5}"/>
    <cellStyle name="Salida 2 5 2 3 2" xfId="9690" xr:uid="{885EA6F1-52FC-417F-A10C-826AE94638AE}"/>
    <cellStyle name="Salida 2 5 2 4" xfId="4649" xr:uid="{6C19F206-48C0-45B9-B15F-1F5FB51FAC20}"/>
    <cellStyle name="Salida 2 5 2 4 2" xfId="10513" xr:uid="{4E171128-34AC-45CE-8CF2-A50F79B92432}"/>
    <cellStyle name="Salida 2 5 2 5" xfId="4888" xr:uid="{39DCB8A0-D942-4AD1-81DF-389067B8155B}"/>
    <cellStyle name="Salida 2 5 2 5 2" xfId="10734" xr:uid="{E0CBBAAC-B41A-40D9-B068-CA9702B1122A}"/>
    <cellStyle name="Salida 2 5 2 6" xfId="5044" xr:uid="{ACA2C600-B1EF-40C1-880B-67DFECD3E0A4}"/>
    <cellStyle name="Salida 2 5 2 6 2" xfId="10890" xr:uid="{D8A264AD-84FE-4776-8FDB-FAB057DE07E9}"/>
    <cellStyle name="Salida 2 5 2 7" xfId="5814" xr:uid="{BE76107F-B05A-42B3-A3F2-917B6F53D839}"/>
    <cellStyle name="Salida 2 5 2 7 2" xfId="11542" xr:uid="{C46D1F89-B70B-47EC-813A-B1167CC0320A}"/>
    <cellStyle name="Salida 2 5 2 8" xfId="5222" xr:uid="{1FCAE28A-DEBD-4DE8-A65D-B7C997EDA0BD}"/>
    <cellStyle name="Salida 2 5 2 8 2" xfId="11068" xr:uid="{F18CDCBA-558D-40F9-A3AB-ADF92A1818E3}"/>
    <cellStyle name="Salida 2 5 2 9" xfId="6351" xr:uid="{E4544335-FCE9-4E80-A9E1-85E97E415ECD}"/>
    <cellStyle name="Salida 2 5 2 9 2" xfId="12055" xr:uid="{3E95E80B-CD86-4992-A7C7-C3C0874C8A86}"/>
    <cellStyle name="Salida 2 5 20" xfId="8870" xr:uid="{1E4119B3-DD60-4A63-A4F7-B65384CFB894}"/>
    <cellStyle name="Salida 2 5 21" xfId="2216" xr:uid="{62B968E2-09DE-420E-B65C-F0DDFF89F46E}"/>
    <cellStyle name="Salida 2 5 3" xfId="1607" xr:uid="{D9E8973A-7BEC-4E14-BA71-7C715D342D96}"/>
    <cellStyle name="Salida 2 5 3 10" xfId="7206" xr:uid="{E018AE16-D1EF-4E82-AFBF-8E9AF795D6E9}"/>
    <cellStyle name="Salida 2 5 3 10 2" xfId="12778" xr:uid="{C5489934-93A5-498F-B908-5935DC6EFACD}"/>
    <cellStyle name="Salida 2 5 3 11" xfId="6411" xr:uid="{7EA58063-035A-4B3E-B9D4-C85A01850078}"/>
    <cellStyle name="Salida 2 5 3 11 2" xfId="12115" xr:uid="{DB0CC379-6BAA-4B48-8AA0-31CFA50E2387}"/>
    <cellStyle name="Salida 2 5 3 12" xfId="8728" xr:uid="{7D8B25D0-06C1-49A2-A23E-5AAD37D02BC8}"/>
    <cellStyle name="Salida 2 5 3 12 2" xfId="14084" xr:uid="{0268A34C-D49B-4284-86F2-008CA8E4E667}"/>
    <cellStyle name="Salida 2 5 3 13" xfId="9044" xr:uid="{75184831-C56B-4934-BCBD-7BEDFF6DAF36}"/>
    <cellStyle name="Salida 2 5 3 14" xfId="2514" xr:uid="{A6A23270-5865-447B-AD90-ED28A9C7C395}"/>
    <cellStyle name="Salida 2 5 3 2" xfId="3070" xr:uid="{BB69CD70-5305-46D2-A105-01F4F3C7EF7C}"/>
    <cellStyle name="Salida 2 5 3 2 2" xfId="4010" xr:uid="{8FC4C601-5EF4-403C-82C3-FBC7D80D3E0C}"/>
    <cellStyle name="Salida 2 5 3 2 2 2" xfId="10124" xr:uid="{F3824343-5261-416C-95DE-47BAF24D96BE}"/>
    <cellStyle name="Salida 2 5 3 2 3" xfId="6981" xr:uid="{DB00BD76-F2C8-4D0E-8EE2-F866A1C46F9A}"/>
    <cellStyle name="Salida 2 5 3 2 3 2" xfId="12587" xr:uid="{B911F568-05B8-4DD8-B8B3-4E7578FF212F}"/>
    <cellStyle name="Salida 2 5 3 2 4" xfId="7659" xr:uid="{B46CF6A9-AFC4-4919-936D-24ADC7534388}"/>
    <cellStyle name="Salida 2 5 3 2 4 2" xfId="13231" xr:uid="{F9D943C9-365E-46B9-ACCC-B1249B8D5B75}"/>
    <cellStyle name="Salida 2 5 3 2 5" xfId="8152" xr:uid="{839BF9E4-D10F-4F13-8729-0757485A79B5}"/>
    <cellStyle name="Salida 2 5 3 2 5 2" xfId="13724" xr:uid="{6D66A411-3299-49E3-AA64-A352567B15C2}"/>
    <cellStyle name="Salida 2 5 3 2 6" xfId="9404" xr:uid="{0B95FBA5-BAEA-4EBD-95B0-57B78C0EB68A}"/>
    <cellStyle name="Salida 2 5 3 3" xfId="3530" xr:uid="{69514672-6D56-48A5-8A2D-283C5B350158}"/>
    <cellStyle name="Salida 2 5 3 3 2" xfId="9764" xr:uid="{DF8674FB-832E-44DF-A946-0480E14EEE50}"/>
    <cellStyle name="Salida 2 5 3 4" xfId="4727" xr:uid="{8F8C9F2D-89FA-46A4-82E8-52678C9ABD90}"/>
    <cellStyle name="Salida 2 5 3 4 2" xfId="10591" xr:uid="{21EE3F0D-52E2-46AE-B718-E391D929632D}"/>
    <cellStyle name="Salida 2 5 3 5" xfId="4970" xr:uid="{E083D864-FF4B-4D08-BAAE-988B3B3D9A3E}"/>
    <cellStyle name="Salida 2 5 3 5 2" xfId="10816" xr:uid="{7E8DB651-7C2A-49D1-899D-51AA9F71E277}"/>
    <cellStyle name="Salida 2 5 3 6" xfId="5118" xr:uid="{BF3A2997-ABF3-454D-AD96-DEBD35DE18E1}"/>
    <cellStyle name="Salida 2 5 3 6 2" xfId="10964" xr:uid="{EC1E6E62-844C-45C8-90E2-E856EBBF99EF}"/>
    <cellStyle name="Salida 2 5 3 7" xfId="5909" xr:uid="{D9BA0F91-AFB9-404F-BBEE-3016C715FBBE}"/>
    <cellStyle name="Salida 2 5 3 7 2" xfId="11637" xr:uid="{BA9CE7FD-C5B8-4727-B8CC-13595B520A0E}"/>
    <cellStyle name="Salida 2 5 3 8" xfId="6239" xr:uid="{0A2B1526-6F6D-4BF7-B13E-387128CA5992}"/>
    <cellStyle name="Salida 2 5 3 8 2" xfId="11943" xr:uid="{D024FCAE-43A7-4C5D-A55A-49E9864B6538}"/>
    <cellStyle name="Salida 2 5 3 9" xfId="6441" xr:uid="{8FD2D3C1-E2C4-4D92-977A-615AB38EA29F}"/>
    <cellStyle name="Salida 2 5 3 9 2" xfId="12145" xr:uid="{5279F2F4-B7DB-455C-89A5-F221824314B6}"/>
    <cellStyle name="Salida 2 5 4" xfId="2268" xr:uid="{6D73393A-C80D-4DAD-BB59-E257131F0970}"/>
    <cellStyle name="Salida 2 5 4 10" xfId="6027" xr:uid="{C91E517B-C45C-4520-98E5-BBCF96B39E81}"/>
    <cellStyle name="Salida 2 5 4 10 2" xfId="11739" xr:uid="{E6D98054-DB56-479E-8181-5B95587D0C21}"/>
    <cellStyle name="Salida 2 5 4 11" xfId="7278" xr:uid="{AEE2AFE6-8CBC-4DF1-A9E2-F2327F121337}"/>
    <cellStyle name="Salida 2 5 4 11 2" xfId="12850" xr:uid="{B44ACAAE-CBE7-4AFF-AAE4-F9491F7315E0}"/>
    <cellStyle name="Salida 2 5 4 12" xfId="8482" xr:uid="{54DE0DB2-FC5A-4760-86CF-C96C7D71659D}"/>
    <cellStyle name="Salida 2 5 4 12 2" xfId="13962" xr:uid="{D492128C-08A2-4A74-BA22-DAE3D9510EB4}"/>
    <cellStyle name="Salida 2 5 4 13" xfId="8922" xr:uid="{EB5C141C-CBED-42DC-9C1E-56F415BCE7BE}"/>
    <cellStyle name="Salida 2 5 4 2" xfId="2948" xr:uid="{0FBF0548-E25A-42EB-87F5-DB3BBC0D33A2}"/>
    <cellStyle name="Salida 2 5 4 2 2" xfId="3888" xr:uid="{A4A903EB-5521-4B9C-AC79-8C6ADA3AA278}"/>
    <cellStyle name="Salida 2 5 4 2 2 2" xfId="10002" xr:uid="{9D8E7C4B-9FC7-4BBF-9D00-F85FB3BB9936}"/>
    <cellStyle name="Salida 2 5 4 2 3" xfId="6859" xr:uid="{720EEFC6-4C0B-4E47-B586-238BA79DC1A5}"/>
    <cellStyle name="Salida 2 5 4 2 3 2" xfId="12465" xr:uid="{06B6E020-8015-4AD2-A475-80AF3F8FC68C}"/>
    <cellStyle name="Salida 2 5 4 2 4" xfId="7537" xr:uid="{B1702146-331C-41D3-A31C-E7F7D3171CD1}"/>
    <cellStyle name="Salida 2 5 4 2 4 2" xfId="13109" xr:uid="{2C5B5640-E825-4879-B07D-45E87AFDE452}"/>
    <cellStyle name="Salida 2 5 4 2 5" xfId="8030" xr:uid="{79510CAD-BD60-4B8C-954E-202431A63D31}"/>
    <cellStyle name="Salida 2 5 4 2 5 2" xfId="13602" xr:uid="{4F1619C8-D2FF-457F-82DE-29584BDDFB9E}"/>
    <cellStyle name="Salida 2 5 4 2 6" xfId="9282" xr:uid="{73CAEA22-A6D2-4951-93DD-0A6EB9089414}"/>
    <cellStyle name="Salida 2 5 4 3" xfId="3408" xr:uid="{DDE97B54-0464-4411-A394-58EB431E5F53}"/>
    <cellStyle name="Salida 2 5 4 3 2" xfId="9642" xr:uid="{F0FC4E2E-E4CB-4DBC-AC59-34328FBE0A4C}"/>
    <cellStyle name="Salida 2 5 4 4" xfId="4575" xr:uid="{BDDF3934-EC89-45A4-B079-EC10555DBFC1}"/>
    <cellStyle name="Salida 2 5 4 4 2" xfId="10439" xr:uid="{77BBC310-D59C-410C-8F54-487326B59BC8}"/>
    <cellStyle name="Salida 2 5 4 5" xfId="4820" xr:uid="{E32B6C53-3E95-425A-AB81-2EE370D52C4F}"/>
    <cellStyle name="Salida 2 5 4 5 2" xfId="10666" xr:uid="{B23D0797-9999-4935-AE80-2A4B8BFFB00E}"/>
    <cellStyle name="Salida 2 5 4 6" xfId="4805" xr:uid="{CEE3472A-4EC7-4417-A6A4-E9F2BBBAA2FE}"/>
    <cellStyle name="Salida 2 5 4 6 2" xfId="10651" xr:uid="{E40A2130-2E08-4914-83D8-BA685F3786E3}"/>
    <cellStyle name="Salida 2 5 4 7" xfId="5706" xr:uid="{61261462-6967-4575-B64D-6C3F2D8BAB99}"/>
    <cellStyle name="Salida 2 5 4 7 2" xfId="11434" xr:uid="{1684B6E5-4622-464C-83A7-95297697D575}"/>
    <cellStyle name="Salida 2 5 4 8" xfId="6034" xr:uid="{E3DEBB6A-2109-46A9-ADA0-1E9982D06CEC}"/>
    <cellStyle name="Salida 2 5 4 8 2" xfId="11746" xr:uid="{D707F4A4-CEF3-4B05-BB74-1E8D5AD08032}"/>
    <cellStyle name="Salida 2 5 4 9" xfId="5351" xr:uid="{169D08B3-0B1E-4630-A8B0-124601014769}"/>
    <cellStyle name="Salida 2 5 4 9 2" xfId="11183" xr:uid="{69AAD7FB-F360-4004-B7A4-E389FF3DFFC8}"/>
    <cellStyle name="Salida 2 5 5" xfId="2672" xr:uid="{7B5B53C7-2346-4367-8014-245CA0DDB384}"/>
    <cellStyle name="Salida 2 5 5 2" xfId="3136" xr:uid="{520C28C2-BB97-4116-9748-B1E3CDA9A322}"/>
    <cellStyle name="Salida 2 5 5 2 2" xfId="4094" xr:uid="{313D2A7A-BCBC-4005-A321-A240B820C959}"/>
    <cellStyle name="Salida 2 5 5 2 2 2" xfId="10190" xr:uid="{E5299CE3-8406-46B1-99D7-D3B185B74D99}"/>
    <cellStyle name="Salida 2 5 5 2 3" xfId="7065" xr:uid="{BDE087B4-F421-4D51-8173-D710A03A5B1F}"/>
    <cellStyle name="Salida 2 5 5 2 3 2" xfId="12653" xr:uid="{7EAC21A6-AE81-4635-A14A-5E88868C1FDE}"/>
    <cellStyle name="Salida 2 5 5 2 4" xfId="7726" xr:uid="{64FD966A-C166-45C9-99F3-C8A2BCD8F496}"/>
    <cellStyle name="Salida 2 5 5 2 4 2" xfId="13298" xr:uid="{A237D611-CC1D-4225-AB67-CA6AA80CA1FB}"/>
    <cellStyle name="Salida 2 5 5 2 5" xfId="8218" xr:uid="{4545D1F0-0F79-462E-BB0D-9A8F3D3902F4}"/>
    <cellStyle name="Salida 2 5 5 2 5 2" xfId="13790" xr:uid="{037C8FEF-8BED-4BE7-83F2-837E0DC557E6}"/>
    <cellStyle name="Salida 2 5 5 2 6" xfId="9470" xr:uid="{51C46097-A546-48D2-A9F4-69DF266E0B57}"/>
    <cellStyle name="Salida 2 5 5 3" xfId="3614" xr:uid="{209C6DE8-C846-4B97-9228-293831F60DF4}"/>
    <cellStyle name="Salida 2 5 5 3 2" xfId="9830" xr:uid="{B9A845AC-BD10-4AB6-829C-FC0365812A4D}"/>
    <cellStyle name="Salida 2 5 5 4" xfId="6051" xr:uid="{F3411ECA-7772-4322-BF88-F816F125BFB0}"/>
    <cellStyle name="Salida 2 5 5 4 2" xfId="11763" xr:uid="{D4369715-98A6-4A28-845B-C5AC9A00A9AC}"/>
    <cellStyle name="Salida 2 5 5 5" xfId="6569" xr:uid="{52F0F139-6105-496A-93F1-801F1B151D1A}"/>
    <cellStyle name="Salida 2 5 5 5 2" xfId="12273" xr:uid="{EF916161-38EB-44D3-ACC0-1CDAAE450EF1}"/>
    <cellStyle name="Salida 2 5 5 6" xfId="7323" xr:uid="{EBC2D954-D0C9-4B87-945F-1A9A25239E10}"/>
    <cellStyle name="Salida 2 5 5 6 2" xfId="12895" xr:uid="{77E4950A-0C13-4D96-A543-31CAAABE3FE2}"/>
    <cellStyle name="Salida 2 5 5 7" xfId="7858" xr:uid="{15282230-D982-42FC-8B95-374D7E4D0F41}"/>
    <cellStyle name="Salida 2 5 5 7 2" xfId="13430" xr:uid="{E0017939-FD95-4DEF-BFE9-D0932BA85E10}"/>
    <cellStyle name="Salida 2 5 5 8" xfId="9110" xr:uid="{0350FB32-D8E1-4A9B-9FF1-10B4155A111D}"/>
    <cellStyle name="Salida 2 5 6" xfId="2764" xr:uid="{D54252EF-3A99-4A8C-B2C7-0C03260993E2}"/>
    <cellStyle name="Salida 2 5 6 2" xfId="3196" xr:uid="{8388EA3C-A3B1-4069-880C-F1903B4BC1B9}"/>
    <cellStyle name="Salida 2 5 6 2 2" xfId="4154" xr:uid="{01E5F457-2127-4281-BB23-15990B40CAA8}"/>
    <cellStyle name="Salida 2 5 6 2 2 2" xfId="10250" xr:uid="{B41F910C-90AF-4BEC-9F1A-D77BB154AF1B}"/>
    <cellStyle name="Salida 2 5 6 2 3" xfId="7125" xr:uid="{2EE133A2-EED9-42BD-BD9C-4851DF57C151}"/>
    <cellStyle name="Salida 2 5 6 2 3 2" xfId="12713" xr:uid="{4195E12A-0376-49A6-89C3-74B1C2F1DACA}"/>
    <cellStyle name="Salida 2 5 6 2 4" xfId="7786" xr:uid="{1AAA17A8-7D6D-4010-AF75-2FD5DF3AE05B}"/>
    <cellStyle name="Salida 2 5 6 2 4 2" xfId="13358" xr:uid="{4A4ADF84-D204-4EF9-A467-1A8260617C08}"/>
    <cellStyle name="Salida 2 5 6 2 5" xfId="8278" xr:uid="{AA8BA3F7-55AD-4466-B1F9-CDCB4E461333}"/>
    <cellStyle name="Salida 2 5 6 2 5 2" xfId="13850" xr:uid="{10F033F0-57B0-4A08-A9E4-8BE8FC1BCC98}"/>
    <cellStyle name="Salida 2 5 6 2 6" xfId="9530" xr:uid="{9C081FB1-A8A6-488F-AC26-F77310CA71BA}"/>
    <cellStyle name="Salida 2 5 6 3" xfId="3674" xr:uid="{13ABC765-AC78-4495-A203-F0C79A319986}"/>
    <cellStyle name="Salida 2 5 6 3 2" xfId="9890" xr:uid="{A08B3187-69D7-4B0D-97BA-023FDDA3D723}"/>
    <cellStyle name="Salida 2 5 6 4" xfId="6131" xr:uid="{60A4801D-5AD8-4FF6-AB85-2F2841446C4B}"/>
    <cellStyle name="Salida 2 5 6 4 2" xfId="11843" xr:uid="{8562FFC0-E90B-4DD2-BDA8-FACD6441EC51}"/>
    <cellStyle name="Salida 2 5 6 5" xfId="6641" xr:uid="{B9E4B129-F216-46BB-BE3E-3B904E185BF4}"/>
    <cellStyle name="Salida 2 5 6 5 2" xfId="12345" xr:uid="{1FF8D5A8-200F-404F-908A-096B6AED910D}"/>
    <cellStyle name="Salida 2 5 6 6" xfId="7385" xr:uid="{9B9A28A8-FC73-4FE5-B889-B284B41D2008}"/>
    <cellStyle name="Salida 2 5 6 6 2" xfId="12957" xr:uid="{1B5A7A79-B783-4EFB-B28C-7C98B0745FEE}"/>
    <cellStyle name="Salida 2 5 6 7" xfId="7918" xr:uid="{B19184FD-0FFC-4388-B7C1-B3E55B6F441E}"/>
    <cellStyle name="Salida 2 5 6 7 2" xfId="13490" xr:uid="{58A4AACB-2F39-48C5-A282-B475E99EB130}"/>
    <cellStyle name="Salida 2 5 6 8" xfId="9170" xr:uid="{9685A64B-BE60-4766-BB1B-CBEDA9DE9E4E}"/>
    <cellStyle name="Salida 2 5 7" xfId="2864" xr:uid="{8749B1A9-BF9D-4F72-990D-E11C11DA3352}"/>
    <cellStyle name="Salida 2 5 7 2" xfId="3788" xr:uid="{642B1310-9501-4A38-AFAB-AE245FA4043E}"/>
    <cellStyle name="Salida 2 5 7 2 2" xfId="9950" xr:uid="{D5921DD1-9C47-4A8A-8522-6D8E002B7C9F}"/>
    <cellStyle name="Salida 2 5 7 3" xfId="6759" xr:uid="{714B6483-5196-413B-9E3A-B37550751A81}"/>
    <cellStyle name="Salida 2 5 7 3 2" xfId="12413" xr:uid="{C6743FCE-B48F-42B7-96F6-D2507CB345D2}"/>
    <cellStyle name="Salida 2 5 7 4" xfId="7469" xr:uid="{A1DE71D4-258F-4469-BAFE-F44E7001A6CC}"/>
    <cellStyle name="Salida 2 5 7 4 2" xfId="13041" xr:uid="{7CAC1A4C-FFFC-4B88-B64E-D169D6FB7E47}"/>
    <cellStyle name="Salida 2 5 7 5" xfId="7978" xr:uid="{1C723C0A-F6BC-4EBC-B3DF-9CFDF3D1B9C2}"/>
    <cellStyle name="Salida 2 5 7 5 2" xfId="13550" xr:uid="{0BACA55E-0C92-4C09-B36D-FC9A8D55F0AF}"/>
    <cellStyle name="Salida 2 5 7 6" xfId="9230" xr:uid="{9400CE17-EFA0-4945-B2B6-E04340AA791C}"/>
    <cellStyle name="Salida 2 5 8" xfId="3308" xr:uid="{46CD2032-38FA-442F-B429-E89B357A319B}"/>
    <cellStyle name="Salida 2 5 8 2" xfId="9590" xr:uid="{26AD023F-1142-4AD6-8196-7DB53411F1AC}"/>
    <cellStyle name="Salida 2 5 9" xfId="4475" xr:uid="{1DE77AC9-08D2-43CE-AC08-8769FDF8CBF9}"/>
    <cellStyle name="Salida 2 5 9 2" xfId="10387" xr:uid="{15BE1342-8EC7-44C3-9D7B-AB2EB511F7E0}"/>
    <cellStyle name="Salida 2 6" xfId="1517" xr:uid="{2985C02A-F9A1-4990-B062-DF7DEB8D699A}"/>
    <cellStyle name="Salida 2 6 10" xfId="4795" xr:uid="{E4E5AAF8-69C2-4CD2-9784-923C0C224C80}"/>
    <cellStyle name="Salida 2 6 10 2" xfId="10641" xr:uid="{F3C3CBB8-531D-4208-9B25-74F221BA334A}"/>
    <cellStyle name="Salida 2 6 11" xfId="4706" xr:uid="{E306BD4A-A86D-41B8-B889-2355793810D0}"/>
    <cellStyle name="Salida 2 6 11 2" xfId="10570" xr:uid="{929ED7E9-5221-41A6-9606-8204E16E355B}"/>
    <cellStyle name="Salida 2 6 12" xfId="5468" xr:uid="{6E1BFAFB-CD5A-4626-85D6-2681C8E1C7E7}"/>
    <cellStyle name="Salida 2 6 12 2" xfId="11250" xr:uid="{1427447C-A429-4F77-A7FB-9389962D5834}"/>
    <cellStyle name="Salida 2 6 13" xfId="5634" xr:uid="{CB5C1A9B-4F73-49D6-BB4E-39169FD5CF58}"/>
    <cellStyle name="Salida 2 6 13 2" xfId="11362" xr:uid="{7F0DCE0C-0B49-448A-A17D-058E82A1A48C}"/>
    <cellStyle name="Salida 2 6 14" xfId="5673" xr:uid="{4BC5EA79-D679-464E-B42A-38F0EB8BB490}"/>
    <cellStyle name="Salida 2 6 14 2" xfId="11401" xr:uid="{86FADA77-E73D-489C-AAE2-6DE3C756417C}"/>
    <cellStyle name="Salida 2 6 15" xfId="6096" xr:uid="{E1992A04-87D1-4AAE-9599-C330A9CE00B3}"/>
    <cellStyle name="Salida 2 6 15 2" xfId="11808" xr:uid="{A0485BB2-4B27-4712-A8C9-764183E17709}"/>
    <cellStyle name="Salida 2 6 16" xfId="5644" xr:uid="{002FB89D-DA04-4444-B8FF-3DE1958D8ECF}"/>
    <cellStyle name="Salida 2 6 16 2" xfId="11372" xr:uid="{51385A59-B3C5-4E0E-A72C-CB67FDF379DC}"/>
    <cellStyle name="Salida 2 6 17" xfId="6624" xr:uid="{74ED201A-BD8F-40A9-815B-F863062DCAE3}"/>
    <cellStyle name="Salida 2 6 17 2" xfId="12328" xr:uid="{38EEEB11-C4E9-4074-A22A-CA1EFCB62CBF}"/>
    <cellStyle name="Salida 2 6 18" xfId="5876" xr:uid="{4B584F82-EF8E-40A9-99AF-9EA5C49A7605}"/>
    <cellStyle name="Salida 2 6 18 2" xfId="11604" xr:uid="{68B24959-6411-407B-903E-3C85D26D9157}"/>
    <cellStyle name="Salida 2 6 19" xfId="8472" xr:uid="{11A19B07-545D-4660-9B94-C5CA4ED54E1E}"/>
    <cellStyle name="Salida 2 6 19 2" xfId="13952" xr:uid="{3C5C694E-DC21-4E1E-B758-2C53EFC32408}"/>
    <cellStyle name="Salida 2 6 2" xfId="2452" xr:uid="{3DB57074-8A49-4DC1-9B8C-8E4BA79FC1E6}"/>
    <cellStyle name="Salida 2 6 2 10" xfId="5175" xr:uid="{2508E351-6024-4339-84D2-3F15494C5464}"/>
    <cellStyle name="Salida 2 6 2 10 2" xfId="11021" xr:uid="{38EE92A7-BA63-4966-8702-D5C36BF5F792}"/>
    <cellStyle name="Salida 2 6 2 11" xfId="6009" xr:uid="{35CA54E2-3C9A-4212-A664-969DB0B29682}"/>
    <cellStyle name="Salida 2 6 2 11 2" xfId="11721" xr:uid="{E81BE66D-BDC9-4FA5-A4E4-ED94D861B7FF}"/>
    <cellStyle name="Salida 2 6 2 12" xfId="8666" xr:uid="{253C9CAC-D142-464A-98CA-580ABF9DA81A}"/>
    <cellStyle name="Salida 2 6 2 12 2" xfId="14054" xr:uid="{446D8F02-40BA-41F6-9D3D-31FDA80781EC}"/>
    <cellStyle name="Salida 2 6 2 13" xfId="9014" xr:uid="{E3445C5A-D1AF-4428-9F78-2EA7CE9ECFE2}"/>
    <cellStyle name="Salida 2 6 2 2" xfId="3040" xr:uid="{B0CB1105-35AA-4C65-B103-9F353435B95B}"/>
    <cellStyle name="Salida 2 6 2 2 2" xfId="3980" xr:uid="{7241A699-1FF7-41DD-9E49-6F39D891E477}"/>
    <cellStyle name="Salida 2 6 2 2 2 2" xfId="10094" xr:uid="{838A5CD8-1600-4252-9B21-B0A3A3988564}"/>
    <cellStyle name="Salida 2 6 2 2 3" xfId="6951" xr:uid="{591A688B-DC68-413D-9544-485686F110EC}"/>
    <cellStyle name="Salida 2 6 2 2 3 2" xfId="12557" xr:uid="{DCDBE1F9-A724-4DB9-B539-9B3642C7D098}"/>
    <cellStyle name="Salida 2 6 2 2 4" xfId="7629" xr:uid="{0DC82889-F222-46F4-9835-9588B77E3A25}"/>
    <cellStyle name="Salida 2 6 2 2 4 2" xfId="13201" xr:uid="{DFBE6C44-850B-400C-AA6B-A8886C7BDDDB}"/>
    <cellStyle name="Salida 2 6 2 2 5" xfId="8122" xr:uid="{3233E28F-341D-4F9B-974F-FCA0C6F3CF04}"/>
    <cellStyle name="Salida 2 6 2 2 5 2" xfId="13694" xr:uid="{2CC68F81-3DB6-4266-A24C-D4AED7539A79}"/>
    <cellStyle name="Salida 2 6 2 2 6" xfId="9374" xr:uid="{B64EFA5E-65EE-4F7F-9B98-FEB0AD6E7992}"/>
    <cellStyle name="Salida 2 6 2 3" xfId="3500" xr:uid="{D770BD97-A2B2-471B-AA34-289EEE01D32D}"/>
    <cellStyle name="Salida 2 6 2 3 2" xfId="9734" xr:uid="{A0C40BA5-1297-4CF2-B903-2E5CE6B6D670}"/>
    <cellStyle name="Salida 2 6 2 4" xfId="4693" xr:uid="{D0643FC8-4F49-49F9-9E26-A0A517CB051F}"/>
    <cellStyle name="Salida 2 6 2 4 2" xfId="10557" xr:uid="{E9545F08-FB87-4764-A045-BB7F053F0A19}"/>
    <cellStyle name="Salida 2 6 2 5" xfId="4932" xr:uid="{7518ED8B-E181-4368-8507-15CF9635BD04}"/>
    <cellStyle name="Salida 2 6 2 5 2" xfId="10778" xr:uid="{2F354C90-C9B8-4F51-B754-8682E1E781E5}"/>
    <cellStyle name="Salida 2 6 2 6" xfId="5088" xr:uid="{7234ECC2-49D9-4855-9CE1-7ACFE1DA51E4}"/>
    <cellStyle name="Salida 2 6 2 6 2" xfId="10934" xr:uid="{03775216-F856-417F-AC3D-4BC97E8DAEF3}"/>
    <cellStyle name="Salida 2 6 2 7" xfId="5858" xr:uid="{B9F80F44-6234-4E79-8195-A6018073CE8A}"/>
    <cellStyle name="Salida 2 6 2 7 2" xfId="11586" xr:uid="{668947FB-3262-46CE-B2BB-C0DA0535C5A8}"/>
    <cellStyle name="Salida 2 6 2 8" xfId="6187" xr:uid="{76953CCE-F47D-4345-AD3E-1664398B4F19}"/>
    <cellStyle name="Salida 2 6 2 8 2" xfId="11891" xr:uid="{668C6BB6-2197-4EA2-AE83-D5B516D5F8AC}"/>
    <cellStyle name="Salida 2 6 2 9" xfId="6395" xr:uid="{14946C67-19FC-4BD2-B3BE-04BADF26DA69}"/>
    <cellStyle name="Salida 2 6 2 9 2" xfId="12099" xr:uid="{FC15D640-70BC-42BB-BFB9-DC46B475D401}"/>
    <cellStyle name="Salida 2 6 20" xfId="8912" xr:uid="{7E3B268B-090A-4EEE-9CA3-5535EAA771DC}"/>
    <cellStyle name="Salida 2 6 21" xfId="2258" xr:uid="{E7803CC6-8777-448C-AC4A-1D24A33C469B}"/>
    <cellStyle name="Salida 2 6 3" xfId="2558" xr:uid="{39E8E55B-671D-4BB3-8D9E-EFB5F8EB3CF1}"/>
    <cellStyle name="Salida 2 6 3 10" xfId="7250" xr:uid="{D6992A68-2E8B-4429-9A27-FA516D55E27A}"/>
    <cellStyle name="Salida 2 6 3 10 2" xfId="12822" xr:uid="{BC26B92E-D2CF-4508-B350-7309C8821300}"/>
    <cellStyle name="Salida 2 6 3 11" xfId="7437" xr:uid="{D4E1CAC2-6762-47F2-8500-3D1732BD6BDA}"/>
    <cellStyle name="Salida 2 6 3 11 2" xfId="13009" xr:uid="{91A5BD6C-6870-4F7C-ADB3-B352FCB94D70}"/>
    <cellStyle name="Salida 2 6 3 12" xfId="8772" xr:uid="{F0EFEE49-6524-492F-8E21-2DD61C619A7D}"/>
    <cellStyle name="Salida 2 6 3 12 2" xfId="14128" xr:uid="{3E432D7A-01C7-4829-BD82-8F53420B14A0}"/>
    <cellStyle name="Salida 2 6 3 13" xfId="9088" xr:uid="{84CDBD33-ED94-4007-853D-7C2BF4B70268}"/>
    <cellStyle name="Salida 2 6 3 2" xfId="3114" xr:uid="{E2904631-E9D4-47F2-90A9-AA0C03E5D81B}"/>
    <cellStyle name="Salida 2 6 3 2 2" xfId="4054" xr:uid="{8A206320-FAA9-4BE0-BB6D-A161E84EE65E}"/>
    <cellStyle name="Salida 2 6 3 2 2 2" xfId="10168" xr:uid="{4D3F7276-4080-462B-98E3-A2624522970C}"/>
    <cellStyle name="Salida 2 6 3 2 3" xfId="7025" xr:uid="{7B2533CB-8252-4C9E-A7E0-6021312E8028}"/>
    <cellStyle name="Salida 2 6 3 2 3 2" xfId="12631" xr:uid="{04E54BAE-52C0-4754-9441-A0ECD22E1544}"/>
    <cellStyle name="Salida 2 6 3 2 4" xfId="7703" xr:uid="{FAB33698-56E6-4849-8B18-895726B04C02}"/>
    <cellStyle name="Salida 2 6 3 2 4 2" xfId="13275" xr:uid="{8A455B00-CACB-4F90-96D1-4B21408AB7EF}"/>
    <cellStyle name="Salida 2 6 3 2 5" xfId="8196" xr:uid="{BD01E6F9-D4E7-43A6-81E4-0EA3B7B8B797}"/>
    <cellStyle name="Salida 2 6 3 2 5 2" xfId="13768" xr:uid="{B745B984-3BF5-40CC-851A-24E40C5252F2}"/>
    <cellStyle name="Salida 2 6 3 2 6" xfId="9448" xr:uid="{0B2F42DE-0F18-4E9F-B6F9-FCC53DF63FC0}"/>
    <cellStyle name="Salida 2 6 3 3" xfId="3574" xr:uid="{6AAA558D-175A-4B51-8B08-A75C263A39E3}"/>
    <cellStyle name="Salida 2 6 3 3 2" xfId="9808" xr:uid="{9AEFB5D7-1627-4135-87DC-D2955827F041}"/>
    <cellStyle name="Salida 2 6 3 4" xfId="4771" xr:uid="{0909ED0C-A7F8-4C44-A7E1-B2B879261BA5}"/>
    <cellStyle name="Salida 2 6 3 4 2" xfId="10635" xr:uid="{35B31BB8-54C9-4F68-9218-6814A64A65CD}"/>
    <cellStyle name="Salida 2 6 3 5" xfId="5014" xr:uid="{F3AC4AE9-19DB-4D2E-8A6A-372AC20512D7}"/>
    <cellStyle name="Salida 2 6 3 5 2" xfId="10860" xr:uid="{64162982-9A3A-4320-A980-530BEB8CDE65}"/>
    <cellStyle name="Salida 2 6 3 6" xfId="5162" xr:uid="{80975144-4347-47F1-AB91-AFB1ECCFEE13}"/>
    <cellStyle name="Salida 2 6 3 6 2" xfId="11008" xr:uid="{689448A9-DAA2-4E95-8FBC-1A6821819E5B}"/>
    <cellStyle name="Salida 2 6 3 7" xfId="5953" xr:uid="{164C7224-7CB5-4A76-9322-A39E380F452E}"/>
    <cellStyle name="Salida 2 6 3 7 2" xfId="11681" xr:uid="{2A568887-CD15-45BA-8512-B320CA2A0D6E}"/>
    <cellStyle name="Salida 2 6 3 8" xfId="6283" xr:uid="{B6E52339-136F-4CAB-8893-DAC9D7D4A94A}"/>
    <cellStyle name="Salida 2 6 3 8 2" xfId="11987" xr:uid="{36C3A424-4DF4-46DB-A71A-304613F2CEFF}"/>
    <cellStyle name="Salida 2 6 3 9" xfId="6485" xr:uid="{B83E3A8D-6E53-4E6C-9140-16E9E9294C0B}"/>
    <cellStyle name="Salida 2 6 3 9 2" xfId="12189" xr:uid="{C7EA057A-FD29-4B9A-95A7-45D5006D0256}"/>
    <cellStyle name="Salida 2 6 4" xfId="2274" xr:uid="{600F99F0-077E-4832-BA8E-994A6BC13E7D}"/>
    <cellStyle name="Salida 2 6 4 10" xfId="5357" xr:uid="{E50A574F-C66B-4DB1-BC31-0D6748B15D65}"/>
    <cellStyle name="Salida 2 6 4 10 2" xfId="11189" xr:uid="{01A48707-3C3E-42CA-AB8A-5BBFA2D553CC}"/>
    <cellStyle name="Salida 2 6 4 11" xfId="7833" xr:uid="{B6AD7F11-B737-463B-8942-76713550052A}"/>
    <cellStyle name="Salida 2 6 4 11 2" xfId="13405" xr:uid="{A336BDB2-6417-428A-90C9-4AD510A99EA1}"/>
    <cellStyle name="Salida 2 6 4 12" xfId="8488" xr:uid="{D57F522B-38AF-4B97-962D-97CDC6BC6A2D}"/>
    <cellStyle name="Salida 2 6 4 12 2" xfId="13968" xr:uid="{0494A75E-336B-4C2C-B68C-8A83FCB41682}"/>
    <cellStyle name="Salida 2 6 4 13" xfId="8928" xr:uid="{BBB68D99-60D8-49B1-91A8-E903AF44BD3C}"/>
    <cellStyle name="Salida 2 6 4 2" xfId="2954" xr:uid="{27FAF099-C3FB-48C9-986E-2ED9E5AF6407}"/>
    <cellStyle name="Salida 2 6 4 2 2" xfId="3894" xr:uid="{6D29E54A-E171-4E37-8E1D-EBBD185C8929}"/>
    <cellStyle name="Salida 2 6 4 2 2 2" xfId="10008" xr:uid="{7649F042-E24C-4161-956B-F8E20D70EFC9}"/>
    <cellStyle name="Salida 2 6 4 2 3" xfId="6865" xr:uid="{1CFCA35B-A56F-4949-AA33-3E2193C3DB20}"/>
    <cellStyle name="Salida 2 6 4 2 3 2" xfId="12471" xr:uid="{4B430637-58FC-41AD-BD16-096EF2A5AEC1}"/>
    <cellStyle name="Salida 2 6 4 2 4" xfId="7543" xr:uid="{92B9C061-331A-4EC4-8BD3-9FD04227275C}"/>
    <cellStyle name="Salida 2 6 4 2 4 2" xfId="13115" xr:uid="{41D4609A-9710-423E-97FC-7929DAEB0558}"/>
    <cellStyle name="Salida 2 6 4 2 5" xfId="8036" xr:uid="{89A1E158-361F-4F65-8078-2A8BFF84E0B3}"/>
    <cellStyle name="Salida 2 6 4 2 5 2" xfId="13608" xr:uid="{C5F01F5E-BED2-4B11-9E8B-3729FC9DEEDA}"/>
    <cellStyle name="Salida 2 6 4 2 6" xfId="9288" xr:uid="{06DBE1AE-AD4F-4419-B396-D0E407F3F09A}"/>
    <cellStyle name="Salida 2 6 4 3" xfId="3414" xr:uid="{54E98AE8-8035-4586-9488-A0B75484489B}"/>
    <cellStyle name="Salida 2 6 4 3 2" xfId="9648" xr:uid="{DB67DFEF-64FD-4CF3-8FDB-82513F805AEF}"/>
    <cellStyle name="Salida 2 6 4 4" xfId="4581" xr:uid="{CB5A29C0-AEBF-4C31-9367-D8AE276535AD}"/>
    <cellStyle name="Salida 2 6 4 4 2" xfId="10445" xr:uid="{AEFE25FD-181E-4464-9632-32665CA2497C}"/>
    <cellStyle name="Salida 2 6 4 5" xfId="4826" xr:uid="{8B20E7F3-344D-4F28-B407-E0BD0A809DC4}"/>
    <cellStyle name="Salida 2 6 4 5 2" xfId="10672" xr:uid="{1FC75C66-985F-455C-8BA0-B04DB72DF4AE}"/>
    <cellStyle name="Salida 2 6 4 6" xfId="4858" xr:uid="{E0A41564-3889-40E1-B094-A7774B0DC775}"/>
    <cellStyle name="Salida 2 6 4 6 2" xfId="10704" xr:uid="{47B8EEA1-C4AD-43BE-B0FF-E127E0C7F9EB}"/>
    <cellStyle name="Salida 2 6 4 7" xfId="5712" xr:uid="{F729746F-2BC7-464B-9016-C8F1477A6612}"/>
    <cellStyle name="Salida 2 6 4 7 2" xfId="11440" xr:uid="{D8E38C3D-62AB-4633-8AEA-88E8DBC4E0FB}"/>
    <cellStyle name="Salida 2 6 4 8" xfId="6031" xr:uid="{D7614E7A-B7DC-40BA-B451-2FC4BC126BA6}"/>
    <cellStyle name="Salida 2 6 4 8 2" xfId="11743" xr:uid="{F3B46EB3-0835-492C-BED9-3D3E3565A050}"/>
    <cellStyle name="Salida 2 6 4 9" xfId="5766" xr:uid="{8D3F00FC-FE4E-4594-AB16-DADBA3E82E12}"/>
    <cellStyle name="Salida 2 6 4 9 2" xfId="11494" xr:uid="{B2477E2B-F1EA-4D14-AFAA-4229D8237956}"/>
    <cellStyle name="Salida 2 6 5" xfId="2714" xr:uid="{E95EC1D9-5056-408E-A9CD-13A2C7D35E55}"/>
    <cellStyle name="Salida 2 6 5 2" xfId="3178" xr:uid="{0563FDCA-24BA-4325-B0A8-CE01FA90C70C}"/>
    <cellStyle name="Salida 2 6 5 2 2" xfId="4136" xr:uid="{B920DDC0-6398-494E-8744-15C803E12F04}"/>
    <cellStyle name="Salida 2 6 5 2 2 2" xfId="10232" xr:uid="{27B1F9E6-DF05-4D35-B571-EE7308CF1A66}"/>
    <cellStyle name="Salida 2 6 5 2 3" xfId="7107" xr:uid="{DF7A63A1-A0F7-4B65-8488-DA18BD7EFB8B}"/>
    <cellStyle name="Salida 2 6 5 2 3 2" xfId="12695" xr:uid="{95DC8860-29E4-4C13-A488-157423A1F9C9}"/>
    <cellStyle name="Salida 2 6 5 2 4" xfId="7768" xr:uid="{1B8E5FBB-2610-4EB7-A7E6-8AFCAD61F759}"/>
    <cellStyle name="Salida 2 6 5 2 4 2" xfId="13340" xr:uid="{E2A1CC43-4F08-4E96-A5C5-167CD44205C8}"/>
    <cellStyle name="Salida 2 6 5 2 5" xfId="8260" xr:uid="{8B66F500-3AF6-42E2-BC7D-1B057B6F34E1}"/>
    <cellStyle name="Salida 2 6 5 2 5 2" xfId="13832" xr:uid="{98E69B17-6701-480E-AB61-9187E4B9D662}"/>
    <cellStyle name="Salida 2 6 5 2 6" xfId="9512" xr:uid="{742E83AC-DCD3-4A3F-A9E6-C9D00837FA1A}"/>
    <cellStyle name="Salida 2 6 5 3" xfId="3656" xr:uid="{2291DD67-28EF-4033-8984-F39868CFD80C}"/>
    <cellStyle name="Salida 2 6 5 3 2" xfId="9872" xr:uid="{841539A4-121E-4C9F-B06D-9FF3E1CB8539}"/>
    <cellStyle name="Salida 2 6 5 4" xfId="6093" xr:uid="{86C7372D-BA81-44B5-907C-B2B324DFFF0D}"/>
    <cellStyle name="Salida 2 6 5 4 2" xfId="11805" xr:uid="{B840CF80-B6AA-47AB-81D9-5945EA1CC3E9}"/>
    <cellStyle name="Salida 2 6 5 5" xfId="6611" xr:uid="{A644E1F9-B3C3-4383-A23C-758CAD7B3098}"/>
    <cellStyle name="Salida 2 6 5 5 2" xfId="12315" xr:uid="{713DF74F-7061-4CAE-BDC2-3842DC523F6E}"/>
    <cellStyle name="Salida 2 6 5 6" xfId="7365" xr:uid="{CA3BB848-B029-424F-9BED-A6CF34131920}"/>
    <cellStyle name="Salida 2 6 5 6 2" xfId="12937" xr:uid="{EFD41CB9-D413-4402-A680-EEF34A35B2BE}"/>
    <cellStyle name="Salida 2 6 5 7" xfId="7900" xr:uid="{7BE81045-1C23-46B7-B627-5D7B4A16C5D9}"/>
    <cellStyle name="Salida 2 6 5 7 2" xfId="13472" xr:uid="{3CB748A6-E948-49FD-87BE-0F9DF95CBE54}"/>
    <cellStyle name="Salida 2 6 5 8" xfId="9152" xr:uid="{175DECB0-15EF-4CC5-BF43-187FDDBFDF94}"/>
    <cellStyle name="Salida 2 6 6" xfId="2806" xr:uid="{BABFAC4E-2839-4165-B648-F68112B29A1D}"/>
    <cellStyle name="Salida 2 6 6 2" xfId="3238" xr:uid="{1B7C31D0-7334-4340-AE0A-1A5AC581848D}"/>
    <cellStyle name="Salida 2 6 6 2 2" xfId="4196" xr:uid="{4B51C914-B462-40BE-8518-B58C9DD2C5B8}"/>
    <cellStyle name="Salida 2 6 6 2 2 2" xfId="10292" xr:uid="{AD043AF8-83FC-442C-BC7B-EF6F7090B820}"/>
    <cellStyle name="Salida 2 6 6 2 3" xfId="7167" xr:uid="{14B3D0F3-5FEC-4942-903C-471F3C1BAB3B}"/>
    <cellStyle name="Salida 2 6 6 2 3 2" xfId="12755" xr:uid="{FB44D73E-EDD7-4366-BBA9-9B50C6B538B8}"/>
    <cellStyle name="Salida 2 6 6 2 4" xfId="7828" xr:uid="{21AAA002-D6B5-4B86-A9DD-EF9978299935}"/>
    <cellStyle name="Salida 2 6 6 2 4 2" xfId="13400" xr:uid="{65B05002-3B7D-4C76-B26B-C244C574272E}"/>
    <cellStyle name="Salida 2 6 6 2 5" xfId="8320" xr:uid="{E076A73C-6343-450A-B54C-559C5496CA1B}"/>
    <cellStyle name="Salida 2 6 6 2 5 2" xfId="13892" xr:uid="{886A545E-FA26-409D-BE37-35305EE3ECD1}"/>
    <cellStyle name="Salida 2 6 6 2 6" xfId="9572" xr:uid="{DE4C721E-F82F-41FC-9CCB-8A729FBD44F4}"/>
    <cellStyle name="Salida 2 6 6 3" xfId="3716" xr:uid="{B7D3E7B3-15F5-4EF6-9124-BC39D6D4AA98}"/>
    <cellStyle name="Salida 2 6 6 3 2" xfId="9932" xr:uid="{E3D29199-3A2C-43A6-9ACE-1AC051F268BA}"/>
    <cellStyle name="Salida 2 6 6 4" xfId="6173" xr:uid="{8764415A-8AD2-4F0F-BCD8-9447C3FDF8EB}"/>
    <cellStyle name="Salida 2 6 6 4 2" xfId="11885" xr:uid="{E266F34E-31F7-455F-BE3E-DB9D6C7636E0}"/>
    <cellStyle name="Salida 2 6 6 5" xfId="6683" xr:uid="{3B65DEF0-3E7D-4A12-88F5-2063203A43D9}"/>
    <cellStyle name="Salida 2 6 6 5 2" xfId="12387" xr:uid="{1A4C28DA-F6FB-4735-939A-BA86940043F6}"/>
    <cellStyle name="Salida 2 6 6 6" xfId="7427" xr:uid="{9B8F7F8D-AF39-4633-8325-ACC1469A8A2F}"/>
    <cellStyle name="Salida 2 6 6 6 2" xfId="12999" xr:uid="{65C2F05E-2B2D-4035-B19F-3D7AFE42EF32}"/>
    <cellStyle name="Salida 2 6 6 7" xfId="7960" xr:uid="{2EE4DA2A-4053-46DE-901F-3924D562FC27}"/>
    <cellStyle name="Salida 2 6 6 7 2" xfId="13532" xr:uid="{405A0323-A7AE-4605-936E-EB3D2BB7A9F2}"/>
    <cellStyle name="Salida 2 6 6 8" xfId="9212" xr:uid="{6FD35EE2-E9B0-495A-B23A-1E8DAE8163FB}"/>
    <cellStyle name="Salida 2 6 7" xfId="2908" xr:uid="{57752776-63F0-4FC1-8D18-E3204691C961}"/>
    <cellStyle name="Salida 2 6 7 2" xfId="3846" xr:uid="{8EAEAD59-8C6D-41D8-A20A-E8172436691A}"/>
    <cellStyle name="Salida 2 6 7 2 2" xfId="9992" xr:uid="{5C83EDC1-3F1C-4551-AE47-7A53CA13CFF1}"/>
    <cellStyle name="Salida 2 6 7 3" xfId="6817" xr:uid="{32FBE9E4-7122-4688-AF6C-09694F3C0C66}"/>
    <cellStyle name="Salida 2 6 7 3 2" xfId="12455" xr:uid="{A12F2504-659A-4D56-98D5-36A2C9EC00D4}"/>
    <cellStyle name="Salida 2 6 7 4" xfId="7518" xr:uid="{20E8743F-5335-43C2-8F53-A0B28324DED9}"/>
    <cellStyle name="Salida 2 6 7 4 2" xfId="13090" xr:uid="{D4E17E54-CBE2-4123-890E-47E215F9347F}"/>
    <cellStyle name="Salida 2 6 7 5" xfId="8020" xr:uid="{25C14D90-E5E6-4C00-8EE9-D28598E6C522}"/>
    <cellStyle name="Salida 2 6 7 5 2" xfId="13592" xr:uid="{A6DDF2D8-06C7-4B9E-8405-CB330F8A360B}"/>
    <cellStyle name="Salida 2 6 7 6" xfId="9272" xr:uid="{CC95CEF9-7415-42C1-AB74-616152601B41}"/>
    <cellStyle name="Salida 2 6 8" xfId="3366" xr:uid="{EC45A583-4D3C-4F67-945E-6710BFD7206B}"/>
    <cellStyle name="Salida 2 6 8 2" xfId="9632" xr:uid="{6279FF2F-4A09-47FB-9281-403C8C556AB7}"/>
    <cellStyle name="Salida 2 6 9" xfId="4533" xr:uid="{C3B5A793-B8C6-4504-A78A-3A21DE2D206E}"/>
    <cellStyle name="Salida 2 6 9 2" xfId="10429" xr:uid="{D5879F0D-35F9-44CF-B16C-CB53C7BACB7E}"/>
    <cellStyle name="Salida 2 7" xfId="1512" xr:uid="{3A33943F-B4F9-42BD-B376-5C7FE0FB3581}"/>
    <cellStyle name="Salida 2 7 2" xfId="4266" xr:uid="{86270519-F046-4C04-90A5-5FDC73B6EDB6}"/>
    <cellStyle name="Salida 2 8" xfId="8827" xr:uid="{8D685CAC-D04E-4C3A-AE11-CAB354F670AA}"/>
    <cellStyle name="Salida 2 9" xfId="1661" xr:uid="{60E5C75C-FAE1-4B12-99DC-7F1F5D9F5248}"/>
    <cellStyle name="Salida 3" xfId="1979" xr:uid="{9DECD324-FE7C-476E-ADDC-DF55793FBBCC}"/>
    <cellStyle name="Salida 4" xfId="1893" xr:uid="{AFA5E31B-A73D-4E31-847C-57626502FE4F}"/>
    <cellStyle name="SAPBEXaggData" xfId="1894" xr:uid="{D9581917-A2E6-49E1-9852-5CB419E364B5}"/>
    <cellStyle name="SAPBEXaggData 2" xfId="1980" xr:uid="{004AD418-CEE2-45E9-B5EF-3556F84A194E}"/>
    <cellStyle name="SAPBEXaggItem" xfId="1895" xr:uid="{91285918-DB0B-45B8-8006-0A0DB67F0257}"/>
    <cellStyle name="SAPBEXaggItem 2" xfId="1981" xr:uid="{B69FC94B-5DAD-4B6F-937D-A3053396CE90}"/>
    <cellStyle name="SAPBEXchaText" xfId="1896" xr:uid="{D54CCDA4-C06E-45C3-AF2A-AF660468DB39}"/>
    <cellStyle name="SAPBEXstdData" xfId="1897" xr:uid="{5E201267-B893-444A-9A1D-967E55467C5E}"/>
    <cellStyle name="SAPBEXstdData 2" xfId="1982" xr:uid="{DE54D970-9651-4ECD-8ABB-5B1C1F70C2E6}"/>
    <cellStyle name="SAPBEXstdItem" xfId="1898" xr:uid="{83485B86-84E8-46B0-BF77-5A522FEC1E19}"/>
    <cellStyle name="SAPBEXstdItem 2" xfId="1983" xr:uid="{6045448B-C20D-47EE-97EA-1F851F098276}"/>
    <cellStyle name="SAPBEXstdItemX" xfId="1899" xr:uid="{85CD6760-E556-452C-8F0C-DD73BC36517E}"/>
    <cellStyle name="SAPBEXstdItemX 2" xfId="1984" xr:uid="{643597E6-773F-436C-AFFD-C03723ED213F}"/>
    <cellStyle name="Separador de milhares_ORC0996" xfId="1900" xr:uid="{8E9F36AF-5293-4A56-880D-CE65B3FC5B1F}"/>
    <cellStyle name="Std" xfId="1501" xr:uid="{F35A04B6-9F6C-4C01-A909-3256D85F026E}"/>
    <cellStyle name="Style 1" xfId="1630" xr:uid="{F12AB235-0361-460E-8578-95BF19D2BF11}"/>
    <cellStyle name="TableStyleLight1" xfId="1625" xr:uid="{655AB3C0-8241-4284-9B63-7212B0257003}"/>
    <cellStyle name="Texto de advertencia" xfId="19" builtinId="11" customBuiltin="1"/>
    <cellStyle name="Texto de advertencia 2" xfId="287" xr:uid="{D607B5E3-779F-4E4F-8E10-3CF690A68714}"/>
    <cellStyle name="Texto de advertencia 2 2" xfId="4267" xr:uid="{4E0E8C08-61F8-4170-BE3D-BB903F9BD440}"/>
    <cellStyle name="Texto de advertencia 3" xfId="4302" xr:uid="{AC2CFA2B-337D-4076-A171-D6011CEA33B9}"/>
    <cellStyle name="Texto explicativo" xfId="21" builtinId="53" customBuiltin="1"/>
    <cellStyle name="Texto explicativo 2" xfId="288" xr:uid="{76B95978-C1CF-4923-A455-7A6935A0E7D7}"/>
    <cellStyle name="Texto explicativo 2 2" xfId="4268" xr:uid="{4AD9748F-ED7A-4B72-81F5-A631E8649414}"/>
    <cellStyle name="Texto explicativo 3" xfId="1901" xr:uid="{072704A1-C0BE-45FA-BB2A-6DF2D9FD18DC}"/>
    <cellStyle name="Texto explicativo 3 2" xfId="4303" xr:uid="{54384086-A427-4E59-9311-095F1C1C15A6}"/>
    <cellStyle name="Title" xfId="425" xr:uid="{EC7FE2ED-5C7D-432F-810F-029D41ECE9D2}"/>
    <cellStyle name="Title 2" xfId="1502" xr:uid="{9C9E6923-F793-4C00-ACAB-F343800FF902}"/>
    <cellStyle name="Title 2 2" xfId="1601" xr:uid="{6722E9D4-630B-4716-B17D-F0E28AA54D51}"/>
    <cellStyle name="Título" xfId="6" builtinId="15" customBuiltin="1"/>
    <cellStyle name="Título 1 2" xfId="289" xr:uid="{AE887C16-C96B-475E-BBE9-6C530D923EB0}"/>
    <cellStyle name="Título 1 2 2" xfId="4269" xr:uid="{B68A8CD4-0B9F-4230-AADD-186A2A2C3AEE}"/>
    <cellStyle name="Título 1 3" xfId="1903" xr:uid="{8989D393-55B1-4E55-8D2D-7BFAAFB549CD}"/>
    <cellStyle name="Título 2" xfId="8" builtinId="17" customBuiltin="1"/>
    <cellStyle name="Título 2 2" xfId="290" xr:uid="{361A2507-BCA4-4BC3-9771-8F5521FFB5C7}"/>
    <cellStyle name="Título 2 2 2" xfId="4270" xr:uid="{876C6266-A7A8-42D2-9254-A3573A389368}"/>
    <cellStyle name="Título 2 3" xfId="1904" xr:uid="{7FF58142-CF1B-4716-B41C-806864CB4CE8}"/>
    <cellStyle name="Título 2 3 2" xfId="4305" xr:uid="{B693AC2D-2DE4-43F1-B452-CCE9171C3788}"/>
    <cellStyle name="Título 3" xfId="9" builtinId="18" customBuiltin="1"/>
    <cellStyle name="Título 3 2" xfId="291" xr:uid="{5F81116A-D661-4084-8DA3-5583E371D652}"/>
    <cellStyle name="Título 3 2 2" xfId="1519" xr:uid="{7172DFCB-558F-468F-A536-0E00C80B4B6F}"/>
    <cellStyle name="Título 3 2 2 2" xfId="4271" xr:uid="{2873A937-307F-4E90-8694-0B1A4B42C1E4}"/>
    <cellStyle name="Título 3 2 3" xfId="2074" xr:uid="{9C7A6B78-7BFF-4A62-8E5C-F1573287E037}"/>
    <cellStyle name="Título 3 2 4" xfId="14134" xr:uid="{1DD31745-F7DF-454F-A87D-B74200CD496B}"/>
    <cellStyle name="Título 3 3" xfId="1905" xr:uid="{EB220EE3-6975-4EC5-ACAC-DFEDBF493DD6}"/>
    <cellStyle name="Título 3 3 2" xfId="4306" xr:uid="{7F04EEDF-BFEF-4AD5-9543-DA939E6AC897}"/>
    <cellStyle name="Título 4" xfId="292" xr:uid="{FD7AD594-6775-4443-B530-D129B472C1AC}"/>
    <cellStyle name="Título 4 2" xfId="4304" xr:uid="{9709DFB4-7228-4A5F-9459-412515EB92CD}"/>
    <cellStyle name="Título 5" xfId="1902" xr:uid="{B38DEB00-0FC0-4364-A358-D02AD1C0DDC9}"/>
    <cellStyle name="Título 6" xfId="2033" xr:uid="{7C99302A-9F60-4B62-9AE2-7A05CBFE1A40}"/>
    <cellStyle name="Título 7" xfId="1631" xr:uid="{46437975-26F2-4E96-81EC-8A7EE3C2CF39}"/>
    <cellStyle name="Top Column Head" xfId="1906" xr:uid="{C5EEC429-A113-4FB3-8B19-F1DFFCD68E97}"/>
    <cellStyle name="Total" xfId="22" builtinId="25" customBuiltin="1"/>
    <cellStyle name="Total 2" xfId="293" xr:uid="{0490CC75-2B80-4385-BB36-E076D2ABADCC}"/>
    <cellStyle name="Total 2 2" xfId="387" xr:uid="{E80DDD58-052B-4552-87EE-4A3B40993FF9}"/>
    <cellStyle name="Total 2 2 2" xfId="1455" xr:uid="{B01B5D27-87FD-4CDA-A502-A33E176B4C02}"/>
    <cellStyle name="Total 2 2 2 2" xfId="1568" xr:uid="{DE0B0648-4BC7-4812-B471-639AB368DA61}"/>
    <cellStyle name="Total 2 2 2 2 10" xfId="4348" xr:uid="{58F079ED-0C0B-4B18-94B1-2381E1DC4D75}"/>
    <cellStyle name="Total 2 2 2 2 10 2" xfId="10308" xr:uid="{1AF9769F-F6F2-4A4D-9A74-B991D5EA77D5}"/>
    <cellStyle name="Total 2 2 2 2 11" xfId="4864" xr:uid="{5EA0462A-BDCD-42D2-BB82-21B5D8034FB0}"/>
    <cellStyle name="Total 2 2 2 2 11 2" xfId="10710" xr:uid="{0C4D411E-BBD2-4902-8F52-DFB3B65ADC37}"/>
    <cellStyle name="Total 2 2 2 2 12" xfId="5443" xr:uid="{35B997AA-185E-40A2-9295-A084E1C77AB8}"/>
    <cellStyle name="Total 2 2 2 2 12 2" xfId="11237" xr:uid="{8E58E778-DDF0-4E93-8D80-EBDA8FDA2D73}"/>
    <cellStyle name="Total 2 2 2 2 13" xfId="5611" xr:uid="{7EE7271B-1C23-4A56-9F18-44E716EC11CC}"/>
    <cellStyle name="Total 2 2 2 2 13 2" xfId="11339" xr:uid="{7C60E4F6-ED3F-4A9C-BF42-1FB8AFD7FF52}"/>
    <cellStyle name="Total 2 2 2 2 14" xfId="5244" xr:uid="{25815F32-1E3C-4495-83E8-10BB3716B7A0}"/>
    <cellStyle name="Total 2 2 2 2 14 2" xfId="11090" xr:uid="{A472A0D0-2ECA-40E8-B205-FF3690BE87A8}"/>
    <cellStyle name="Total 2 2 2 2 15" xfId="5884" xr:uid="{C525B986-0E76-4B93-B841-495FB81943B6}"/>
    <cellStyle name="Total 2 2 2 2 15 2" xfId="11612" xr:uid="{EEC35209-9565-4200-A94D-7B32138E6C6D}"/>
    <cellStyle name="Total 2 2 2 2 16" xfId="5658" xr:uid="{15875040-045A-4510-B2D2-C11D7101C7F0}"/>
    <cellStyle name="Total 2 2 2 2 16 2" xfId="11386" xr:uid="{44F9FB74-CE02-4DD6-9064-E4D3BF394539}"/>
    <cellStyle name="Total 2 2 2 2 17" xfId="5688" xr:uid="{E0E75A87-8C9D-4755-8C46-EF2B7A901019}"/>
    <cellStyle name="Total 2 2 2 2 17 2" xfId="11416" xr:uid="{8296360E-DDC4-4C74-BBDC-89BAB55E8E48}"/>
    <cellStyle name="Total 2 2 2 2 18" xfId="6290" xr:uid="{1656E40C-3C55-43B8-AAD5-F69C78D3D650}"/>
    <cellStyle name="Total 2 2 2 2 18 2" xfId="11994" xr:uid="{818A4CC7-9051-45AF-9098-0918EBC0444B}"/>
    <cellStyle name="Total 2 2 2 2 19" xfId="8459" xr:uid="{CC96803A-7E9C-4D0F-98DC-229C5AF50960}"/>
    <cellStyle name="Total 2 2 2 2 19 2" xfId="13939" xr:uid="{04A38928-833D-4AF4-AD5C-41E08B5861BA}"/>
    <cellStyle name="Total 2 2 2 2 2" xfId="2439" xr:uid="{28404AC6-5AE6-4966-BE7C-435382ADB8D4}"/>
    <cellStyle name="Total 2 2 2 2 2 10" xfId="6026" xr:uid="{94B20683-14A9-4C19-B5B1-96236460139E}"/>
    <cellStyle name="Total 2 2 2 2 2 10 2" xfId="11738" xr:uid="{7C0A7EB6-BD7B-4AD9-BF73-FF34E67A433B}"/>
    <cellStyle name="Total 2 2 2 2 2 11" xfId="6303" xr:uid="{9B02B474-9968-4492-A269-57A88655999B}"/>
    <cellStyle name="Total 2 2 2 2 2 11 2" xfId="12007" xr:uid="{13D95F5C-BCCB-4404-8CF9-E1DE06F4ECED}"/>
    <cellStyle name="Total 2 2 2 2 2 12" xfId="8653" xr:uid="{2DE56F9B-A01B-4E48-8B71-26ED6632B99D}"/>
    <cellStyle name="Total 2 2 2 2 2 12 2" xfId="14041" xr:uid="{35DECEA5-160D-4F7B-8136-781AFA5F49E7}"/>
    <cellStyle name="Total 2 2 2 2 2 13" xfId="9001" xr:uid="{47DE3146-7BD4-481E-A842-4680DB041D9A}"/>
    <cellStyle name="Total 2 2 2 2 2 2" xfId="3027" xr:uid="{A2E521B9-2EAE-4C05-A7A0-9FF9999CAB66}"/>
    <cellStyle name="Total 2 2 2 2 2 2 2" xfId="3967" xr:uid="{DB8754E4-AC80-4771-A54E-F6E50BC5875A}"/>
    <cellStyle name="Total 2 2 2 2 2 2 2 2" xfId="10081" xr:uid="{6C1FCDE4-C085-44A8-B9E5-639F243B13A4}"/>
    <cellStyle name="Total 2 2 2 2 2 2 3" xfId="6938" xr:uid="{17E5CEEE-50F4-417A-84CF-AB0BDA86098A}"/>
    <cellStyle name="Total 2 2 2 2 2 2 3 2" xfId="12544" xr:uid="{80C5FD0C-BECE-4A95-B739-B301049A86D4}"/>
    <cellStyle name="Total 2 2 2 2 2 2 4" xfId="7616" xr:uid="{F9600EC8-9C05-4345-A755-EA5EFF6DEFA2}"/>
    <cellStyle name="Total 2 2 2 2 2 2 4 2" xfId="13188" xr:uid="{6C1BB44C-4EBD-44C8-9AD2-EA2B1973D0AE}"/>
    <cellStyle name="Total 2 2 2 2 2 2 5" xfId="8109" xr:uid="{4FBC0B4C-A89B-4A77-8ABA-E270D3656A66}"/>
    <cellStyle name="Total 2 2 2 2 2 2 5 2" xfId="13681" xr:uid="{948D78C8-607B-4DD0-BA69-A85A1AA2B6C1}"/>
    <cellStyle name="Total 2 2 2 2 2 2 6" xfId="9361" xr:uid="{80E991E0-A144-4BA0-8EF8-A820E0B982D3}"/>
    <cellStyle name="Total 2 2 2 2 2 3" xfId="3487" xr:uid="{3552D404-3C33-4308-865F-ED621C013B4C}"/>
    <cellStyle name="Total 2 2 2 2 2 3 2" xfId="9721" xr:uid="{B9ED5901-44E0-4594-BEFD-4E13ACA7007E}"/>
    <cellStyle name="Total 2 2 2 2 2 4" xfId="4680" xr:uid="{770FB715-13C2-44C4-AEB2-64F259D6A566}"/>
    <cellStyle name="Total 2 2 2 2 2 4 2" xfId="10544" xr:uid="{E253C97A-7425-41B9-BCB3-A21D73182869}"/>
    <cellStyle name="Total 2 2 2 2 2 5" xfId="4919" xr:uid="{7AF8B3B5-C997-4700-9DA5-062348E5ED16}"/>
    <cellStyle name="Total 2 2 2 2 2 5 2" xfId="10765" xr:uid="{35C82C88-C4E9-4D1B-AEE7-9D3C43E67116}"/>
    <cellStyle name="Total 2 2 2 2 2 6" xfId="5075" xr:uid="{923761F4-9275-447B-8322-AEF4490C97E8}"/>
    <cellStyle name="Total 2 2 2 2 2 6 2" xfId="10921" xr:uid="{F0C0A0CE-C60C-428D-9F0F-12F3994B50CC}"/>
    <cellStyle name="Total 2 2 2 2 2 7" xfId="5845" xr:uid="{A201B9D3-1475-40CB-B240-F4E90C7620F2}"/>
    <cellStyle name="Total 2 2 2 2 2 7 2" xfId="11573" xr:uid="{A2EBD57A-FEAA-40B1-AA69-F6A089718A9B}"/>
    <cellStyle name="Total 2 2 2 2 2 8" xfId="5297" xr:uid="{4273D90C-AC74-47E4-AF39-7F6198728635}"/>
    <cellStyle name="Total 2 2 2 2 2 8 2" xfId="11141" xr:uid="{B0991DFE-2DD8-42D6-91E6-C533CB0FE499}"/>
    <cellStyle name="Total 2 2 2 2 2 9" xfId="6382" xr:uid="{A1CB763E-9096-4B47-8C3E-AE5D89B0EADE}"/>
    <cellStyle name="Total 2 2 2 2 2 9 2" xfId="12086" xr:uid="{8FC4E003-8FCE-4539-B0E4-5E0C715CA9EF}"/>
    <cellStyle name="Total 2 2 2 2 20" xfId="8899" xr:uid="{78AE5D2B-ACAA-4646-B6DF-011B14AFFAC1}"/>
    <cellStyle name="Total 2 2 2 2 21" xfId="2245" xr:uid="{2CD369A8-E197-4A0D-941D-98101ECDA8DC}"/>
    <cellStyle name="Total 2 2 2 2 3" xfId="2544" xr:uid="{8DDAB76E-9265-4C23-B9F0-945127B3E86B}"/>
    <cellStyle name="Total 2 2 2 2 3 10" xfId="7236" xr:uid="{E506DFEB-4731-4C35-8940-BF0811DDF205}"/>
    <cellStyle name="Total 2 2 2 2 3 10 2" xfId="12808" xr:uid="{0CFB3EE8-882A-41A3-BE00-292493EFD85D}"/>
    <cellStyle name="Total 2 2 2 2 3 11" xfId="7291" xr:uid="{CB397297-2D05-480D-B25B-9BC1DD8BE96C}"/>
    <cellStyle name="Total 2 2 2 2 3 11 2" xfId="12863" xr:uid="{C0A30682-DC54-43E3-8917-243D31E3A667}"/>
    <cellStyle name="Total 2 2 2 2 3 12" xfId="8758" xr:uid="{D4B075D9-94EB-4E04-BFE8-D67A4C8363F1}"/>
    <cellStyle name="Total 2 2 2 2 3 12 2" xfId="14114" xr:uid="{C034F3B4-E1BA-4566-9C05-CB5D936354B4}"/>
    <cellStyle name="Total 2 2 2 2 3 13" xfId="9074" xr:uid="{B7F662AA-F8D9-46CE-AB5B-FD25500CB9CC}"/>
    <cellStyle name="Total 2 2 2 2 3 2" xfId="3100" xr:uid="{48382DD7-CC2D-4CDD-BC19-A24AD9274F3E}"/>
    <cellStyle name="Total 2 2 2 2 3 2 2" xfId="4040" xr:uid="{DD5C0C08-21A4-4DD9-B899-8C41B7A2C3E0}"/>
    <cellStyle name="Total 2 2 2 2 3 2 2 2" xfId="10154" xr:uid="{939F30E0-49C9-460C-BC71-8BD98C06BC0A}"/>
    <cellStyle name="Total 2 2 2 2 3 2 3" xfId="7011" xr:uid="{A54C446F-E7A6-45B0-828F-8E494801B718}"/>
    <cellStyle name="Total 2 2 2 2 3 2 3 2" xfId="12617" xr:uid="{7BBD277E-9D69-4350-ABDF-F526B92D3F9C}"/>
    <cellStyle name="Total 2 2 2 2 3 2 4" xfId="7689" xr:uid="{D3C9917A-6B69-4525-93C1-0A29B78DA8E7}"/>
    <cellStyle name="Total 2 2 2 2 3 2 4 2" xfId="13261" xr:uid="{2D58C18C-4180-48C8-BBF0-4D31C62BA34A}"/>
    <cellStyle name="Total 2 2 2 2 3 2 5" xfId="8182" xr:uid="{864E58E2-EC3C-46D6-81F0-4ED07218EB98}"/>
    <cellStyle name="Total 2 2 2 2 3 2 5 2" xfId="13754" xr:uid="{F7A92683-0B67-49E9-81A0-9F5131655D42}"/>
    <cellStyle name="Total 2 2 2 2 3 2 6" xfId="9434" xr:uid="{5E4FC95F-E43E-4714-85FE-C90479A96AD0}"/>
    <cellStyle name="Total 2 2 2 2 3 3" xfId="3560" xr:uid="{5AA043BB-78A0-4CFF-AA81-30B5C1DF42B7}"/>
    <cellStyle name="Total 2 2 2 2 3 3 2" xfId="9794" xr:uid="{AEE9BE43-E344-4C9C-A8C1-AE6C0362F06A}"/>
    <cellStyle name="Total 2 2 2 2 3 4" xfId="4757" xr:uid="{2911775B-97AA-459B-8CF2-C43F642A7E0C}"/>
    <cellStyle name="Total 2 2 2 2 3 4 2" xfId="10621" xr:uid="{948E9E5A-02EA-4A81-8F42-466FA44969F8}"/>
    <cellStyle name="Total 2 2 2 2 3 5" xfId="5000" xr:uid="{A11D55A4-C908-4CEC-AD76-7F1F72B0A61B}"/>
    <cellStyle name="Total 2 2 2 2 3 5 2" xfId="10846" xr:uid="{4578554D-E663-4CA6-BE92-234B8C8D4AB3}"/>
    <cellStyle name="Total 2 2 2 2 3 6" xfId="5148" xr:uid="{31F4B242-4BC1-4F0E-B40F-5EF50C8FD20F}"/>
    <cellStyle name="Total 2 2 2 2 3 6 2" xfId="10994" xr:uid="{0C205ED7-4274-425C-87C3-798F571AEF06}"/>
    <cellStyle name="Total 2 2 2 2 3 7" xfId="5939" xr:uid="{DADC4B60-C54C-448B-B2E8-648F0C589E18}"/>
    <cellStyle name="Total 2 2 2 2 3 7 2" xfId="11667" xr:uid="{EC109E71-17FB-42DE-B672-7A9048F7E5A4}"/>
    <cellStyle name="Total 2 2 2 2 3 8" xfId="6269" xr:uid="{462F2EE5-0A05-444F-AD16-42FD0480EA4A}"/>
    <cellStyle name="Total 2 2 2 2 3 8 2" xfId="11973" xr:uid="{5609E9F5-1D5A-4892-BE71-FDA9714EB4CA}"/>
    <cellStyle name="Total 2 2 2 2 3 9" xfId="6471" xr:uid="{91D5A14E-A20E-4626-9BE2-059C3E33FDC3}"/>
    <cellStyle name="Total 2 2 2 2 3 9 2" xfId="12175" xr:uid="{8C362549-1B42-404A-8209-43677C6F3067}"/>
    <cellStyle name="Total 2 2 2 2 4" xfId="2276" xr:uid="{95A099C5-B782-4D09-8D61-A06F91047E72}"/>
    <cellStyle name="Total 2 2 2 2 4 10" xfId="5631" xr:uid="{9C7AB174-0F90-44FA-88FD-2F59AAFDE200}"/>
    <cellStyle name="Total 2 2 2 2 4 10 2" xfId="11359" xr:uid="{2CD17FE4-978D-40D9-8ED2-1D556553F65A}"/>
    <cellStyle name="Total 2 2 2 2 4 11" xfId="7261" xr:uid="{4D41549C-F432-44FE-8563-759C39855D3C}"/>
    <cellStyle name="Total 2 2 2 2 4 11 2" xfId="12833" xr:uid="{6C6FCE76-FA78-4784-BA03-AF1504873892}"/>
    <cellStyle name="Total 2 2 2 2 4 12" xfId="8490" xr:uid="{C6A32C3A-83C6-4D48-AE69-DDBACC21E929}"/>
    <cellStyle name="Total 2 2 2 2 4 12 2" xfId="13970" xr:uid="{46BEF5F8-7491-4703-8940-6DFD24F18414}"/>
    <cellStyle name="Total 2 2 2 2 4 13" xfId="8930" xr:uid="{6A15C789-F8D3-4ADD-9E8F-12559A462E6D}"/>
    <cellStyle name="Total 2 2 2 2 4 2" xfId="2956" xr:uid="{FE81ABC7-A164-41B5-9628-EF0802DA1760}"/>
    <cellStyle name="Total 2 2 2 2 4 2 2" xfId="3896" xr:uid="{BF9ED8BE-D056-4CCB-8930-B1E754DCB17A}"/>
    <cellStyle name="Total 2 2 2 2 4 2 2 2" xfId="10010" xr:uid="{32E984F4-5F92-4A43-A291-B8CE581227E1}"/>
    <cellStyle name="Total 2 2 2 2 4 2 3" xfId="6867" xr:uid="{3FCB6FD5-5DE9-4898-9F75-6E0704D5CFD8}"/>
    <cellStyle name="Total 2 2 2 2 4 2 3 2" xfId="12473" xr:uid="{B9C97777-06B3-4E91-9E1E-63389E0FC513}"/>
    <cellStyle name="Total 2 2 2 2 4 2 4" xfId="7545" xr:uid="{8B1AA6B9-52C4-4FC9-A0D8-7F0DDDB1EEC2}"/>
    <cellStyle name="Total 2 2 2 2 4 2 4 2" xfId="13117" xr:uid="{6178A596-D69F-4F70-AA38-5340D65FC156}"/>
    <cellStyle name="Total 2 2 2 2 4 2 5" xfId="8038" xr:uid="{9A4CC8D4-2A5A-4000-B4E1-9940D5E97C32}"/>
    <cellStyle name="Total 2 2 2 2 4 2 5 2" xfId="13610" xr:uid="{CD1BB3C4-334D-458B-BA6B-C6576822EA43}"/>
    <cellStyle name="Total 2 2 2 2 4 2 6" xfId="9290" xr:uid="{5D2ED843-A281-4C9E-B840-511712A95383}"/>
    <cellStyle name="Total 2 2 2 2 4 3" xfId="3416" xr:uid="{8CA0576F-AA07-4D01-99AD-AD59FBAABE90}"/>
    <cellStyle name="Total 2 2 2 2 4 3 2" xfId="9650" xr:uid="{D04BB09A-7215-4B1F-8DA0-695796743EB5}"/>
    <cellStyle name="Total 2 2 2 2 4 4" xfId="4583" xr:uid="{0D6E2005-30AE-414E-A703-987F58506AD1}"/>
    <cellStyle name="Total 2 2 2 2 4 4 2" xfId="10447" xr:uid="{F269B66E-4CA0-471B-A41D-132EFFF9FC05}"/>
    <cellStyle name="Total 2 2 2 2 4 5" xfId="4828" xr:uid="{8B2B8319-4BD2-4E5E-AB70-A95DDCE34A5E}"/>
    <cellStyle name="Total 2 2 2 2 4 5 2" xfId="10674" xr:uid="{C5227523-7238-40BA-A6C5-E12192502863}"/>
    <cellStyle name="Total 2 2 2 2 4 6" xfId="4345" xr:uid="{30D631A1-EA25-4C58-8E1D-56E82C62DAC9}"/>
    <cellStyle name="Total 2 2 2 2 4 6 2" xfId="10305" xr:uid="{7C29D849-46F8-4AA6-907A-668674F2B5F1}"/>
    <cellStyle name="Total 2 2 2 2 4 7" xfId="5714" xr:uid="{BB41C985-8F0B-4429-BE14-8FAB30B13F64}"/>
    <cellStyle name="Total 2 2 2 2 4 7 2" xfId="11442" xr:uid="{E20F4B54-1863-490C-9B82-0D1C84A51AC4}"/>
    <cellStyle name="Total 2 2 2 2 4 8" xfId="5530" xr:uid="{85E16988-0217-40A5-8519-F24E3D5A189D}"/>
    <cellStyle name="Total 2 2 2 2 4 8 2" xfId="11258" xr:uid="{3CED00B7-06C7-4043-B4F8-7191EC37E70F}"/>
    <cellStyle name="Total 2 2 2 2 4 9" xfId="5878" xr:uid="{508C528C-2007-4131-B47A-AB8D280CC166}"/>
    <cellStyle name="Total 2 2 2 2 4 9 2" xfId="11606" xr:uid="{6719173D-CD1C-4724-B56E-DCA46D1448EC}"/>
    <cellStyle name="Total 2 2 2 2 5" xfId="2701" xr:uid="{1CB1A74C-88F5-4A9E-9C6E-528AD9F49CFC}"/>
    <cellStyle name="Total 2 2 2 2 5 2" xfId="3165" xr:uid="{1C471EEA-74B6-4A2A-91D3-E140102DC79E}"/>
    <cellStyle name="Total 2 2 2 2 5 2 2" xfId="4123" xr:uid="{73453479-8F54-47B4-AB25-6D12F5FB05DE}"/>
    <cellStyle name="Total 2 2 2 2 5 2 2 2" xfId="10219" xr:uid="{5DD362C7-E373-4321-A9FF-62E6BFF816D3}"/>
    <cellStyle name="Total 2 2 2 2 5 2 3" xfId="7094" xr:uid="{B66EC5D1-ECBD-42AA-A9CB-602CE08D10C0}"/>
    <cellStyle name="Total 2 2 2 2 5 2 3 2" xfId="12682" xr:uid="{A326583C-E9C4-4B44-8B21-4BD1E1C0355B}"/>
    <cellStyle name="Total 2 2 2 2 5 2 4" xfId="7755" xr:uid="{E9E6E236-AC15-4C35-B962-5BB31C7C6CB0}"/>
    <cellStyle name="Total 2 2 2 2 5 2 4 2" xfId="13327" xr:uid="{E247D00E-B308-4B5C-A5D2-1EAE77F99856}"/>
    <cellStyle name="Total 2 2 2 2 5 2 5" xfId="8247" xr:uid="{EB6FDF00-F5BD-4926-A45C-18AABF3729DC}"/>
    <cellStyle name="Total 2 2 2 2 5 2 5 2" xfId="13819" xr:uid="{4136460A-411C-45C8-BF52-92BB9181B786}"/>
    <cellStyle name="Total 2 2 2 2 5 2 6" xfId="9499" xr:uid="{16EAE6F9-DF33-4C32-AFAF-957622931286}"/>
    <cellStyle name="Total 2 2 2 2 5 3" xfId="3643" xr:uid="{B0A0ED43-0ADB-44BC-B6AD-16F0EBF726D5}"/>
    <cellStyle name="Total 2 2 2 2 5 3 2" xfId="9859" xr:uid="{06314C87-7B88-42CD-A5C7-BC0DB24EEC4A}"/>
    <cellStyle name="Total 2 2 2 2 5 4" xfId="6080" xr:uid="{39AEDC1F-1B27-4233-86F4-07A5108EE277}"/>
    <cellStyle name="Total 2 2 2 2 5 4 2" xfId="11792" xr:uid="{3B1921D5-6440-4797-9484-80296B3B2A67}"/>
    <cellStyle name="Total 2 2 2 2 5 5" xfId="6598" xr:uid="{3E10A59C-AC85-45C5-AC2F-44C6A44B56B6}"/>
    <cellStyle name="Total 2 2 2 2 5 5 2" xfId="12302" xr:uid="{EB9742D6-FF3C-4946-83F7-2EF313F1CACA}"/>
    <cellStyle name="Total 2 2 2 2 5 6" xfId="7352" xr:uid="{B6AFD452-5578-47EA-B1D2-851D461703DD}"/>
    <cellStyle name="Total 2 2 2 2 5 6 2" xfId="12924" xr:uid="{FA8BF10D-740D-4BCB-9B02-80F5B2B1AEEA}"/>
    <cellStyle name="Total 2 2 2 2 5 7" xfId="7887" xr:uid="{CF37C123-05CC-4848-AE9E-82C138896A29}"/>
    <cellStyle name="Total 2 2 2 2 5 7 2" xfId="13459" xr:uid="{5422033E-DF56-45F4-B469-C2331D1BF2EA}"/>
    <cellStyle name="Total 2 2 2 2 5 8" xfId="9139" xr:uid="{1D8AA8F7-A032-46A8-AA3D-AFECDC4FCEF3}"/>
    <cellStyle name="Total 2 2 2 2 6" xfId="2793" xr:uid="{74987A04-D8C9-4A68-AE07-063A401048E5}"/>
    <cellStyle name="Total 2 2 2 2 6 2" xfId="3225" xr:uid="{C85F352D-A8DC-4211-ADF4-9082210B3E03}"/>
    <cellStyle name="Total 2 2 2 2 6 2 2" xfId="4183" xr:uid="{5F710D57-974D-498A-81A1-3130C176495F}"/>
    <cellStyle name="Total 2 2 2 2 6 2 2 2" xfId="10279" xr:uid="{075E2505-6E29-454D-A208-85458CE5679B}"/>
    <cellStyle name="Total 2 2 2 2 6 2 3" xfId="7154" xr:uid="{F2B6233F-C003-4D8A-B1E0-2DACB83D5020}"/>
    <cellStyle name="Total 2 2 2 2 6 2 3 2" xfId="12742" xr:uid="{F8057FFE-F483-49FC-A6D1-C5C743B94397}"/>
    <cellStyle name="Total 2 2 2 2 6 2 4" xfId="7815" xr:uid="{3C605FC3-7EB9-47AE-AF75-3487104F4C21}"/>
    <cellStyle name="Total 2 2 2 2 6 2 4 2" xfId="13387" xr:uid="{10B97126-0F85-4E7B-AFF8-0D2DA81AB9C9}"/>
    <cellStyle name="Total 2 2 2 2 6 2 5" xfId="8307" xr:uid="{43273853-5F1F-4FFF-BBF1-90D0BAB32331}"/>
    <cellStyle name="Total 2 2 2 2 6 2 5 2" xfId="13879" xr:uid="{AA526BDE-9BF8-41F2-80DA-A31E730712DD}"/>
    <cellStyle name="Total 2 2 2 2 6 2 6" xfId="9559" xr:uid="{38CE503E-6F34-46B5-818D-B619AA84F3AE}"/>
    <cellStyle name="Total 2 2 2 2 6 3" xfId="3703" xr:uid="{3BFBB4D9-A29C-4D87-839F-D1EE2C293290}"/>
    <cellStyle name="Total 2 2 2 2 6 3 2" xfId="9919" xr:uid="{BF30C10E-E2D8-4AE5-A8E2-A6814A4800CF}"/>
    <cellStyle name="Total 2 2 2 2 6 4" xfId="6160" xr:uid="{096D652B-C61A-429A-A858-DF8109B0D9FC}"/>
    <cellStyle name="Total 2 2 2 2 6 4 2" xfId="11872" xr:uid="{C190AE14-5C99-40C2-B9F5-B3CE678B5090}"/>
    <cellStyle name="Total 2 2 2 2 6 5" xfId="6670" xr:uid="{3C344438-5D1A-465D-8B8C-DDFA2DFB7033}"/>
    <cellStyle name="Total 2 2 2 2 6 5 2" xfId="12374" xr:uid="{575BF3C0-81B2-49D8-AEB3-ABCF7355278D}"/>
    <cellStyle name="Total 2 2 2 2 6 6" xfId="7414" xr:uid="{A75FC93E-3E10-42AF-BAB1-9EEB1FB043B4}"/>
    <cellStyle name="Total 2 2 2 2 6 6 2" xfId="12986" xr:uid="{282D17F6-14B2-4AD8-BD91-2773A328194D}"/>
    <cellStyle name="Total 2 2 2 2 6 7" xfId="7947" xr:uid="{37947E69-6C76-4DDD-98AC-6886EE63B962}"/>
    <cellStyle name="Total 2 2 2 2 6 7 2" xfId="13519" xr:uid="{C323E7C5-CC62-4031-94CB-A665ED8CEDEF}"/>
    <cellStyle name="Total 2 2 2 2 6 8" xfId="9199" xr:uid="{1BD26BD4-B376-452A-8947-DD067A8E8F5A}"/>
    <cellStyle name="Total 2 2 2 2 7" xfId="2893" xr:uid="{6E2B8937-F282-481A-88AF-920FA31456F3}"/>
    <cellStyle name="Total 2 2 2 2 7 2" xfId="3821" xr:uid="{996F1537-0BC2-4175-AF9B-7657392FACBB}"/>
    <cellStyle name="Total 2 2 2 2 7 2 2" xfId="9979" xr:uid="{CA6AC302-ADF2-4640-A71B-01EFB7FB5675}"/>
    <cellStyle name="Total 2 2 2 2 7 3" xfId="6792" xr:uid="{EAFC0C94-BEBA-44B4-B131-3B2304376F3D}"/>
    <cellStyle name="Total 2 2 2 2 7 3 2" xfId="12442" xr:uid="{316B33BE-E9F2-403F-972A-DED4FB459F81}"/>
    <cellStyle name="Total 2 2 2 2 7 4" xfId="7499" xr:uid="{5CCACC2C-D7C4-4912-94BB-7DC75CD2C022}"/>
    <cellStyle name="Total 2 2 2 2 7 4 2" xfId="13071" xr:uid="{DA3D1730-C07F-4036-AD6F-FD325F06661A}"/>
    <cellStyle name="Total 2 2 2 2 7 5" xfId="8007" xr:uid="{E72DD158-D407-43C1-8160-56F3C69A15A8}"/>
    <cellStyle name="Total 2 2 2 2 7 5 2" xfId="13579" xr:uid="{6BF348E2-DFC3-48FA-9974-23ECFEF7FDE5}"/>
    <cellStyle name="Total 2 2 2 2 7 6" xfId="9259" xr:uid="{8126F585-F20F-469F-B34A-103D93B34A85}"/>
    <cellStyle name="Total 2 2 2 2 8" xfId="3341" xr:uid="{33E226BB-6440-4791-906C-44829B78A38F}"/>
    <cellStyle name="Total 2 2 2 2 8 2" xfId="9619" xr:uid="{96545CEA-A1C5-4CD3-96A2-369AC7856107}"/>
    <cellStyle name="Total 2 2 2 2 9" xfId="4508" xr:uid="{AEFA7410-6602-406B-B70F-8D990BA7AB3B}"/>
    <cellStyle name="Total 2 2 2 2 9 2" xfId="10416" xr:uid="{A10597FE-E42B-472A-A80B-5ED0F6996821}"/>
    <cellStyle name="Total 2 2 2 3" xfId="1621" xr:uid="{14DFFB4D-B9CB-40FE-8C57-29DF7E345F63}"/>
    <cellStyle name="Total 2 2 2 3 10" xfId="4386" xr:uid="{071F8609-9648-441F-892D-D69E39C8BE15}"/>
    <cellStyle name="Total 2 2 2 3 10 2" xfId="10344" xr:uid="{120CBD9F-098C-4A41-9825-1A23A74A1747}"/>
    <cellStyle name="Total 2 2 2 3 11" xfId="4853" xr:uid="{C8EBF5AC-7204-4616-92DF-16FBD4F6FC43}"/>
    <cellStyle name="Total 2 2 2 3 11 2" xfId="10699" xr:uid="{F3D22656-471C-4AE3-902C-AB4878C49B11}"/>
    <cellStyle name="Total 2 2 2 3 12" xfId="5403" xr:uid="{5B0CAB45-3B6A-4B0B-AC4F-0D9543454382}"/>
    <cellStyle name="Total 2 2 2 3 12 2" xfId="11201" xr:uid="{DB23636C-4332-4258-9B37-A022C24CA61B}"/>
    <cellStyle name="Total 2 2 2 3 13" xfId="5571" xr:uid="{8AE56FCD-493A-43DA-960D-3555DF8CBF42}"/>
    <cellStyle name="Total 2 2 2 3 13 2" xfId="11299" xr:uid="{60223FE0-1AC8-4BCE-AEA9-FB0897B003F6}"/>
    <cellStyle name="Total 2 2 2 3 14" xfId="5343" xr:uid="{3F6E1DD4-510A-4ED4-A82F-1FCE3BCFCFA7}"/>
    <cellStyle name="Total 2 2 2 3 14 2" xfId="11175" xr:uid="{01F49A23-AF4F-40F0-B2A6-F02F0DB7BBFD}"/>
    <cellStyle name="Total 2 2 2 3 15" xfId="5555" xr:uid="{EC6762E5-A793-4DCE-B243-F4BB87AC248F}"/>
    <cellStyle name="Total 2 2 2 3 15 2" xfId="11283" xr:uid="{16BDFF8D-80A2-4D46-8658-09AE50B78735}"/>
    <cellStyle name="Total 2 2 2 3 16" xfId="5746" xr:uid="{16E0AF74-0970-4761-942E-71446F508F97}"/>
    <cellStyle name="Total 2 2 2 3 16 2" xfId="11474" xr:uid="{5644F3F3-0D26-49F6-892D-44521DC1D152}"/>
    <cellStyle name="Total 2 2 2 3 17" xfId="5987" xr:uid="{8B9899E2-6F0A-4ED9-88EC-BDF4BE6C1ECF}"/>
    <cellStyle name="Total 2 2 2 3 17 2" xfId="11699" xr:uid="{647DB398-5166-4626-BC93-71FDE388B2C3}"/>
    <cellStyle name="Total 2 2 2 3 18" xfId="6421" xr:uid="{BCBB7D26-423B-487C-A57C-4D1FE4589A89}"/>
    <cellStyle name="Total 2 2 2 3 18 2" xfId="12125" xr:uid="{16B655DF-D2CE-4BD6-8C5B-28E6FEEEFCE1}"/>
    <cellStyle name="Total 2 2 2 3 19" xfId="8423" xr:uid="{409F2326-2603-4DE6-94A8-DB2ECDFF73D9}"/>
    <cellStyle name="Total 2 2 2 3 19 2" xfId="13903" xr:uid="{461DDF54-9EE9-425D-B3C4-2AB7EEE83CDA}"/>
    <cellStyle name="Total 2 2 2 3 2" xfId="2401" xr:uid="{88BD6AB4-BB1D-4319-A559-1774B4A54C43}"/>
    <cellStyle name="Total 2 2 2 3 2 10" xfId="5754" xr:uid="{FBC9FB1F-635D-4B36-91FE-E1E0E14B4DCF}"/>
    <cellStyle name="Total 2 2 2 3 2 10 2" xfId="11482" xr:uid="{AA00666C-1D28-41A7-A8C8-0DA1436D71F0}"/>
    <cellStyle name="Total 2 2 2 3 2 11" xfId="7448" xr:uid="{0F8AFA8F-B6A9-47E7-964E-BFCC7DD63FEF}"/>
    <cellStyle name="Total 2 2 2 3 2 11 2" xfId="13020" xr:uid="{75C3F4BE-4485-4670-8EC3-3D6DDC904941}"/>
    <cellStyle name="Total 2 2 2 3 2 12" xfId="8615" xr:uid="{880115C1-6591-40A7-8470-2F8F551FF4D7}"/>
    <cellStyle name="Total 2 2 2 3 2 12 2" xfId="14003" xr:uid="{CD0A3610-7A87-420D-AD88-CDC04A8962FE}"/>
    <cellStyle name="Total 2 2 2 3 2 13" xfId="8963" xr:uid="{434579AF-A9B1-4F30-ADB7-F010A057F2A6}"/>
    <cellStyle name="Total 2 2 2 3 2 2" xfId="2989" xr:uid="{D8F43438-F19E-40D1-AF64-E958C70269F3}"/>
    <cellStyle name="Total 2 2 2 3 2 2 2" xfId="3929" xr:uid="{15E7BB5B-C773-4D7C-B14F-1AC1D2139D64}"/>
    <cellStyle name="Total 2 2 2 3 2 2 2 2" xfId="10043" xr:uid="{62FD1E1B-20B8-4892-8777-FD8F6159233C}"/>
    <cellStyle name="Total 2 2 2 3 2 2 3" xfId="6900" xr:uid="{6099AB61-AE78-4516-8143-298C11AE5661}"/>
    <cellStyle name="Total 2 2 2 3 2 2 3 2" xfId="12506" xr:uid="{BF6BC712-19D1-485B-8A8E-41E4354D0D23}"/>
    <cellStyle name="Total 2 2 2 3 2 2 4" xfId="7578" xr:uid="{12B71927-3EAB-4C53-8595-CF195D855A6A}"/>
    <cellStyle name="Total 2 2 2 3 2 2 4 2" xfId="13150" xr:uid="{78A1BDB0-6EEA-457F-A1FB-75DE71372550}"/>
    <cellStyle name="Total 2 2 2 3 2 2 5" xfId="8071" xr:uid="{CA01CA01-DA66-4B98-8D8F-5C677A0EEFAB}"/>
    <cellStyle name="Total 2 2 2 3 2 2 5 2" xfId="13643" xr:uid="{E89279F4-BEFB-49DE-9FB3-23CA22DA1469}"/>
    <cellStyle name="Total 2 2 2 3 2 2 6" xfId="9323" xr:uid="{2A9ED467-CBBE-45E2-B65E-6902AA311BDE}"/>
    <cellStyle name="Total 2 2 2 3 2 3" xfId="3449" xr:uid="{38F821E4-659E-462C-B550-25847B4DDCE2}"/>
    <cellStyle name="Total 2 2 2 3 2 3 2" xfId="9683" xr:uid="{1451243A-6685-4D27-9678-DA8342658A27}"/>
    <cellStyle name="Total 2 2 2 3 2 4" xfId="4642" xr:uid="{5B8E8344-C0A8-4523-B79D-F6DC0E08985D}"/>
    <cellStyle name="Total 2 2 2 3 2 4 2" xfId="10506" xr:uid="{C54F66DE-CED6-4D93-AED7-63129AD512A7}"/>
    <cellStyle name="Total 2 2 2 3 2 5" xfId="4881" xr:uid="{8C4F24C8-A7A4-462D-940D-110355A7BCB2}"/>
    <cellStyle name="Total 2 2 2 3 2 5 2" xfId="10727" xr:uid="{843D6F31-1897-43FE-A28B-0BE6A4A061EF}"/>
    <cellStyle name="Total 2 2 2 3 2 6" xfId="5037" xr:uid="{B97020EC-5CBB-4B1D-8C5A-CD0D41BFEDC5}"/>
    <cellStyle name="Total 2 2 2 3 2 6 2" xfId="10883" xr:uid="{3C928CC6-AFDB-4516-B5D0-C2CA8D249716}"/>
    <cellStyle name="Total 2 2 2 3 2 7" xfId="5807" xr:uid="{7DFF9ACB-B440-4F6C-BEEC-82AECD36536A}"/>
    <cellStyle name="Total 2 2 2 3 2 7 2" xfId="11535" xr:uid="{48D6CF8E-BB56-4CFF-B7A9-10A4409A3A7E}"/>
    <cellStyle name="Total 2 2 2 3 2 8" xfId="5649" xr:uid="{6F900C43-4C63-4253-9E0A-AB52BEEFD659}"/>
    <cellStyle name="Total 2 2 2 3 2 8 2" xfId="11377" xr:uid="{52366BCE-F47C-480E-8EAB-7899760F2498}"/>
    <cellStyle name="Total 2 2 2 3 2 9" xfId="6344" xr:uid="{5615866C-DDBD-421B-B2E7-5B2B21658E4B}"/>
    <cellStyle name="Total 2 2 2 3 2 9 2" xfId="12048" xr:uid="{C44D0A61-28D9-4C29-AD32-6615B75C0731}"/>
    <cellStyle name="Total 2 2 2 3 20" xfId="8863" xr:uid="{544428CB-2E40-42C5-A13A-72F217D68583}"/>
    <cellStyle name="Total 2 2 2 3 21" xfId="2209" xr:uid="{7B5C3CE0-5496-4821-BE2B-0D99AB955777}"/>
    <cellStyle name="Total 2 2 2 3 3" xfId="2507" xr:uid="{27E24D42-67C5-4479-8FD9-5DBB6E76B9A2}"/>
    <cellStyle name="Total 2 2 2 3 3 10" xfId="7199" xr:uid="{2F30E00D-EFE8-40DF-9973-17095DE5B1FC}"/>
    <cellStyle name="Total 2 2 2 3 3 10 2" xfId="12771" xr:uid="{5D103C58-3C61-4CBE-8648-36B946A161FB}"/>
    <cellStyle name="Total 2 2 2 3 3 11" xfId="5238" xr:uid="{5A8F71F2-43F4-4D7F-8EEB-AD2CB6020FE7}"/>
    <cellStyle name="Total 2 2 2 3 3 11 2" xfId="11084" xr:uid="{262F935B-A5D8-4F09-9E54-E40A05B056CD}"/>
    <cellStyle name="Total 2 2 2 3 3 12" xfId="8721" xr:uid="{6F95257A-DBA0-463F-B901-B7A98BA088AD}"/>
    <cellStyle name="Total 2 2 2 3 3 12 2" xfId="14077" xr:uid="{22F29ED1-0C70-4CC8-8BA0-003CF67E9513}"/>
    <cellStyle name="Total 2 2 2 3 3 13" xfId="9037" xr:uid="{878F19FD-B0F8-4C0F-B6E2-2AEA4FCDC86B}"/>
    <cellStyle name="Total 2 2 2 3 3 2" xfId="3063" xr:uid="{AA5A1CD2-DAF3-4611-83D2-7B7ACDE2551F}"/>
    <cellStyle name="Total 2 2 2 3 3 2 2" xfId="4003" xr:uid="{E5CA5AC6-67AC-47CE-9C4C-286E052DFD97}"/>
    <cellStyle name="Total 2 2 2 3 3 2 2 2" xfId="10117" xr:uid="{79116935-6A15-4FD1-8183-D6116C8E6036}"/>
    <cellStyle name="Total 2 2 2 3 3 2 3" xfId="6974" xr:uid="{C002581A-98C5-4D31-93EC-A95BF2E05C9E}"/>
    <cellStyle name="Total 2 2 2 3 3 2 3 2" xfId="12580" xr:uid="{F613679E-1460-47CC-A7F3-3AB9E34DF7A0}"/>
    <cellStyle name="Total 2 2 2 3 3 2 4" xfId="7652" xr:uid="{084E634E-951B-4C1E-8F1A-59D38DB9E264}"/>
    <cellStyle name="Total 2 2 2 3 3 2 4 2" xfId="13224" xr:uid="{1F86967C-427B-48AD-AD2C-D764D29139A7}"/>
    <cellStyle name="Total 2 2 2 3 3 2 5" xfId="8145" xr:uid="{D10DBB7E-9AD3-4727-9508-3B12EB8E7C7E}"/>
    <cellStyle name="Total 2 2 2 3 3 2 5 2" xfId="13717" xr:uid="{3EAF427D-C792-4933-A0C2-D9EB3EE3AD5D}"/>
    <cellStyle name="Total 2 2 2 3 3 2 6" xfId="9397" xr:uid="{064F0C7E-D2E2-45A7-B077-5BB9463AFD6A}"/>
    <cellStyle name="Total 2 2 2 3 3 3" xfId="3523" xr:uid="{1DF5259F-AC8B-45A9-B782-59BF405D4E36}"/>
    <cellStyle name="Total 2 2 2 3 3 3 2" xfId="9757" xr:uid="{CC84025B-7056-4EB6-B8EE-B8F621C6A8CB}"/>
    <cellStyle name="Total 2 2 2 3 3 4" xfId="4720" xr:uid="{376BA320-E933-4490-BF46-6D94CA7FB61E}"/>
    <cellStyle name="Total 2 2 2 3 3 4 2" xfId="10584" xr:uid="{38BE627D-5EDA-4C26-8315-2E86086A63E0}"/>
    <cellStyle name="Total 2 2 2 3 3 5" xfId="4963" xr:uid="{2B900D78-F7AE-4ECF-BC4E-575FA1824E25}"/>
    <cellStyle name="Total 2 2 2 3 3 5 2" xfId="10809" xr:uid="{6D0F5175-FA26-4F10-A325-C12A8C7996E8}"/>
    <cellStyle name="Total 2 2 2 3 3 6" xfId="5111" xr:uid="{682C12B7-3D91-454F-AA17-C71B015F9834}"/>
    <cellStyle name="Total 2 2 2 3 3 6 2" xfId="10957" xr:uid="{4B73E5AE-3274-4B8A-B524-C748FCC4917C}"/>
    <cellStyle name="Total 2 2 2 3 3 7" xfId="5902" xr:uid="{C438F85E-424D-4E4E-9F1B-2314D825FDE4}"/>
    <cellStyle name="Total 2 2 2 3 3 7 2" xfId="11630" xr:uid="{C80DF782-AD77-4490-AAF1-AF1C55C89859}"/>
    <cellStyle name="Total 2 2 2 3 3 8" xfId="6232" xr:uid="{5E851415-5CFC-4B5E-809A-CE47014E51F3}"/>
    <cellStyle name="Total 2 2 2 3 3 8 2" xfId="11936" xr:uid="{998EBE95-DD87-4AE9-A9A7-11B7DA932158}"/>
    <cellStyle name="Total 2 2 2 3 3 9" xfId="6434" xr:uid="{853FF040-2B8F-412C-BA1E-A8050976E745}"/>
    <cellStyle name="Total 2 2 2 3 3 9 2" xfId="12138" xr:uid="{7BEA52A8-F515-4938-A585-5FB9447794BE}"/>
    <cellStyle name="Total 2 2 2 3 4" xfId="2529" xr:uid="{0CA13095-43FF-46C7-AD87-86349DF8E73A}"/>
    <cellStyle name="Total 2 2 2 3 4 10" xfId="7221" xr:uid="{CC476F00-6D4F-4AF2-9B22-09275BC436C8}"/>
    <cellStyle name="Total 2 2 2 3 4 10 2" xfId="12793" xr:uid="{C7756690-40DB-4EFB-9D1A-41C2C6028529}"/>
    <cellStyle name="Total 2 2 2 3 4 11" xfId="7452" xr:uid="{D102689F-0F60-4019-80E1-C1F8EF436591}"/>
    <cellStyle name="Total 2 2 2 3 4 11 2" xfId="13024" xr:uid="{B04DA6A0-3B32-48ED-B600-361D27692323}"/>
    <cellStyle name="Total 2 2 2 3 4 12" xfId="8743" xr:uid="{12BCAC0A-63C4-488D-8FEA-8DC72D6DD9FF}"/>
    <cellStyle name="Total 2 2 2 3 4 12 2" xfId="14099" xr:uid="{73DE32C8-A21C-4BD1-B84F-4F15B5260FB1}"/>
    <cellStyle name="Total 2 2 2 3 4 13" xfId="9059" xr:uid="{1090A9D1-5710-4EAE-A5F4-FF7152B07BE9}"/>
    <cellStyle name="Total 2 2 2 3 4 2" xfId="3085" xr:uid="{B94A6CCF-7A15-4370-B0B4-02E12DB86EF4}"/>
    <cellStyle name="Total 2 2 2 3 4 2 2" xfId="4025" xr:uid="{A3FC7493-D5C7-4015-BC6B-F8D759FC8E63}"/>
    <cellStyle name="Total 2 2 2 3 4 2 2 2" xfId="10139" xr:uid="{9500F94C-AB0F-4D53-B44B-E5413BA8EC24}"/>
    <cellStyle name="Total 2 2 2 3 4 2 3" xfId="6996" xr:uid="{EEB3ACD2-B428-40FB-B0EC-BF9054605538}"/>
    <cellStyle name="Total 2 2 2 3 4 2 3 2" xfId="12602" xr:uid="{3559139A-D35A-405C-B475-22ACC0989F7B}"/>
    <cellStyle name="Total 2 2 2 3 4 2 4" xfId="7674" xr:uid="{7117C050-539A-4FA4-B992-ED8651FBC7C2}"/>
    <cellStyle name="Total 2 2 2 3 4 2 4 2" xfId="13246" xr:uid="{62B01886-829D-467A-976A-C5E9D2B5C016}"/>
    <cellStyle name="Total 2 2 2 3 4 2 5" xfId="8167" xr:uid="{50F5BD54-9B57-4EA5-B55F-84A019C89604}"/>
    <cellStyle name="Total 2 2 2 3 4 2 5 2" xfId="13739" xr:uid="{F3C9A2B4-949A-4EE1-A7B6-38B72671B0B2}"/>
    <cellStyle name="Total 2 2 2 3 4 2 6" xfId="9419" xr:uid="{CF4D8C21-7996-478B-8A1C-B45E48E219FB}"/>
    <cellStyle name="Total 2 2 2 3 4 3" xfId="3545" xr:uid="{A32AEA41-0872-4D0C-AE86-68A3CFA330D2}"/>
    <cellStyle name="Total 2 2 2 3 4 3 2" xfId="9779" xr:uid="{8715D167-EDED-4C7B-A9DB-C7C673BE78D1}"/>
    <cellStyle name="Total 2 2 2 3 4 4" xfId="4742" xr:uid="{0A1CE875-C4D2-405D-AB53-D3A3689A5A81}"/>
    <cellStyle name="Total 2 2 2 3 4 4 2" xfId="10606" xr:uid="{79E93806-081A-4A42-A0E6-439B9BCB39CB}"/>
    <cellStyle name="Total 2 2 2 3 4 5" xfId="4985" xr:uid="{16D38F21-A0FC-4FCE-BD1B-193E3FF76E9A}"/>
    <cellStyle name="Total 2 2 2 3 4 5 2" xfId="10831" xr:uid="{616F3DD5-B51A-458D-B7ED-0D79CA5E159A}"/>
    <cellStyle name="Total 2 2 2 3 4 6" xfId="5133" xr:uid="{A45FE8DE-1A1B-49A7-8856-C14407845E0A}"/>
    <cellStyle name="Total 2 2 2 3 4 6 2" xfId="10979" xr:uid="{EF9B92CA-3A6A-47BE-9699-EFDED59E4EAB}"/>
    <cellStyle name="Total 2 2 2 3 4 7" xfId="5924" xr:uid="{EBC1AFDA-F34A-45DE-AE22-54CD72D136B3}"/>
    <cellStyle name="Total 2 2 2 3 4 7 2" xfId="11652" xr:uid="{1D84006E-AF9D-4CF9-A141-A59290BE76AE}"/>
    <cellStyle name="Total 2 2 2 3 4 8" xfId="6254" xr:uid="{FFE20A8B-2964-4122-88AC-E2C7397355AE}"/>
    <cellStyle name="Total 2 2 2 3 4 8 2" xfId="11958" xr:uid="{9714B9CE-C292-4EAF-90B7-A76AE9FB1686}"/>
    <cellStyle name="Total 2 2 2 3 4 9" xfId="6456" xr:uid="{C86EA471-E79A-4832-8852-89C20FD32926}"/>
    <cellStyle name="Total 2 2 2 3 4 9 2" xfId="12160" xr:uid="{E6D8512D-5B2D-437D-962B-56DF0ACB9330}"/>
    <cellStyle name="Total 2 2 2 3 5" xfId="2665" xr:uid="{5F83641C-6073-4F6D-83C9-53A4D916884D}"/>
    <cellStyle name="Total 2 2 2 3 5 2" xfId="3129" xr:uid="{7AA03D59-5731-40AB-A927-08B61ADF864B}"/>
    <cellStyle name="Total 2 2 2 3 5 2 2" xfId="4087" xr:uid="{0CDBA3FD-DC9A-4FA7-B4B3-4BC782CAA3F9}"/>
    <cellStyle name="Total 2 2 2 3 5 2 2 2" xfId="10183" xr:uid="{C6B67E74-2569-413F-98A3-A25B066B48BE}"/>
    <cellStyle name="Total 2 2 2 3 5 2 3" xfId="7058" xr:uid="{D8115A8A-3EBD-4E73-8E2D-A147579865FB}"/>
    <cellStyle name="Total 2 2 2 3 5 2 3 2" xfId="12646" xr:uid="{09E4AACD-CF7E-41D0-8952-75C537C18DDB}"/>
    <cellStyle name="Total 2 2 2 3 5 2 4" xfId="7719" xr:uid="{7DDE4A1D-C848-4F8F-BF79-74B46673FB8A}"/>
    <cellStyle name="Total 2 2 2 3 5 2 4 2" xfId="13291" xr:uid="{3FAC4029-6F66-4C8F-933C-A8AAAA607AEB}"/>
    <cellStyle name="Total 2 2 2 3 5 2 5" xfId="8211" xr:uid="{A273B732-E3D5-4EF9-93A9-6A82448ABF82}"/>
    <cellStyle name="Total 2 2 2 3 5 2 5 2" xfId="13783" xr:uid="{1485D391-FC93-4458-8536-40F69D250A5A}"/>
    <cellStyle name="Total 2 2 2 3 5 2 6" xfId="9463" xr:uid="{7487475B-D4B9-4187-B695-FD27206018D7}"/>
    <cellStyle name="Total 2 2 2 3 5 3" xfId="3607" xr:uid="{A93089BF-C6D0-4592-BE3B-A14C3DB97820}"/>
    <cellStyle name="Total 2 2 2 3 5 3 2" xfId="9823" xr:uid="{EB0771D0-F0D1-4C4C-82C9-78B30A36C0C5}"/>
    <cellStyle name="Total 2 2 2 3 5 4" xfId="6044" xr:uid="{E2509446-4485-4223-88BD-CC2CB070F991}"/>
    <cellStyle name="Total 2 2 2 3 5 4 2" xfId="11756" xr:uid="{924B49B9-354D-42CA-A29C-DB28ABAB6F11}"/>
    <cellStyle name="Total 2 2 2 3 5 5" xfId="6562" xr:uid="{5D0E8F5E-A629-4DAD-A8CB-5E3286CBA84D}"/>
    <cellStyle name="Total 2 2 2 3 5 5 2" xfId="12266" xr:uid="{E56D7F81-5645-4F58-82E6-5CF8396CF409}"/>
    <cellStyle name="Total 2 2 2 3 5 6" xfId="7316" xr:uid="{79012093-A251-4F5B-9F23-6DD67DF0C69E}"/>
    <cellStyle name="Total 2 2 2 3 5 6 2" xfId="12888" xr:uid="{B7E42CEA-C736-4B9D-99FA-218333B71464}"/>
    <cellStyle name="Total 2 2 2 3 5 7" xfId="7851" xr:uid="{370EB772-FF81-4058-9380-1DA17588CF4D}"/>
    <cellStyle name="Total 2 2 2 3 5 7 2" xfId="13423" xr:uid="{A21FF0E3-418D-411D-9384-88D880A8EB75}"/>
    <cellStyle name="Total 2 2 2 3 5 8" xfId="9103" xr:uid="{CFD8FE84-DCB3-4472-91F2-3578E0FEB4A6}"/>
    <cellStyle name="Total 2 2 2 3 6" xfId="2757" xr:uid="{F85A2FC3-8626-4DB3-8A09-BA178B615CD8}"/>
    <cellStyle name="Total 2 2 2 3 6 2" xfId="3189" xr:uid="{302CA77F-5DC9-4BD7-9216-738AAF06C32D}"/>
    <cellStyle name="Total 2 2 2 3 6 2 2" xfId="4147" xr:uid="{71C71F01-9EEF-4D82-9C47-3E96AF89F35A}"/>
    <cellStyle name="Total 2 2 2 3 6 2 2 2" xfId="10243" xr:uid="{8C435D4C-C8D1-4963-88A7-907F0B32D022}"/>
    <cellStyle name="Total 2 2 2 3 6 2 3" xfId="7118" xr:uid="{3F51B6E6-6EB3-4050-B277-373D74814C55}"/>
    <cellStyle name="Total 2 2 2 3 6 2 3 2" xfId="12706" xr:uid="{A375947E-33F8-4BA3-9D79-BCADA6BC2E0A}"/>
    <cellStyle name="Total 2 2 2 3 6 2 4" xfId="7779" xr:uid="{E478B37D-4F76-4B75-B00B-1C97A3067450}"/>
    <cellStyle name="Total 2 2 2 3 6 2 4 2" xfId="13351" xr:uid="{3CFDE001-1837-47CF-A113-A6591A673CD1}"/>
    <cellStyle name="Total 2 2 2 3 6 2 5" xfId="8271" xr:uid="{D98AAF4D-3760-4ABB-822B-D875B315D883}"/>
    <cellStyle name="Total 2 2 2 3 6 2 5 2" xfId="13843" xr:uid="{8F04CF47-F9D9-48BD-A3BB-382A07328027}"/>
    <cellStyle name="Total 2 2 2 3 6 2 6" xfId="9523" xr:uid="{23472012-29B2-4CE8-9D58-8B64630DCFD3}"/>
    <cellStyle name="Total 2 2 2 3 6 3" xfId="3667" xr:uid="{9B08DBC5-5E88-4CA2-B7AC-E9D9A05150C6}"/>
    <cellStyle name="Total 2 2 2 3 6 3 2" xfId="9883" xr:uid="{4E62E704-73E5-4753-9612-6C7804A01517}"/>
    <cellStyle name="Total 2 2 2 3 6 4" xfId="6124" xr:uid="{B27AD4A1-08F1-470E-805B-9C974D0D46A2}"/>
    <cellStyle name="Total 2 2 2 3 6 4 2" xfId="11836" xr:uid="{38703942-9FB5-4E22-AE43-0BD43AE735D5}"/>
    <cellStyle name="Total 2 2 2 3 6 5" xfId="6634" xr:uid="{2EE0F16F-FA46-4FE6-A14E-B8BDC5522505}"/>
    <cellStyle name="Total 2 2 2 3 6 5 2" xfId="12338" xr:uid="{F7EE9F00-2110-449E-8821-6FDA2BAB092B}"/>
    <cellStyle name="Total 2 2 2 3 6 6" xfId="7378" xr:uid="{D7E217D2-429E-46DB-81E0-5DB3A861AB8F}"/>
    <cellStyle name="Total 2 2 2 3 6 6 2" xfId="12950" xr:uid="{9ACAA8EA-5616-4AC9-8877-97930B39A37F}"/>
    <cellStyle name="Total 2 2 2 3 6 7" xfId="7911" xr:uid="{4752C3A9-A3A7-48D6-988A-19339E14813B}"/>
    <cellStyle name="Total 2 2 2 3 6 7 2" xfId="13483" xr:uid="{9DDD79D4-02D4-4BCA-A967-1FBC3A7EF2A8}"/>
    <cellStyle name="Total 2 2 2 3 6 8" xfId="9163" xr:uid="{F6E2CB9F-FCD7-4016-AE2C-5684C90325B2}"/>
    <cellStyle name="Total 2 2 2 3 7" xfId="2857" xr:uid="{CF3E8F97-26F5-4DB0-9A9A-9FC64C5A291D}"/>
    <cellStyle name="Total 2 2 2 3 7 2" xfId="3781" xr:uid="{A28302FD-4A0D-4549-9977-FDC30AFCEF15}"/>
    <cellStyle name="Total 2 2 2 3 7 2 2" xfId="9943" xr:uid="{1852A46A-0518-4A13-BA08-6714967BB20E}"/>
    <cellStyle name="Total 2 2 2 3 7 3" xfId="6752" xr:uid="{90C2C014-A446-4450-AB39-6F5DEE4C9B12}"/>
    <cellStyle name="Total 2 2 2 3 7 3 2" xfId="12406" xr:uid="{2D8FA0B6-1888-4E70-B02C-E640B92E5224}"/>
    <cellStyle name="Total 2 2 2 3 7 4" xfId="7462" xr:uid="{F8E3468B-7E5B-4A66-917B-4BF21C485C1F}"/>
    <cellStyle name="Total 2 2 2 3 7 4 2" xfId="13034" xr:uid="{8B539FA7-B3C3-4304-ABF8-C49AA88BF0CE}"/>
    <cellStyle name="Total 2 2 2 3 7 5" xfId="7971" xr:uid="{B7CA48F2-DFC4-4AF7-B028-D7C84E4B759F}"/>
    <cellStyle name="Total 2 2 2 3 7 5 2" xfId="13543" xr:uid="{85BF3C33-1D8C-4F6A-86D2-9C50AB26F584}"/>
    <cellStyle name="Total 2 2 2 3 7 6" xfId="9223" xr:uid="{12158621-7694-4A79-A7FB-0545F3A96933}"/>
    <cellStyle name="Total 2 2 2 3 8" xfId="3301" xr:uid="{0F986C38-92CA-4B16-97A8-5E5EC09972A3}"/>
    <cellStyle name="Total 2 2 2 3 8 2" xfId="9583" xr:uid="{8A540064-CAD4-41AF-9BA2-A70BC9665338}"/>
    <cellStyle name="Total 2 2 2 3 9" xfId="4468" xr:uid="{68127B22-D8D3-4581-B502-A4CA4BC60F50}"/>
    <cellStyle name="Total 2 2 2 3 9 2" xfId="10380" xr:uid="{20C30A01-6759-4BB7-9EE5-24698EF45F82}"/>
    <cellStyle name="Total 2 2 2 4" xfId="8846" xr:uid="{5D1B839A-F52C-4AE8-A5E5-A1799CF6A393}"/>
    <cellStyle name="Total 2 2 2 5" xfId="2125" xr:uid="{D3070E39-6FA7-4A93-A0B3-A80DFF55C90D}"/>
    <cellStyle name="Total 2 2 3" xfId="1533" xr:uid="{7CC55D60-E0AB-4356-8190-6D20E5243348}"/>
    <cellStyle name="Total 2 2 3 10" xfId="4391" xr:uid="{868713ED-9D58-408D-9062-252222F2421E}"/>
    <cellStyle name="Total 2 2 3 10 2" xfId="10349" xr:uid="{93AA5E3E-3B07-4535-A622-640C6BB80D6C}"/>
    <cellStyle name="Total 2 2 3 11" xfId="4806" xr:uid="{F0DDD760-C6E1-4FBD-9190-93F50BDE7814}"/>
    <cellStyle name="Total 2 2 3 11 2" xfId="10652" xr:uid="{CF1A19BB-DB5E-4DE1-9549-214DD1FAF8FE}"/>
    <cellStyle name="Total 2 2 3 12" xfId="5417" xr:uid="{7292F07E-8163-4ED1-B877-F5C0BA5A618B}"/>
    <cellStyle name="Total 2 2 3 12 2" xfId="11215" xr:uid="{77B4A16E-FB57-42A1-8347-ED3553A4CF1F}"/>
    <cellStyle name="Total 2 2 3 13" xfId="5585" xr:uid="{0B114768-9FBF-4994-8DA6-BC82AB8C50CC}"/>
    <cellStyle name="Total 2 2 3 13 2" xfId="11313" xr:uid="{CFD04014-0D04-4A0B-855A-EFDC8A6CEB8F}"/>
    <cellStyle name="Total 2 2 3 14" xfId="5268" xr:uid="{539C5F18-E54E-4334-B743-1810985E725D}"/>
    <cellStyle name="Total 2 2 3 14 2" xfId="11114" xr:uid="{EDBA82B8-175E-4A5E-92A0-9600ECF0D9B2}"/>
    <cellStyle name="Total 2 2 3 15" xfId="5738" xr:uid="{CBB87BCD-FC6F-4AC3-8C1F-2D6B0F597FF9}"/>
    <cellStyle name="Total 2 2 3 15 2" xfId="11466" xr:uid="{9FF2D342-8ECB-4C80-AED3-715753F2522C}"/>
    <cellStyle name="Total 2 2 3 16" xfId="5685" xr:uid="{54E5C6DC-96B8-4A5B-8804-40B58D6A62E9}"/>
    <cellStyle name="Total 2 2 3 16 2" xfId="11413" xr:uid="{1A1038DB-6A04-4D13-BDF0-2B16B61C3ADF}"/>
    <cellStyle name="Total 2 2 3 17" xfId="5785" xr:uid="{2491ADD6-A83F-4FE4-8219-DCBDF0F71079}"/>
    <cellStyle name="Total 2 2 3 17 2" xfId="11513" xr:uid="{054D6EB9-D0CF-48BC-8791-2119FD60E302}"/>
    <cellStyle name="Total 2 2 3 18" xfId="6494" xr:uid="{BA5C5FCC-0C48-4BEB-B5C6-D0C47EFF6834}"/>
    <cellStyle name="Total 2 2 3 18 2" xfId="12198" xr:uid="{85581DC4-F2E5-44F8-9DE2-C8F9CDF18A8D}"/>
    <cellStyle name="Total 2 2 3 19" xfId="8437" xr:uid="{EBA1D294-E1FC-448B-96F3-4ACA4B6E2BEF}"/>
    <cellStyle name="Total 2 2 3 19 2" xfId="13917" xr:uid="{2BF67662-7CC5-4809-974C-25C243925995}"/>
    <cellStyle name="Total 2 2 3 2" xfId="2415" xr:uid="{7747BFE0-3453-4CF3-BB2D-558591CBE533}"/>
    <cellStyle name="Total 2 2 3 2 10" xfId="6520" xr:uid="{2E75BB66-92E7-45B3-970B-ABE86C35EC77}"/>
    <cellStyle name="Total 2 2 3 2 10 2" xfId="12224" xr:uid="{DB4075D1-56BA-4510-A7A0-EF1C8DBF46BF}"/>
    <cellStyle name="Total 2 2 3 2 11" xfId="6622" xr:uid="{2C9814AF-117E-4D6A-8FA0-91C76FD69A11}"/>
    <cellStyle name="Total 2 2 3 2 11 2" xfId="12326" xr:uid="{CC5E7D29-6165-4C99-B9A0-B9FFB80CDDBE}"/>
    <cellStyle name="Total 2 2 3 2 12" xfId="8629" xr:uid="{E4DED1A3-6809-4F92-96DE-9FBAD20BC07D}"/>
    <cellStyle name="Total 2 2 3 2 12 2" xfId="14017" xr:uid="{84E8BF8C-13B3-4D28-A1A2-D0DD1D3C21A9}"/>
    <cellStyle name="Total 2 2 3 2 13" xfId="8977" xr:uid="{E9052A3B-EF86-478C-B2AB-00C9221D3861}"/>
    <cellStyle name="Total 2 2 3 2 2" xfId="3003" xr:uid="{C6F9D3FE-58DA-4105-9F1F-D6E7F723198E}"/>
    <cellStyle name="Total 2 2 3 2 2 2" xfId="3943" xr:uid="{6EA53BDC-3F90-49B6-9F00-12A4BF5C8EFD}"/>
    <cellStyle name="Total 2 2 3 2 2 2 2" xfId="10057" xr:uid="{7C8F6921-D842-4C54-A036-312415D44CB0}"/>
    <cellStyle name="Total 2 2 3 2 2 3" xfId="6914" xr:uid="{61B9A61B-678B-4760-BA34-54357A9C6539}"/>
    <cellStyle name="Total 2 2 3 2 2 3 2" xfId="12520" xr:uid="{6E110D10-AB64-47E9-BDBD-E510789E4C50}"/>
    <cellStyle name="Total 2 2 3 2 2 4" xfId="7592" xr:uid="{EDBDC79A-F701-4B34-96E3-D0FDB2F3C700}"/>
    <cellStyle name="Total 2 2 3 2 2 4 2" xfId="13164" xr:uid="{F10C4CAD-3F24-426F-B600-3BD04780401D}"/>
    <cellStyle name="Total 2 2 3 2 2 5" xfId="8085" xr:uid="{69C60EB5-7174-4885-ADE5-00BC0A363D35}"/>
    <cellStyle name="Total 2 2 3 2 2 5 2" xfId="13657" xr:uid="{F5997132-F797-4B4A-BD31-8C72BFDACC89}"/>
    <cellStyle name="Total 2 2 3 2 2 6" xfId="9337" xr:uid="{DF5284A8-D43D-480A-AA53-A22498836368}"/>
    <cellStyle name="Total 2 2 3 2 3" xfId="3463" xr:uid="{AB15115D-F9F6-4D01-9E13-6A62F1D6E0B0}"/>
    <cellStyle name="Total 2 2 3 2 3 2" xfId="9697" xr:uid="{165DF6E9-27EE-44E5-86A4-67C12095B3F5}"/>
    <cellStyle name="Total 2 2 3 2 4" xfId="4656" xr:uid="{C628AA47-1460-4E81-8136-41ADCB178B8D}"/>
    <cellStyle name="Total 2 2 3 2 4 2" xfId="10520" xr:uid="{C58F860B-F634-4F8B-8ABF-88B359537301}"/>
    <cellStyle name="Total 2 2 3 2 5" xfId="4895" xr:uid="{3C961192-C73A-4F0F-B877-88EC193151A7}"/>
    <cellStyle name="Total 2 2 3 2 5 2" xfId="10741" xr:uid="{E17FF595-DCAD-4802-90ED-13662A82F958}"/>
    <cellStyle name="Total 2 2 3 2 6" xfId="5051" xr:uid="{B6E85A4D-6F57-4B95-BFB2-C099540682B2}"/>
    <cellStyle name="Total 2 2 3 2 6 2" xfId="10897" xr:uid="{A363626C-3AA6-49DF-88F5-B1AF0BFCF562}"/>
    <cellStyle name="Total 2 2 3 2 7" xfId="5821" xr:uid="{C52C0972-69B3-4AE6-A5FC-3EF71B48665F}"/>
    <cellStyle name="Total 2 2 3 2 7 2" xfId="11549" xr:uid="{0BD1C082-519D-43E7-B088-A6DFF1487B85}"/>
    <cellStyle name="Total 2 2 3 2 8" xfId="5311" xr:uid="{93A6FA26-C4C9-4F22-9BE5-D3946F3A2317}"/>
    <cellStyle name="Total 2 2 3 2 8 2" xfId="11155" xr:uid="{D544C963-BEA8-46B7-86A9-48E5134F12D6}"/>
    <cellStyle name="Total 2 2 3 2 9" xfId="6358" xr:uid="{F49E1A57-D930-4B08-B23E-5D4FDBB4C145}"/>
    <cellStyle name="Total 2 2 3 2 9 2" xfId="12062" xr:uid="{BFAA11C9-E08C-4630-90FB-786DA49AD487}"/>
    <cellStyle name="Total 2 2 3 20" xfId="8877" xr:uid="{5653C2E6-DDE8-4333-B6AE-2D8EF06EAB67}"/>
    <cellStyle name="Total 2 2 3 21" xfId="2223" xr:uid="{998F844C-C62D-4F14-917D-C9275FF99B45}"/>
    <cellStyle name="Total 2 2 3 3" xfId="2521" xr:uid="{E7B548F2-954B-4C26-8EBC-3D29FDD24FEE}"/>
    <cellStyle name="Total 2 2 3 3 10" xfId="7213" xr:uid="{38D0F35B-B827-4980-B57D-0A124FAF560A}"/>
    <cellStyle name="Total 2 2 3 3 10 2" xfId="12785" xr:uid="{1AF4A308-D4CA-4FBB-A535-00401E8FDC4C}"/>
    <cellStyle name="Total 2 2 3 3 11" xfId="7264" xr:uid="{71CED1FD-44B5-4BA6-BF06-A4A716F98BEE}"/>
    <cellStyle name="Total 2 2 3 3 11 2" xfId="12836" xr:uid="{C68E01BD-594A-4F5C-970B-4ED019EFD36F}"/>
    <cellStyle name="Total 2 2 3 3 12" xfId="8735" xr:uid="{A7D11AE9-6F66-4177-B73E-AFE89926A2D3}"/>
    <cellStyle name="Total 2 2 3 3 12 2" xfId="14091" xr:uid="{F6F7A192-5774-4C11-A34E-DABB1C14418C}"/>
    <cellStyle name="Total 2 2 3 3 13" xfId="9051" xr:uid="{5EE143AE-BF9E-4461-8A54-18D432CDFEE6}"/>
    <cellStyle name="Total 2 2 3 3 2" xfId="3077" xr:uid="{A1986431-A1FE-4351-953F-DBA34E4D9C68}"/>
    <cellStyle name="Total 2 2 3 3 2 2" xfId="4017" xr:uid="{6C1D6A91-08D7-4375-ACE1-730D37479B8A}"/>
    <cellStyle name="Total 2 2 3 3 2 2 2" xfId="10131" xr:uid="{93FDEA25-1537-4868-9FC1-509278BD9E5F}"/>
    <cellStyle name="Total 2 2 3 3 2 3" xfId="6988" xr:uid="{B730B38E-B4DD-49BF-8D03-AB4294C392F8}"/>
    <cellStyle name="Total 2 2 3 3 2 3 2" xfId="12594" xr:uid="{0F067D2B-A1B8-429E-94B4-082626DC6AB4}"/>
    <cellStyle name="Total 2 2 3 3 2 4" xfId="7666" xr:uid="{BD4A2FCB-3AB1-4A76-95D2-8D99033D9CFA}"/>
    <cellStyle name="Total 2 2 3 3 2 4 2" xfId="13238" xr:uid="{8B6BC91A-F9F1-42C7-AA9D-351B353384B0}"/>
    <cellStyle name="Total 2 2 3 3 2 5" xfId="8159" xr:uid="{0A02FE02-DD75-4BA5-BC84-93C1E6E4510C}"/>
    <cellStyle name="Total 2 2 3 3 2 5 2" xfId="13731" xr:uid="{2995BAAA-ED56-47CB-8ECB-B3155AB2F716}"/>
    <cellStyle name="Total 2 2 3 3 2 6" xfId="9411" xr:uid="{C92F1B23-79FF-43FA-947C-646B03815F96}"/>
    <cellStyle name="Total 2 2 3 3 3" xfId="3537" xr:uid="{1D136361-A31A-493D-9167-E42B70158E6D}"/>
    <cellStyle name="Total 2 2 3 3 3 2" xfId="9771" xr:uid="{B9A45AC6-56B7-4B96-B5DE-DC39519891FB}"/>
    <cellStyle name="Total 2 2 3 3 4" xfId="4734" xr:uid="{DBD664F2-7C8D-430F-8A84-A80B5FBC07B6}"/>
    <cellStyle name="Total 2 2 3 3 4 2" xfId="10598" xr:uid="{266ABFE9-D0C8-4D29-B9A0-5B977055208D}"/>
    <cellStyle name="Total 2 2 3 3 5" xfId="4977" xr:uid="{CAE848CA-C0BD-4682-BF83-F87CBC7F67D2}"/>
    <cellStyle name="Total 2 2 3 3 5 2" xfId="10823" xr:uid="{B55ECA60-84E5-4DC0-A778-043974A3E3B7}"/>
    <cellStyle name="Total 2 2 3 3 6" xfId="5125" xr:uid="{D662EBC5-35B2-45B2-82BA-9A13A96C66A5}"/>
    <cellStyle name="Total 2 2 3 3 6 2" xfId="10971" xr:uid="{D835ECD3-E53E-4E0A-AE6E-D5EFC0599B4A}"/>
    <cellStyle name="Total 2 2 3 3 7" xfId="5916" xr:uid="{89330D08-638E-4ACD-9738-42EA4861A4B2}"/>
    <cellStyle name="Total 2 2 3 3 7 2" xfId="11644" xr:uid="{C20F22BA-587D-4BDE-A152-01AD9300F86B}"/>
    <cellStyle name="Total 2 2 3 3 8" xfId="6246" xr:uid="{7A7BF107-41FD-4A9A-8816-BEAE260277C8}"/>
    <cellStyle name="Total 2 2 3 3 8 2" xfId="11950" xr:uid="{0657FCE1-8711-4E12-97B6-F2D7F811060C}"/>
    <cellStyle name="Total 2 2 3 3 9" xfId="6448" xr:uid="{AD1F5D12-E8A1-4B6F-9CEE-84F5DF768AA9}"/>
    <cellStyle name="Total 2 2 3 3 9 2" xfId="12152" xr:uid="{2F01EBC1-432E-4F5C-9CD2-C76B31B76BD2}"/>
    <cellStyle name="Total 2 2 3 4" xfId="2423" xr:uid="{0B61C4C9-41B8-4B58-B61D-500071B92C36}"/>
    <cellStyle name="Total 2 2 3 4 10" xfId="6409" xr:uid="{B4375FE0-0E6E-43BC-A9C3-9BD6D14D08AD}"/>
    <cellStyle name="Total 2 2 3 4 10 2" xfId="12113" xr:uid="{C2F8F16C-77C7-4EC2-B891-25D3CEA3C9B1}"/>
    <cellStyle name="Total 2 2 3 4 11" xfId="7304" xr:uid="{411FBEAF-D874-4D6A-BDD4-1FF75BE75FFF}"/>
    <cellStyle name="Total 2 2 3 4 11 2" xfId="12876" xr:uid="{AB926496-1D71-4B1F-BC17-63A7EA4FE36D}"/>
    <cellStyle name="Total 2 2 3 4 12" xfId="8637" xr:uid="{907FBEB7-D8F6-4B81-8FD8-5609BAE8478D}"/>
    <cellStyle name="Total 2 2 3 4 12 2" xfId="14025" xr:uid="{237D0938-8065-4CD8-A53A-B7B4C63E5DE0}"/>
    <cellStyle name="Total 2 2 3 4 13" xfId="8985" xr:uid="{0DE0605F-8CB3-4548-A42A-779159590931}"/>
    <cellStyle name="Total 2 2 3 4 2" xfId="3011" xr:uid="{7CACBF93-7A9E-4BD3-AE72-201ACFAA33BC}"/>
    <cellStyle name="Total 2 2 3 4 2 2" xfId="3951" xr:uid="{43B3979C-396E-412B-A775-C43E52C46A1D}"/>
    <cellStyle name="Total 2 2 3 4 2 2 2" xfId="10065" xr:uid="{36E2D305-4770-411D-84A8-44D8788E6445}"/>
    <cellStyle name="Total 2 2 3 4 2 3" xfId="6922" xr:uid="{20ED5013-12D0-47F7-8A73-4DB209C53B8E}"/>
    <cellStyle name="Total 2 2 3 4 2 3 2" xfId="12528" xr:uid="{32A82512-5279-43C8-B8BC-F6B76848484F}"/>
    <cellStyle name="Total 2 2 3 4 2 4" xfId="7600" xr:uid="{E2855395-AF66-4D22-BA2E-B76C50E92E74}"/>
    <cellStyle name="Total 2 2 3 4 2 4 2" xfId="13172" xr:uid="{7F4552C4-E601-4C1F-BD8C-B21ED92045E7}"/>
    <cellStyle name="Total 2 2 3 4 2 5" xfId="8093" xr:uid="{50CA2E90-EE49-40AB-BF67-6E5F3E002F47}"/>
    <cellStyle name="Total 2 2 3 4 2 5 2" xfId="13665" xr:uid="{8AF2AFA6-8DE5-4771-85D3-92C96FD9AE26}"/>
    <cellStyle name="Total 2 2 3 4 2 6" xfId="9345" xr:uid="{8786AFBA-CA4C-4FE9-AB59-1103A3E82D20}"/>
    <cellStyle name="Total 2 2 3 4 3" xfId="3471" xr:uid="{B2CF2E37-86EC-4DA2-89F3-84289F580D3B}"/>
    <cellStyle name="Total 2 2 3 4 3 2" xfId="9705" xr:uid="{C9B8B709-33C9-4082-869D-B5BC1578F876}"/>
    <cellStyle name="Total 2 2 3 4 4" xfId="4664" xr:uid="{FEED854B-DF9A-4B6E-8844-3C19D3FE86C9}"/>
    <cellStyle name="Total 2 2 3 4 4 2" xfId="10528" xr:uid="{9BA8D129-B20D-461B-8F66-B426D4755B48}"/>
    <cellStyle name="Total 2 2 3 4 5" xfId="4903" xr:uid="{DFDF0C59-DC57-4F3C-81FE-80362FB332AB}"/>
    <cellStyle name="Total 2 2 3 4 5 2" xfId="10749" xr:uid="{0A16384D-CFFE-43B7-A2D6-803C677CB06C}"/>
    <cellStyle name="Total 2 2 3 4 6" xfId="5059" xr:uid="{6C4958EA-A6BA-4209-9FEF-493478113D9E}"/>
    <cellStyle name="Total 2 2 3 4 6 2" xfId="10905" xr:uid="{6924834B-2F04-4AD6-A468-109EF82C9BE4}"/>
    <cellStyle name="Total 2 2 3 4 7" xfId="5829" xr:uid="{76B9A473-7F0F-4465-A2FF-7897C919278A}"/>
    <cellStyle name="Total 2 2 3 4 7 2" xfId="11557" xr:uid="{B7382C88-2941-433F-809C-8DF83FAAF31A}"/>
    <cellStyle name="Total 2 2 3 4 8" xfId="5235" xr:uid="{14CDD2E7-039E-4DAF-9D8C-FEF0FF9D7CAF}"/>
    <cellStyle name="Total 2 2 3 4 8 2" xfId="11081" xr:uid="{F05DC323-4456-446B-933F-F96C1A2E4141}"/>
    <cellStyle name="Total 2 2 3 4 9" xfId="6366" xr:uid="{E91DB5F1-FD0C-4CC4-8D5B-F9D53982673E}"/>
    <cellStyle name="Total 2 2 3 4 9 2" xfId="12070" xr:uid="{D694B998-83EF-43DA-A226-C8C2CAC03E1F}"/>
    <cellStyle name="Total 2 2 3 5" xfId="2679" xr:uid="{D86E112A-6973-48A9-B8A7-29F715912181}"/>
    <cellStyle name="Total 2 2 3 5 2" xfId="3143" xr:uid="{70C48152-47FD-4A46-AEFC-1A2BAB01D4D9}"/>
    <cellStyle name="Total 2 2 3 5 2 2" xfId="4101" xr:uid="{591DD268-2FDA-4E11-83E3-09031F4B486C}"/>
    <cellStyle name="Total 2 2 3 5 2 2 2" xfId="10197" xr:uid="{68D8E7B5-733C-4214-82BA-85C654AED2EE}"/>
    <cellStyle name="Total 2 2 3 5 2 3" xfId="7072" xr:uid="{70A094C7-8EEF-4C58-B831-1294E77B3D79}"/>
    <cellStyle name="Total 2 2 3 5 2 3 2" xfId="12660" xr:uid="{AE5F00D8-6C90-4AB7-9460-42CBFB25C503}"/>
    <cellStyle name="Total 2 2 3 5 2 4" xfId="7733" xr:uid="{E3534618-C05F-43E5-BA26-798B595C1B0B}"/>
    <cellStyle name="Total 2 2 3 5 2 4 2" xfId="13305" xr:uid="{358B3646-4933-401F-84F6-44EB99BD46C1}"/>
    <cellStyle name="Total 2 2 3 5 2 5" xfId="8225" xr:uid="{94ACC82F-1BC5-49C6-B6FA-491173E8B8C2}"/>
    <cellStyle name="Total 2 2 3 5 2 5 2" xfId="13797" xr:uid="{67AED08A-67A7-4EB8-9ED3-784A8BB64CC1}"/>
    <cellStyle name="Total 2 2 3 5 2 6" xfId="9477" xr:uid="{9046C7FF-445B-4DD2-B039-5052DB8F6D11}"/>
    <cellStyle name="Total 2 2 3 5 3" xfId="3621" xr:uid="{AA0192D9-1717-4E86-B0B3-1EA771CF3300}"/>
    <cellStyle name="Total 2 2 3 5 3 2" xfId="9837" xr:uid="{2175DDF3-6A6B-4B3D-A2EE-67196406E136}"/>
    <cellStyle name="Total 2 2 3 5 4" xfId="6058" xr:uid="{41754CC3-431F-4482-9A2E-C4CC6757DA8E}"/>
    <cellStyle name="Total 2 2 3 5 4 2" xfId="11770" xr:uid="{78FDBDC6-002D-4184-BC06-A8AD245C7300}"/>
    <cellStyle name="Total 2 2 3 5 5" xfId="6576" xr:uid="{FBA2E195-1FF2-4E33-B585-3BBE3658142F}"/>
    <cellStyle name="Total 2 2 3 5 5 2" xfId="12280" xr:uid="{38F5D024-22C8-4648-9710-6AB696B9C463}"/>
    <cellStyle name="Total 2 2 3 5 6" xfId="7330" xr:uid="{8DF5C1E7-AA48-4197-8F2E-A346DEED1296}"/>
    <cellStyle name="Total 2 2 3 5 6 2" xfId="12902" xr:uid="{D76B88C1-A49E-45AD-83F5-7348DD7C895D}"/>
    <cellStyle name="Total 2 2 3 5 7" xfId="7865" xr:uid="{33A2E4E3-6937-4414-97ED-1D1503C31F5A}"/>
    <cellStyle name="Total 2 2 3 5 7 2" xfId="13437" xr:uid="{CA5171A2-22C0-420F-8EC1-2618F438E16C}"/>
    <cellStyle name="Total 2 2 3 5 8" xfId="9117" xr:uid="{CF4C092B-7817-48C8-9503-BFEF924C39F0}"/>
    <cellStyle name="Total 2 2 3 6" xfId="2771" xr:uid="{B7DF82F5-DD12-4871-B80C-18DB6D3FF20E}"/>
    <cellStyle name="Total 2 2 3 6 2" xfId="3203" xr:uid="{548223D9-AA13-43D3-8534-FB3A6ABA5E7F}"/>
    <cellStyle name="Total 2 2 3 6 2 2" xfId="4161" xr:uid="{704971C5-4860-4F1B-9C79-B4F2FA031301}"/>
    <cellStyle name="Total 2 2 3 6 2 2 2" xfId="10257" xr:uid="{7C14ABA0-E6BA-4683-9A55-328202FD5C18}"/>
    <cellStyle name="Total 2 2 3 6 2 3" xfId="7132" xr:uid="{7E4A32EE-3C4D-4306-A2C3-1A863146A3A5}"/>
    <cellStyle name="Total 2 2 3 6 2 3 2" xfId="12720" xr:uid="{8EA42FE0-90E8-4601-88BC-CEBC88CC149B}"/>
    <cellStyle name="Total 2 2 3 6 2 4" xfId="7793" xr:uid="{EBE02BD7-DA29-4B88-98E8-062538E3D2E0}"/>
    <cellStyle name="Total 2 2 3 6 2 4 2" xfId="13365" xr:uid="{F20FA391-3FED-4293-9C84-DFCB1E8C686D}"/>
    <cellStyle name="Total 2 2 3 6 2 5" xfId="8285" xr:uid="{AE52BFFD-EB10-443C-872E-7EBB10B3439F}"/>
    <cellStyle name="Total 2 2 3 6 2 5 2" xfId="13857" xr:uid="{4521A1A9-6A31-4323-B675-BC0AFA7BA419}"/>
    <cellStyle name="Total 2 2 3 6 2 6" xfId="9537" xr:uid="{DA3B86BC-07B2-49C6-922A-B9D123E4BCCE}"/>
    <cellStyle name="Total 2 2 3 6 3" xfId="3681" xr:uid="{6BD1BA07-CC57-4A89-BACA-AC6308ECE28C}"/>
    <cellStyle name="Total 2 2 3 6 3 2" xfId="9897" xr:uid="{0FA874FE-48A7-4ACB-AF11-B3B349ABC514}"/>
    <cellStyle name="Total 2 2 3 6 4" xfId="6138" xr:uid="{54B31225-F486-4429-A03F-885D90E2A35D}"/>
    <cellStyle name="Total 2 2 3 6 4 2" xfId="11850" xr:uid="{E9811B6F-5361-4318-800A-212C5334A961}"/>
    <cellStyle name="Total 2 2 3 6 5" xfId="6648" xr:uid="{2DBCAC08-A018-4473-9589-27E4B0BCE387}"/>
    <cellStyle name="Total 2 2 3 6 5 2" xfId="12352" xr:uid="{31D79871-6F57-4CB0-9A4E-9C91590489DA}"/>
    <cellStyle name="Total 2 2 3 6 6" xfId="7392" xr:uid="{23418FD2-19F7-439A-9A7D-440EDA9EF429}"/>
    <cellStyle name="Total 2 2 3 6 6 2" xfId="12964" xr:uid="{A7CAC7AB-D930-42EE-9319-96C3CB95880D}"/>
    <cellStyle name="Total 2 2 3 6 7" xfId="7925" xr:uid="{90301B28-2450-41AF-A1F1-C4DE1B9453BA}"/>
    <cellStyle name="Total 2 2 3 6 7 2" xfId="13497" xr:uid="{4F45F702-7393-4B40-8850-EB691203B647}"/>
    <cellStyle name="Total 2 2 3 6 8" xfId="9177" xr:uid="{F21CF57D-C5A9-47B5-847C-2DF2E038F97E}"/>
    <cellStyle name="Total 2 2 3 7" xfId="2871" xr:uid="{9946652F-DD4D-40C1-8CA2-2D01B4997678}"/>
    <cellStyle name="Total 2 2 3 7 2" xfId="3795" xr:uid="{259F2F8F-40FB-4D95-9204-7039AD62260D}"/>
    <cellStyle name="Total 2 2 3 7 2 2" xfId="9957" xr:uid="{E459A1A2-F39A-4EB0-B515-A0D95E584D6A}"/>
    <cellStyle name="Total 2 2 3 7 3" xfId="6766" xr:uid="{F601C8EC-892A-47DA-8EAC-CABBFA6E887F}"/>
    <cellStyle name="Total 2 2 3 7 3 2" xfId="12420" xr:uid="{095F5D7C-9912-4314-AD0D-17E5439FAF51}"/>
    <cellStyle name="Total 2 2 3 7 4" xfId="7476" xr:uid="{9CDB4865-8B8E-4055-BC0A-60E291DC94D6}"/>
    <cellStyle name="Total 2 2 3 7 4 2" xfId="13048" xr:uid="{E3E765D7-7925-4711-87E8-3092B47AB36B}"/>
    <cellStyle name="Total 2 2 3 7 5" xfId="7985" xr:uid="{D01CCEDC-37F3-4FD2-9E75-84714FB3DD9F}"/>
    <cellStyle name="Total 2 2 3 7 5 2" xfId="13557" xr:uid="{94BC71D7-5AF0-413F-A41E-7DBD51385927}"/>
    <cellStyle name="Total 2 2 3 7 6" xfId="9237" xr:uid="{AB3C244F-D117-4691-B928-EBD95075E52D}"/>
    <cellStyle name="Total 2 2 3 8" xfId="3315" xr:uid="{1101D4FF-EFC1-4B63-88FD-7B146DEA4E8F}"/>
    <cellStyle name="Total 2 2 3 8 2" xfId="9597" xr:uid="{62A1222C-EFC1-48AB-8C7E-05881BCAA465}"/>
    <cellStyle name="Total 2 2 3 9" xfId="4482" xr:uid="{4F221153-5048-4186-93AD-646B7BBCCCF4}"/>
    <cellStyle name="Total 2 2 3 9 2" xfId="10394" xr:uid="{6BAD8F79-7340-4549-9CA2-B71FB44EF569}"/>
    <cellStyle name="Total 2 2 4" xfId="1536" xr:uid="{F995241C-15C6-4758-BC63-2D6B7BB8F1CD}"/>
    <cellStyle name="Total 2 2 4 10" xfId="4355" xr:uid="{C51DAE44-AC38-4B01-94F5-539B913496C4}"/>
    <cellStyle name="Total 2 2 4 10 2" xfId="10315" xr:uid="{8923BB62-7E80-497E-B988-820E8E738FCC}"/>
    <cellStyle name="Total 2 2 4 11" xfId="4628" xr:uid="{3D94AE64-A350-49B4-A9A2-E8655F46C629}"/>
    <cellStyle name="Total 2 2 4 11 2" xfId="10492" xr:uid="{EB755254-19AD-4520-9378-BB0FE28AFC7C}"/>
    <cellStyle name="Total 2 2 4 12" xfId="5454" xr:uid="{C04E63C5-89EC-4E55-B2EC-2D36478CC2C4}"/>
    <cellStyle name="Total 2 2 4 12 2" xfId="11248" xr:uid="{FD47B997-7CF0-4FB7-9DC8-64919837BE1B}"/>
    <cellStyle name="Total 2 2 4 13" xfId="5622" xr:uid="{B224347F-100A-4318-90CC-47CA2B136BC9}"/>
    <cellStyle name="Total 2 2 4 13 2" xfId="11350" xr:uid="{729090BB-A10B-4E89-81CF-DCAD257728BC}"/>
    <cellStyle name="Total 2 2 4 14" xfId="5199" xr:uid="{8AAE47AB-11DA-4428-BAF9-E1A394C9C625}"/>
    <cellStyle name="Total 2 2 4 14 2" xfId="11045" xr:uid="{6CA06381-1A47-47B2-99D8-7FA6835E87EB}"/>
    <cellStyle name="Total 2 2 4 15" xfId="6106" xr:uid="{E9136B2D-7F13-4F11-AF02-D8B3F1BE85A8}"/>
    <cellStyle name="Total 2 2 4 15 2" xfId="11818" xr:uid="{7C074520-246E-4210-8D14-1E3556E88803}"/>
    <cellStyle name="Total 2 2 4 16" xfId="5642" xr:uid="{80F9AF5C-358E-4F28-AF67-F9B89F05ED61}"/>
    <cellStyle name="Total 2 2 4 16 2" xfId="11370" xr:uid="{B5803703-4B4B-41BC-B80A-16A683E9CA99}"/>
    <cellStyle name="Total 2 2 4 17" xfId="6509" xr:uid="{1572757C-A578-41E4-9582-4EB4AEA0BAF2}"/>
    <cellStyle name="Total 2 2 4 17 2" xfId="12213" xr:uid="{02391197-7A3C-458C-9B09-FA7572EB7A1A}"/>
    <cellStyle name="Total 2 2 4 18" xfId="5536" xr:uid="{FDC71ACA-806A-4795-968A-2904D49A9102}"/>
    <cellStyle name="Total 2 2 4 18 2" xfId="11264" xr:uid="{EBBFEDC5-8265-44DA-B2F3-1B2DB84D4A43}"/>
    <cellStyle name="Total 2 2 4 19" xfId="8470" xr:uid="{D05D8CED-862E-45C5-87FD-CE9A90D371E3}"/>
    <cellStyle name="Total 2 2 4 19 2" xfId="13950" xr:uid="{648B4293-1684-4FF4-B11C-C936885D1353}"/>
    <cellStyle name="Total 2 2 4 2" xfId="2450" xr:uid="{69DE4D7D-F205-48C3-956D-2946F6562C9A}"/>
    <cellStyle name="Total 2 2 4 2 10" xfId="6292" xr:uid="{AC45E440-426D-46E1-A63F-5B39CAB091F7}"/>
    <cellStyle name="Total 2 2 4 2 10 2" xfId="11996" xr:uid="{79D82491-45D2-405C-A44D-0D5B35F9CF75}"/>
    <cellStyle name="Total 2 2 4 2 11" xfId="7297" xr:uid="{C0E29798-518F-42EE-A716-245FB1AA1994}"/>
    <cellStyle name="Total 2 2 4 2 11 2" xfId="12869" xr:uid="{4AD6815D-E29C-4534-89F3-32DC0A91255A}"/>
    <cellStyle name="Total 2 2 4 2 12" xfId="8664" xr:uid="{EE0A9084-A600-48FB-8DF1-25752BDA5AEA}"/>
    <cellStyle name="Total 2 2 4 2 12 2" xfId="14052" xr:uid="{FE16F661-FF07-460F-B045-F7BE20D9D8E5}"/>
    <cellStyle name="Total 2 2 4 2 13" xfId="9012" xr:uid="{50C1B0EE-FE98-48EF-A8A1-C4D14DDC1827}"/>
    <cellStyle name="Total 2 2 4 2 2" xfId="3038" xr:uid="{F284CBAA-D866-44D7-B3A4-EBA0F1CE88A0}"/>
    <cellStyle name="Total 2 2 4 2 2 2" xfId="3978" xr:uid="{11D1D119-BC38-47BE-847B-2115C0B93F96}"/>
    <cellStyle name="Total 2 2 4 2 2 2 2" xfId="10092" xr:uid="{028B6D17-12EC-4E39-B03E-34F0B0503F32}"/>
    <cellStyle name="Total 2 2 4 2 2 3" xfId="6949" xr:uid="{147AD195-0F08-47F5-AEFA-65323E56142D}"/>
    <cellStyle name="Total 2 2 4 2 2 3 2" xfId="12555" xr:uid="{C5AB736D-92C7-46A1-9F56-992ACB1B8FCD}"/>
    <cellStyle name="Total 2 2 4 2 2 4" xfId="7627" xr:uid="{E9220D8B-1DC6-4C92-B038-93713EFCF5D9}"/>
    <cellStyle name="Total 2 2 4 2 2 4 2" xfId="13199" xr:uid="{AF19C48B-0F90-4363-B32C-1D0B1620A80A}"/>
    <cellStyle name="Total 2 2 4 2 2 5" xfId="8120" xr:uid="{9E4EC697-6691-4EBE-9DFA-FA6D8CE8BDB8}"/>
    <cellStyle name="Total 2 2 4 2 2 5 2" xfId="13692" xr:uid="{5C63C951-1B23-4421-9501-EAF80CFC7D48}"/>
    <cellStyle name="Total 2 2 4 2 2 6" xfId="9372" xr:uid="{8633FF3F-3F0A-4E38-A316-F558E013DECE}"/>
    <cellStyle name="Total 2 2 4 2 3" xfId="3498" xr:uid="{034CA6FF-A1CA-4787-9B9E-EC6A3659F5B8}"/>
    <cellStyle name="Total 2 2 4 2 3 2" xfId="9732" xr:uid="{BCA9829A-AD76-4A2A-80DB-8266FFC1C8E4}"/>
    <cellStyle name="Total 2 2 4 2 4" xfId="4691" xr:uid="{AF9972B2-A60B-4F1B-B749-0F9A0108304E}"/>
    <cellStyle name="Total 2 2 4 2 4 2" xfId="10555" xr:uid="{11D7E8D8-4288-4323-B9F6-14B2F8A4B32A}"/>
    <cellStyle name="Total 2 2 4 2 5" xfId="4930" xr:uid="{0AD20525-428C-441F-AB3E-8C2F398A0434}"/>
    <cellStyle name="Total 2 2 4 2 5 2" xfId="10776" xr:uid="{790A9993-B2F9-48E9-9AD4-D746700239D6}"/>
    <cellStyle name="Total 2 2 4 2 6" xfId="5086" xr:uid="{0DF48D12-98DF-4E34-BBD9-34D7F055DA1A}"/>
    <cellStyle name="Total 2 2 4 2 6 2" xfId="10932" xr:uid="{C8411105-ABAF-423A-9B14-471AA68D34FD}"/>
    <cellStyle name="Total 2 2 4 2 7" xfId="5856" xr:uid="{EE4BE0A0-0825-438E-A713-36DF77370CEB}"/>
    <cellStyle name="Total 2 2 4 2 7 2" xfId="11584" xr:uid="{1BFA4863-5159-4589-9805-DC194E96897A}"/>
    <cellStyle name="Total 2 2 4 2 8" xfId="6185" xr:uid="{C8CC716C-00D6-434A-B792-B79BB2E6E2C0}"/>
    <cellStyle name="Total 2 2 4 2 8 2" xfId="11889" xr:uid="{D979218F-646C-4844-AA87-385CFF63FECC}"/>
    <cellStyle name="Total 2 2 4 2 9" xfId="6393" xr:uid="{982BFE2E-A1ED-4448-A046-826FED0E83C1}"/>
    <cellStyle name="Total 2 2 4 2 9 2" xfId="12097" xr:uid="{87E11BD5-F840-44E3-A11D-7A58E4EA5D5F}"/>
    <cellStyle name="Total 2 2 4 20" xfId="8910" xr:uid="{7CB4B1F9-6DBC-447B-95E5-CE3E81E7CF03}"/>
    <cellStyle name="Total 2 2 4 21" xfId="2256" xr:uid="{D23015E7-6E2F-4796-A323-F3E52DCCFBEB}"/>
    <cellStyle name="Total 2 2 4 3" xfId="2555" xr:uid="{C320338B-0BAD-4B79-9F20-07D9AFCC552D}"/>
    <cellStyle name="Total 2 2 4 3 10" xfId="7247" xr:uid="{28B23313-E138-4E9A-BB54-F8539AC8CF31}"/>
    <cellStyle name="Total 2 2 4 3 10 2" xfId="12819" xr:uid="{0081A6FE-E51A-4DE3-846A-9E691728890A}"/>
    <cellStyle name="Total 2 2 4 3 11" xfId="6295" xr:uid="{5A8450B1-9A45-4EF7-BD5E-ECAEEE89FE78}"/>
    <cellStyle name="Total 2 2 4 3 11 2" xfId="11999" xr:uid="{A79153A5-8132-4382-98C2-7364A43304EC}"/>
    <cellStyle name="Total 2 2 4 3 12" xfId="8769" xr:uid="{F571193B-46E9-428A-9B94-91E350440CFD}"/>
    <cellStyle name="Total 2 2 4 3 12 2" xfId="14125" xr:uid="{6F072FFF-BBFA-4C85-992F-5794179BABE6}"/>
    <cellStyle name="Total 2 2 4 3 13" xfId="9085" xr:uid="{55B4F30C-C109-4E28-BEB9-DA6CDE3081D0}"/>
    <cellStyle name="Total 2 2 4 3 2" xfId="3111" xr:uid="{81C980EE-F897-4837-B4E5-612242F72A9D}"/>
    <cellStyle name="Total 2 2 4 3 2 2" xfId="4051" xr:uid="{05288094-F4C9-4B67-BF36-3FA3A13007B5}"/>
    <cellStyle name="Total 2 2 4 3 2 2 2" xfId="10165" xr:uid="{80177A2A-807F-4BB9-905E-0FDA6719D437}"/>
    <cellStyle name="Total 2 2 4 3 2 3" xfId="7022" xr:uid="{23531534-033D-43D4-9879-3F293FA028D7}"/>
    <cellStyle name="Total 2 2 4 3 2 3 2" xfId="12628" xr:uid="{E52CB3A1-0005-4571-AFA0-8FBF49B7CC44}"/>
    <cellStyle name="Total 2 2 4 3 2 4" xfId="7700" xr:uid="{9F784FC1-6F98-428A-A420-A52DD48C4E72}"/>
    <cellStyle name="Total 2 2 4 3 2 4 2" xfId="13272" xr:uid="{3799C9C1-CFCC-421A-A552-20B06DB85EF4}"/>
    <cellStyle name="Total 2 2 4 3 2 5" xfId="8193" xr:uid="{5BF1F510-6A3B-480B-9BB3-FE6946E6C78A}"/>
    <cellStyle name="Total 2 2 4 3 2 5 2" xfId="13765" xr:uid="{F470F888-09CC-41CC-8CE1-734B15FE0660}"/>
    <cellStyle name="Total 2 2 4 3 2 6" xfId="9445" xr:uid="{0E696AAF-34FE-4461-BE29-314BCE8E85FD}"/>
    <cellStyle name="Total 2 2 4 3 3" xfId="3571" xr:uid="{E13A1CE3-3512-4AEE-83BD-378663FBAF22}"/>
    <cellStyle name="Total 2 2 4 3 3 2" xfId="9805" xr:uid="{DAB5160F-6F8C-4106-B294-29D00C1021E5}"/>
    <cellStyle name="Total 2 2 4 3 4" xfId="4768" xr:uid="{C91291CB-37B9-4EE5-8DA1-0F75E0E8E818}"/>
    <cellStyle name="Total 2 2 4 3 4 2" xfId="10632" xr:uid="{B535EA1B-DDB7-4488-89DD-70D251B13A14}"/>
    <cellStyle name="Total 2 2 4 3 5" xfId="5011" xr:uid="{547A3E67-AD90-4359-869E-64ECAEED049B}"/>
    <cellStyle name="Total 2 2 4 3 5 2" xfId="10857" xr:uid="{8483B150-518F-431B-90EA-7A164B9447D7}"/>
    <cellStyle name="Total 2 2 4 3 6" xfId="5159" xr:uid="{F1176747-B77A-4DE4-BECB-62A6E64A9259}"/>
    <cellStyle name="Total 2 2 4 3 6 2" xfId="11005" xr:uid="{8F4C0402-7025-41B3-B8B7-A3A456D0B4CB}"/>
    <cellStyle name="Total 2 2 4 3 7" xfId="5950" xr:uid="{8A7FB5CA-329A-4CA7-B744-19459DB51AFF}"/>
    <cellStyle name="Total 2 2 4 3 7 2" xfId="11678" xr:uid="{73E6D6AA-42F3-4667-9966-D62B9F60C360}"/>
    <cellStyle name="Total 2 2 4 3 8" xfId="6280" xr:uid="{7810587B-C1A7-4876-8669-B74147A1CBF4}"/>
    <cellStyle name="Total 2 2 4 3 8 2" xfId="11984" xr:uid="{C00569B0-E947-4ADA-9B75-D888770E156D}"/>
    <cellStyle name="Total 2 2 4 3 9" xfId="6482" xr:uid="{BC0CC311-7B40-4C2D-B9F0-D43F5BA81819}"/>
    <cellStyle name="Total 2 2 4 3 9 2" xfId="12186" xr:uid="{A0D3596D-40BB-4552-8382-B625D521252A}"/>
    <cellStyle name="Total 2 2 4 4" xfId="2261" xr:uid="{BFECF7D7-A2FD-4E36-B3E8-AAE534E9F4F0}"/>
    <cellStyle name="Total 2 2 4 4 10" xfId="6525" xr:uid="{1EDF36EF-F6D6-49D9-B4F8-06F15B8E32B6}"/>
    <cellStyle name="Total 2 2 4 4 10 2" xfId="12229" xr:uid="{BDA1F27A-ADFB-48A4-8620-E46597780D23}"/>
    <cellStyle name="Total 2 2 4 4 11" xfId="7841" xr:uid="{04ECACF1-E99C-4698-A315-AF52EF131785}"/>
    <cellStyle name="Total 2 2 4 4 11 2" xfId="13413" xr:uid="{68A5C251-4ACF-47BE-A600-FAD26F2F031F}"/>
    <cellStyle name="Total 2 2 4 4 12" xfId="8475" xr:uid="{AE40D526-7D94-4481-A385-A107720F9192}"/>
    <cellStyle name="Total 2 2 4 4 12 2" xfId="13955" xr:uid="{A40514C0-CBE8-40C1-97C6-C97F31FA22BC}"/>
    <cellStyle name="Total 2 2 4 4 13" xfId="8915" xr:uid="{EC7EB424-BEF5-4CA7-B89F-AB7DFF9A3C67}"/>
    <cellStyle name="Total 2 2 4 4 2" xfId="2941" xr:uid="{C636FE25-3D75-46BA-A9F8-B8794201D2FF}"/>
    <cellStyle name="Total 2 2 4 4 2 2" xfId="3881" xr:uid="{F72E75E8-B174-4248-ACEB-6284923AC193}"/>
    <cellStyle name="Total 2 2 4 4 2 2 2" xfId="9995" xr:uid="{C684AF1A-9192-4A22-8B8E-787B6C906A16}"/>
    <cellStyle name="Total 2 2 4 4 2 3" xfId="6852" xr:uid="{42264DDF-DBCF-43D9-A4D9-2278DA1A7735}"/>
    <cellStyle name="Total 2 2 4 4 2 3 2" xfId="12458" xr:uid="{10BBB479-955F-4F79-BF6B-E3C2655B3305}"/>
    <cellStyle name="Total 2 2 4 4 2 4" xfId="7530" xr:uid="{87175657-E540-4469-AF96-2D4A9EAC7380}"/>
    <cellStyle name="Total 2 2 4 4 2 4 2" xfId="13102" xr:uid="{6BB8CF3D-CAA2-46CF-A494-90D7BA8B379E}"/>
    <cellStyle name="Total 2 2 4 4 2 5" xfId="8023" xr:uid="{CFA1DD4A-817F-45AC-9ECD-3C773501F11F}"/>
    <cellStyle name="Total 2 2 4 4 2 5 2" xfId="13595" xr:uid="{9C47CFF5-6D69-4E6C-982A-5A96C81DFE19}"/>
    <cellStyle name="Total 2 2 4 4 2 6" xfId="9275" xr:uid="{22B80A82-DFD6-43D6-93EA-AD406025E303}"/>
    <cellStyle name="Total 2 2 4 4 3" xfId="3401" xr:uid="{C8190B21-5146-4BE1-AA5A-51E5936B8BA5}"/>
    <cellStyle name="Total 2 2 4 4 3 2" xfId="9635" xr:uid="{1B5417CE-985C-41AF-A158-A95B45490437}"/>
    <cellStyle name="Total 2 2 4 4 4" xfId="4568" xr:uid="{677FF081-E803-4B30-AE23-6DADBD6DDE66}"/>
    <cellStyle name="Total 2 2 4 4 4 2" xfId="10432" xr:uid="{0DCB8A72-D356-495B-9BB8-84B99B4845C7}"/>
    <cellStyle name="Total 2 2 4 4 5" xfId="4813" xr:uid="{11013A6A-1E07-4D2A-B893-03CE1AEC5438}"/>
    <cellStyle name="Total 2 2 4 4 5 2" xfId="10659" xr:uid="{5B2397E6-E374-4674-AAA3-AEE78D736A94}"/>
    <cellStyle name="Total 2 2 4 4 6" xfId="4845" xr:uid="{26C281D3-DD50-473B-A70E-3AC75E0D4102}"/>
    <cellStyle name="Total 2 2 4 4 6 2" xfId="10691" xr:uid="{47A00512-4342-4EA8-8A24-229FA10831D4}"/>
    <cellStyle name="Total 2 2 4 4 7" xfId="5699" xr:uid="{4633E5B5-A086-43CC-B0F9-0C08BDD5E67D}"/>
    <cellStyle name="Total 2 2 4 4 7 2" xfId="11427" xr:uid="{1F096E89-B8D9-44BB-A06E-40B9E1C95E3A}"/>
    <cellStyle name="Total 2 2 4 4 8" xfId="5313" xr:uid="{88EB0B81-CFE1-48B2-8D48-21D232751C10}"/>
    <cellStyle name="Total 2 2 4 4 8 2" xfId="11157" xr:uid="{8089F5E9-9A1C-4FAF-973A-B2E3552041F5}"/>
    <cellStyle name="Total 2 2 4 4 9" xfId="5646" xr:uid="{7EEBDF99-3527-4876-A4F8-755F0EDD6737}"/>
    <cellStyle name="Total 2 2 4 4 9 2" xfId="11374" xr:uid="{F3F3BC0F-8850-4A28-9A84-5C38C6B6D70E}"/>
    <cellStyle name="Total 2 2 4 5" xfId="2712" xr:uid="{B3278662-5A4B-478F-9438-870E9046DE7D}"/>
    <cellStyle name="Total 2 2 4 5 2" xfId="3176" xr:uid="{4E17BC0D-0D77-4AE1-961A-99D2BDE8EF95}"/>
    <cellStyle name="Total 2 2 4 5 2 2" xfId="4134" xr:uid="{B6D2750C-52F1-4176-9936-F399D61B0CC8}"/>
    <cellStyle name="Total 2 2 4 5 2 2 2" xfId="10230" xr:uid="{1C157949-1AF0-4C6D-9A8D-EE514B94A25E}"/>
    <cellStyle name="Total 2 2 4 5 2 3" xfId="7105" xr:uid="{F63297AD-A5FA-43EB-B4ED-3BFC4BE7D5BB}"/>
    <cellStyle name="Total 2 2 4 5 2 3 2" xfId="12693" xr:uid="{E7E81C67-45CB-45D1-B7C7-CAC6816B8BC4}"/>
    <cellStyle name="Total 2 2 4 5 2 4" xfId="7766" xr:uid="{DA1C6CBD-6362-4AF4-9C59-AF6C10E10B71}"/>
    <cellStyle name="Total 2 2 4 5 2 4 2" xfId="13338" xr:uid="{187D960B-0466-40DD-BB6A-6F8B4B1AD4E6}"/>
    <cellStyle name="Total 2 2 4 5 2 5" xfId="8258" xr:uid="{C1C91D82-6899-40A7-9B24-291F52BD6CD5}"/>
    <cellStyle name="Total 2 2 4 5 2 5 2" xfId="13830" xr:uid="{DA5DD314-F552-4AB2-A7C5-00A80340F8AC}"/>
    <cellStyle name="Total 2 2 4 5 2 6" xfId="9510" xr:uid="{070CEF28-B003-497B-9DD8-A44D54CC4DDB}"/>
    <cellStyle name="Total 2 2 4 5 3" xfId="3654" xr:uid="{A7532079-07A3-4949-8E5E-0F4C1AD0B01A}"/>
    <cellStyle name="Total 2 2 4 5 3 2" xfId="9870" xr:uid="{D9B90F32-9E20-4795-854A-D4FA798827E9}"/>
    <cellStyle name="Total 2 2 4 5 4" xfId="6091" xr:uid="{984C33B9-2EA7-4E5E-B1F0-3AAD14232181}"/>
    <cellStyle name="Total 2 2 4 5 4 2" xfId="11803" xr:uid="{F4E6E5F9-1297-4788-BA18-71E3DDE09763}"/>
    <cellStyle name="Total 2 2 4 5 5" xfId="6609" xr:uid="{6AF9E025-6CAE-4A5B-981E-97EFB3D82ECB}"/>
    <cellStyle name="Total 2 2 4 5 5 2" xfId="12313" xr:uid="{433EF309-57D9-4DB0-BEF9-7422BE319AA9}"/>
    <cellStyle name="Total 2 2 4 5 6" xfId="7363" xr:uid="{F5C1C726-3886-42C0-B04A-10D9A6F13FA6}"/>
    <cellStyle name="Total 2 2 4 5 6 2" xfId="12935" xr:uid="{8499F17A-8DB1-4887-8D46-0CAD61BD45FC}"/>
    <cellStyle name="Total 2 2 4 5 7" xfId="7898" xr:uid="{C287C736-B9BF-48F6-8913-7698CA182C80}"/>
    <cellStyle name="Total 2 2 4 5 7 2" xfId="13470" xr:uid="{BD449406-A0DF-43BF-A40E-1DC3FCB7C42A}"/>
    <cellStyle name="Total 2 2 4 5 8" xfId="9150" xr:uid="{A802A46C-E2E1-4F28-B12C-C131440893F0}"/>
    <cellStyle name="Total 2 2 4 6" xfId="2804" xr:uid="{28C5ED36-ECB9-458C-8B80-D0E1C89CFFA2}"/>
    <cellStyle name="Total 2 2 4 6 2" xfId="3236" xr:uid="{61252208-7AE0-4DD0-84B1-E9C2E98E9B8D}"/>
    <cellStyle name="Total 2 2 4 6 2 2" xfId="4194" xr:uid="{8D85558D-FA82-4FAC-9CE1-1809B35A3D2C}"/>
    <cellStyle name="Total 2 2 4 6 2 2 2" xfId="10290" xr:uid="{4AC5EC7F-C67B-478F-97B0-4C8745921831}"/>
    <cellStyle name="Total 2 2 4 6 2 3" xfId="7165" xr:uid="{9E3D7F69-3910-4779-91A0-F1B682D559B6}"/>
    <cellStyle name="Total 2 2 4 6 2 3 2" xfId="12753" xr:uid="{5A34E6E9-3765-46D0-AE7E-35EC52FE817C}"/>
    <cellStyle name="Total 2 2 4 6 2 4" xfId="7826" xr:uid="{E372B299-C0AF-4EB0-AFEE-278A6E666D04}"/>
    <cellStyle name="Total 2 2 4 6 2 4 2" xfId="13398" xr:uid="{AA6E4004-36CC-488F-BE2B-2DA294595F0F}"/>
    <cellStyle name="Total 2 2 4 6 2 5" xfId="8318" xr:uid="{0EC269FB-BB0C-41C9-93CC-76F69B14173B}"/>
    <cellStyle name="Total 2 2 4 6 2 5 2" xfId="13890" xr:uid="{8995505E-0688-49F5-9651-7A0E9FF0C910}"/>
    <cellStyle name="Total 2 2 4 6 2 6" xfId="9570" xr:uid="{15A66DC1-7288-435B-938B-00E4E1BC3D66}"/>
    <cellStyle name="Total 2 2 4 6 3" xfId="3714" xr:uid="{BF84B54A-9123-4DC4-9B5F-DDFE70CD258C}"/>
    <cellStyle name="Total 2 2 4 6 3 2" xfId="9930" xr:uid="{117FD9AC-17A1-48E8-8879-D189D28CB50C}"/>
    <cellStyle name="Total 2 2 4 6 4" xfId="6171" xr:uid="{AE08F9CF-50A2-4E06-AE76-8475DEA6B654}"/>
    <cellStyle name="Total 2 2 4 6 4 2" xfId="11883" xr:uid="{24B0A729-2881-414E-9086-25016DB44834}"/>
    <cellStyle name="Total 2 2 4 6 5" xfId="6681" xr:uid="{400293CF-17E6-47BC-81DA-10FAEA9C59E8}"/>
    <cellStyle name="Total 2 2 4 6 5 2" xfId="12385" xr:uid="{B6BEA811-0D6A-41F9-99E4-06A1084ADA00}"/>
    <cellStyle name="Total 2 2 4 6 6" xfId="7425" xr:uid="{C6A900E1-5649-4FE1-BF48-82DC50829A5E}"/>
    <cellStyle name="Total 2 2 4 6 6 2" xfId="12997" xr:uid="{2BD34AE3-A916-4E65-B23D-910E1AEE5C5D}"/>
    <cellStyle name="Total 2 2 4 6 7" xfId="7958" xr:uid="{266C84E5-D745-4CBE-B1C8-3E63BBC80EFB}"/>
    <cellStyle name="Total 2 2 4 6 7 2" xfId="13530" xr:uid="{57861C95-98FE-46AC-BB65-3E4733C5BDFC}"/>
    <cellStyle name="Total 2 2 4 6 8" xfId="9210" xr:uid="{64D19B9C-87F6-46A4-838D-42D59FC91B1C}"/>
    <cellStyle name="Total 2 2 4 7" xfId="2904" xr:uid="{FC5E710B-8792-40BB-A83A-829F2D31CA32}"/>
    <cellStyle name="Total 2 2 4 7 2" xfId="3832" xr:uid="{536552EB-2A75-44CC-8C59-9D92D59131D7}"/>
    <cellStyle name="Total 2 2 4 7 2 2" xfId="9990" xr:uid="{583BDD0C-B5D5-416A-9A76-DF39E02E642C}"/>
    <cellStyle name="Total 2 2 4 7 3" xfId="6803" xr:uid="{1761CE5E-2617-4E8A-B11E-BCC851073054}"/>
    <cellStyle name="Total 2 2 4 7 3 2" xfId="12453" xr:uid="{22DE1195-3C5F-40AF-82F3-75C1443E27FB}"/>
    <cellStyle name="Total 2 2 4 7 4" xfId="7510" xr:uid="{D6478D6B-6CF6-414D-8C50-62134D8D1C9F}"/>
    <cellStyle name="Total 2 2 4 7 4 2" xfId="13082" xr:uid="{306F737F-A8CE-4CED-8753-44D9BF811882}"/>
    <cellStyle name="Total 2 2 4 7 5" xfId="8018" xr:uid="{2C032969-57B0-4FDA-9E46-F0A52BA0A4CE}"/>
    <cellStyle name="Total 2 2 4 7 5 2" xfId="13590" xr:uid="{20AFC276-5728-49E5-A0DB-184A8FFDE5D8}"/>
    <cellStyle name="Total 2 2 4 7 6" xfId="9270" xr:uid="{E5120A59-8699-4695-A195-6D8953973C72}"/>
    <cellStyle name="Total 2 2 4 8" xfId="3352" xr:uid="{97AE166C-BCE9-4170-99FE-124B686CBC82}"/>
    <cellStyle name="Total 2 2 4 8 2" xfId="9630" xr:uid="{7EB732EF-B651-4B97-8A1F-434D4B20E4E2}"/>
    <cellStyle name="Total 2 2 4 9" xfId="4519" xr:uid="{80A66309-FF34-4393-8F47-0024F499C370}"/>
    <cellStyle name="Total 2 2 4 9 2" xfId="10427" xr:uid="{6145EEE0-86EE-4C0B-B7ED-08805AE0CBBB}"/>
    <cellStyle name="Total 2 2 5" xfId="8831" xr:uid="{B4F50D03-8814-402C-9FBD-9B3A12C29D86}"/>
    <cellStyle name="Total 2 2 6" xfId="2082" xr:uid="{CA274A25-A45D-471E-A70E-C93F59B6D303}"/>
    <cellStyle name="Total 2 3" xfId="1442" xr:uid="{FA5AC3CB-C6D7-465A-9BDA-1CCB55EA56EF}"/>
    <cellStyle name="Total 2 3 2" xfId="1555" xr:uid="{A2AA95A4-67A0-4DE8-B228-28D5DFCB1107}"/>
    <cellStyle name="Total 2 3 2 2" xfId="2252" xr:uid="{0A8478AF-E336-4CDF-A244-1BDF7BDB0D2D}"/>
    <cellStyle name="Total 2 3 2 2 10" xfId="4369" xr:uid="{151FC37C-EF89-4CC0-9E82-115FCA47EE02}"/>
    <cellStyle name="Total 2 3 2 2 10 2" xfId="10329" xr:uid="{23AB96BD-96F6-4C02-9B39-3EDA0768D11E}"/>
    <cellStyle name="Total 2 3 2 2 11" xfId="4422" xr:uid="{EA93112B-3D8F-4063-BCC3-DD7DCFE31BE7}"/>
    <cellStyle name="Total 2 3 2 2 11 2" xfId="10368" xr:uid="{2B90B79B-ED63-416F-8D9A-2B63F52C2D10}"/>
    <cellStyle name="Total 2 3 2 2 12" xfId="5450" xr:uid="{26E2D3C0-6B65-45C0-9A40-CB8D7B39DCFE}"/>
    <cellStyle name="Total 2 3 2 2 12 2" xfId="11244" xr:uid="{67AF848C-6960-4144-9476-95B5247CFBE9}"/>
    <cellStyle name="Total 2 3 2 2 13" xfId="5618" xr:uid="{0CB7A6B8-478F-4BFC-84DB-43761937DB9A}"/>
    <cellStyle name="Total 2 3 2 2 13 2" xfId="11346" xr:uid="{3267DF4F-E714-4F8A-96CA-68B16BA1EB1D}"/>
    <cellStyle name="Total 2 3 2 2 14" xfId="5198" xr:uid="{414EDDFA-3307-459A-9066-AB4FF8894ED0}"/>
    <cellStyle name="Total 2 3 2 2 14 2" xfId="11044" xr:uid="{A6DB1E1D-C3E7-4673-9866-21AA29FB0D3D}"/>
    <cellStyle name="Total 2 3 2 2 15" xfId="5212" xr:uid="{1B0FD446-D83E-4E93-B003-5C80A522ECDF}"/>
    <cellStyle name="Total 2 3 2 2 15 2" xfId="11058" xr:uid="{5B54CBC1-7F1F-4820-94CD-B12E5F9F6E23}"/>
    <cellStyle name="Total 2 3 2 2 16" xfId="6100" xr:uid="{4525586D-FF53-4B49-9332-FEE19726B296}"/>
    <cellStyle name="Total 2 3 2 2 16 2" xfId="11812" xr:uid="{57592A2C-8AAE-4297-BA64-B58DFB0F126F}"/>
    <cellStyle name="Total 2 3 2 2 17" xfId="6499" xr:uid="{E7C7168F-670D-451D-9BF4-53B88ACA017E}"/>
    <cellStyle name="Total 2 3 2 2 17 2" xfId="12203" xr:uid="{6BB8C4A2-176A-4AFC-9C7E-775216D9A1B7}"/>
    <cellStyle name="Total 2 3 2 2 18" xfId="6618" xr:uid="{24AD3400-2E90-4A79-9C98-721AC5925909}"/>
    <cellStyle name="Total 2 3 2 2 18 2" xfId="12322" xr:uid="{985DC6EA-4872-4591-96CB-5204AC83C9BE}"/>
    <cellStyle name="Total 2 3 2 2 19" xfId="8466" xr:uid="{3233B3CF-4C1F-45F0-BA41-561F3125824A}"/>
    <cellStyle name="Total 2 3 2 2 19 2" xfId="13946" xr:uid="{80DD2D9E-F79B-42AC-BC75-84E1AE3BD39A}"/>
    <cellStyle name="Total 2 3 2 2 2" xfId="2446" xr:uid="{3B4747C3-99E7-4410-BB25-21511B352E29}"/>
    <cellStyle name="Total 2 3 2 2 2 10" xfId="5195" xr:uid="{C9356FEC-01DB-499C-BF48-F98AB7247F2F}"/>
    <cellStyle name="Total 2 3 2 2 2 10 2" xfId="11041" xr:uid="{356119D4-F4A1-474C-9B37-2A49BC66ED10}"/>
    <cellStyle name="Total 2 3 2 2 2 11" xfId="6315" xr:uid="{24D6F94E-1CC2-4D31-BD20-65C8F66E8696}"/>
    <cellStyle name="Total 2 3 2 2 2 11 2" xfId="12019" xr:uid="{52FFFE6B-D292-4E05-B382-A50B6C3392EF}"/>
    <cellStyle name="Total 2 3 2 2 2 12" xfId="8660" xr:uid="{3C398E9C-D33B-4B25-ADC2-2C2CCD51E5A2}"/>
    <cellStyle name="Total 2 3 2 2 2 12 2" xfId="14048" xr:uid="{5DA0B6E6-2A32-4275-ADAC-5061DAA836EA}"/>
    <cellStyle name="Total 2 3 2 2 2 13" xfId="9008" xr:uid="{47A32C37-9BC5-4866-92B9-BCBF9EA46059}"/>
    <cellStyle name="Total 2 3 2 2 2 2" xfId="3034" xr:uid="{29C296AE-5CD2-469F-B48C-60CEDA5FB652}"/>
    <cellStyle name="Total 2 3 2 2 2 2 2" xfId="3974" xr:uid="{8A1D22F4-0075-4796-9C51-73D062963EF6}"/>
    <cellStyle name="Total 2 3 2 2 2 2 2 2" xfId="10088" xr:uid="{149D6264-54E4-4287-9263-EC3A51E71552}"/>
    <cellStyle name="Total 2 3 2 2 2 2 3" xfId="6945" xr:uid="{8B5054DD-7658-4C4D-A4FC-8963AEC2E8DB}"/>
    <cellStyle name="Total 2 3 2 2 2 2 3 2" xfId="12551" xr:uid="{A773B05C-A455-4267-A1D0-6CA6F5FB8411}"/>
    <cellStyle name="Total 2 3 2 2 2 2 4" xfId="7623" xr:uid="{F33EE7DB-DF79-4ECE-B0BE-A0DD21155B9D}"/>
    <cellStyle name="Total 2 3 2 2 2 2 4 2" xfId="13195" xr:uid="{96D412E1-9B13-422E-924D-EC574D571949}"/>
    <cellStyle name="Total 2 3 2 2 2 2 5" xfId="8116" xr:uid="{1799FC78-6336-4CAF-A095-03816459FE16}"/>
    <cellStyle name="Total 2 3 2 2 2 2 5 2" xfId="13688" xr:uid="{D7B7E242-DF17-4573-9813-BBCBC5A683A0}"/>
    <cellStyle name="Total 2 3 2 2 2 2 6" xfId="9368" xr:uid="{66C94E2D-E81A-4F89-B951-AFC619CAAE1E}"/>
    <cellStyle name="Total 2 3 2 2 2 3" xfId="3494" xr:uid="{A12B4CB5-6C1D-4B36-B082-BF31772E302A}"/>
    <cellStyle name="Total 2 3 2 2 2 3 2" xfId="9728" xr:uid="{AB23744A-84FB-498D-AA63-0681F84DE125}"/>
    <cellStyle name="Total 2 3 2 2 2 4" xfId="4687" xr:uid="{B94FAC7C-4D0A-4698-9DC6-20A13FB9548F}"/>
    <cellStyle name="Total 2 3 2 2 2 4 2" xfId="10551" xr:uid="{D85D170D-3AEA-4F01-A912-7E38ECB6CE9D}"/>
    <cellStyle name="Total 2 3 2 2 2 5" xfId="4926" xr:uid="{BE0DDEAB-8CFD-422D-A52C-5BE49D8BDA44}"/>
    <cellStyle name="Total 2 3 2 2 2 5 2" xfId="10772" xr:uid="{A2AA9D0F-EAB2-4C1F-8546-D632D4DD8082}"/>
    <cellStyle name="Total 2 3 2 2 2 6" xfId="5082" xr:uid="{3C492AE3-C3D1-479C-8012-B3AB15745406}"/>
    <cellStyle name="Total 2 3 2 2 2 6 2" xfId="10928" xr:uid="{FCB26410-9D74-4025-8A09-9FAA02FBC8E2}"/>
    <cellStyle name="Total 2 3 2 2 2 7" xfId="5852" xr:uid="{C1160B9D-B51E-410E-810F-67B2643FF421}"/>
    <cellStyle name="Total 2 3 2 2 2 7 2" xfId="11580" xr:uid="{A2850872-78E2-43E2-8652-7BAADD9AACD3}"/>
    <cellStyle name="Total 2 3 2 2 2 8" xfId="5204" xr:uid="{6C5AA5E4-6ACB-4615-A689-55740A68BA62}"/>
    <cellStyle name="Total 2 3 2 2 2 8 2" xfId="11050" xr:uid="{07F8A38D-DF35-48E6-B7D8-EE7429CFFEA8}"/>
    <cellStyle name="Total 2 3 2 2 2 9" xfId="6389" xr:uid="{C3C012B9-2D51-4CAD-A412-620A32AA254E}"/>
    <cellStyle name="Total 2 3 2 2 2 9 2" xfId="12093" xr:uid="{1596D045-EE46-492B-B617-975EE81409C9}"/>
    <cellStyle name="Total 2 3 2 2 20" xfId="8906" xr:uid="{D5C860B0-B6E2-4429-BCFB-4BA532FBCDAE}"/>
    <cellStyle name="Total 2 3 2 2 3" xfId="2551" xr:uid="{18B484C7-0EBF-46D6-BAD5-678BFE8F40A6}"/>
    <cellStyle name="Total 2 3 2 2 3 10" xfId="7243" xr:uid="{6FEF7971-0FB3-4E1C-B30D-7A25FB413707}"/>
    <cellStyle name="Total 2 3 2 2 3 10 2" xfId="12815" xr:uid="{BB37F55D-D8C2-4CBF-B773-EE064E5B06DD}"/>
    <cellStyle name="Total 2 3 2 2 3 11" xfId="7258" xr:uid="{479B33E1-00A9-4546-9FC8-5A8FA1B84A9D}"/>
    <cellStyle name="Total 2 3 2 2 3 11 2" xfId="12830" xr:uid="{956069F3-131C-4880-8D40-6494845F9A97}"/>
    <cellStyle name="Total 2 3 2 2 3 12" xfId="8765" xr:uid="{FDACA571-D5E1-41B5-B4F5-E2E016FFA7EF}"/>
    <cellStyle name="Total 2 3 2 2 3 12 2" xfId="14121" xr:uid="{CBA84572-85BA-4277-B645-DC24B7368834}"/>
    <cellStyle name="Total 2 3 2 2 3 13" xfId="9081" xr:uid="{70532838-D510-4C68-92A1-FBE8F6D629EC}"/>
    <cellStyle name="Total 2 3 2 2 3 2" xfId="3107" xr:uid="{ED06DBEA-2545-44EF-90CE-C1910D0B0E6C}"/>
    <cellStyle name="Total 2 3 2 2 3 2 2" xfId="4047" xr:uid="{4718476B-1297-4754-89BC-10C6D89F5B0B}"/>
    <cellStyle name="Total 2 3 2 2 3 2 2 2" xfId="10161" xr:uid="{56BD1656-C832-472D-9DB6-5F422E345379}"/>
    <cellStyle name="Total 2 3 2 2 3 2 3" xfId="7018" xr:uid="{AEFEF0FD-47F9-48E8-B3F6-0C077F0F9AF2}"/>
    <cellStyle name="Total 2 3 2 2 3 2 3 2" xfId="12624" xr:uid="{6C2210C5-D5E5-43A8-8C68-F97C57C461FB}"/>
    <cellStyle name="Total 2 3 2 2 3 2 4" xfId="7696" xr:uid="{DC80A6E6-5D04-4310-816E-0B6A147EC94D}"/>
    <cellStyle name="Total 2 3 2 2 3 2 4 2" xfId="13268" xr:uid="{13CE5CE1-B460-4118-AD01-E495E71610C3}"/>
    <cellStyle name="Total 2 3 2 2 3 2 5" xfId="8189" xr:uid="{31717273-EEF8-43C3-98AD-8ECD570DED07}"/>
    <cellStyle name="Total 2 3 2 2 3 2 5 2" xfId="13761" xr:uid="{D9383B46-4260-4075-BFEA-4A39C597CEF5}"/>
    <cellStyle name="Total 2 3 2 2 3 2 6" xfId="9441" xr:uid="{4754A99E-0EFA-4548-8CB8-4062856CE8DE}"/>
    <cellStyle name="Total 2 3 2 2 3 3" xfId="3567" xr:uid="{9133DAC4-895E-4B2C-9F4C-20D24D07ED4C}"/>
    <cellStyle name="Total 2 3 2 2 3 3 2" xfId="9801" xr:uid="{896BFF8F-6A11-4810-ABE4-04397AED7529}"/>
    <cellStyle name="Total 2 3 2 2 3 4" xfId="4764" xr:uid="{64A7776A-C77F-4648-849A-7ECB34601F1D}"/>
    <cellStyle name="Total 2 3 2 2 3 4 2" xfId="10628" xr:uid="{F708F3D9-A757-4559-95FD-63D689A3F252}"/>
    <cellStyle name="Total 2 3 2 2 3 5" xfId="5007" xr:uid="{4264B7B6-DFE5-445E-848D-163889EE67F4}"/>
    <cellStyle name="Total 2 3 2 2 3 5 2" xfId="10853" xr:uid="{8E1E9B9C-83D9-4130-8812-019D641E1875}"/>
    <cellStyle name="Total 2 3 2 2 3 6" xfId="5155" xr:uid="{97B1D74B-A813-478F-9E5B-6CB5D4648AA5}"/>
    <cellStyle name="Total 2 3 2 2 3 6 2" xfId="11001" xr:uid="{EFC82624-BD9E-4609-81E3-E6EB68D64F0C}"/>
    <cellStyle name="Total 2 3 2 2 3 7" xfId="5946" xr:uid="{A78FCA65-9991-4ABB-92BD-33057A558752}"/>
    <cellStyle name="Total 2 3 2 2 3 7 2" xfId="11674" xr:uid="{C87AB441-BAE0-4DB8-8618-01D366F301A7}"/>
    <cellStyle name="Total 2 3 2 2 3 8" xfId="6276" xr:uid="{75B07AC3-C3AD-4BE7-9C70-049FD939313B}"/>
    <cellStyle name="Total 2 3 2 2 3 8 2" xfId="11980" xr:uid="{350490EF-A3FE-426F-9DE5-8F74C20A0F47}"/>
    <cellStyle name="Total 2 3 2 2 3 9" xfId="6478" xr:uid="{717BFE56-4CC3-4278-9389-DB8F5507D0E2}"/>
    <cellStyle name="Total 2 3 2 2 3 9 2" xfId="12182" xr:uid="{7F67297A-D3B1-43D9-9047-B2566DE47EB8}"/>
    <cellStyle name="Total 2 3 2 2 4" xfId="2321" xr:uid="{7F71DE2E-0700-435A-A570-E6F75EF82A20}"/>
    <cellStyle name="Total 2 3 2 2 4 10" xfId="5217" xr:uid="{6C93FB51-5B95-4AC0-97C2-33E6FF0E9A55}"/>
    <cellStyle name="Total 2 3 2 2 4 10 2" xfId="11063" xr:uid="{5425D5F2-5EA0-4805-B18C-E5726DE5E701}"/>
    <cellStyle name="Total 2 3 2 2 4 11" xfId="7367" xr:uid="{DC782413-3893-4DFE-90BD-C931FEA164DD}"/>
    <cellStyle name="Total 2 3 2 2 4 11 2" xfId="12939" xr:uid="{13A3B028-E6B8-4329-9EF9-CDBBFCBC58CD}"/>
    <cellStyle name="Total 2 3 2 2 4 12" xfId="8535" xr:uid="{5DE5EBF2-0DC5-4E3D-87CE-0B449D89E3E8}"/>
    <cellStyle name="Total 2 3 2 2 4 12 2" xfId="13985" xr:uid="{294718E8-2E33-475D-B31C-3BEC04D866DB}"/>
    <cellStyle name="Total 2 3 2 2 4 13" xfId="8945" xr:uid="{542B0E85-5800-41F4-B7EB-C8F44C956199}"/>
    <cellStyle name="Total 2 3 2 2 4 2" xfId="2971" xr:uid="{CB554049-FC46-4088-99AA-9BA0E491D6B2}"/>
    <cellStyle name="Total 2 3 2 2 4 2 2" xfId="3911" xr:uid="{A667235B-FC6D-479E-8B9C-E06D24718436}"/>
    <cellStyle name="Total 2 3 2 2 4 2 2 2" xfId="10025" xr:uid="{5B4FAAFB-528A-4AE5-A92B-E326D32BF8D2}"/>
    <cellStyle name="Total 2 3 2 2 4 2 3" xfId="6882" xr:uid="{A2B41D02-0C23-4C6A-B290-45E67B166B41}"/>
    <cellStyle name="Total 2 3 2 2 4 2 3 2" xfId="12488" xr:uid="{CCF0629C-9431-440E-98B8-C8EA412C0CD2}"/>
    <cellStyle name="Total 2 3 2 2 4 2 4" xfId="7560" xr:uid="{9E79596F-FD2C-4894-9BE4-A3C97DE3B5CE}"/>
    <cellStyle name="Total 2 3 2 2 4 2 4 2" xfId="13132" xr:uid="{A9F5E7B5-0298-4C03-8921-80CA1F7320B7}"/>
    <cellStyle name="Total 2 3 2 2 4 2 5" xfId="8053" xr:uid="{B402D44F-D63E-4FDB-A11A-7025811A0D4D}"/>
    <cellStyle name="Total 2 3 2 2 4 2 5 2" xfId="13625" xr:uid="{ABBAB6BB-7CCE-4001-8E8F-5769CF62987C}"/>
    <cellStyle name="Total 2 3 2 2 4 2 6" xfId="9305" xr:uid="{916A1EA1-FD20-43A1-BE4E-385D2323A64F}"/>
    <cellStyle name="Total 2 3 2 2 4 3" xfId="3431" xr:uid="{253045C0-9F41-41D7-8FE1-51DAD687AF5B}"/>
    <cellStyle name="Total 2 3 2 2 4 3 2" xfId="9665" xr:uid="{B9279833-B12B-4B83-BAEC-A328F4603A9F}"/>
    <cellStyle name="Total 2 3 2 2 4 4" xfId="4607" xr:uid="{A0D995B9-D6C7-4FBC-9CB5-963F4360C93A}"/>
    <cellStyle name="Total 2 3 2 2 4 4 2" xfId="10471" xr:uid="{AF6A4400-F404-4CD5-AF55-231F02611229}"/>
    <cellStyle name="Total 2 3 2 2 4 5" xfId="4848" xr:uid="{C91A146C-26B6-4F28-B56E-D1A5053F3CDD}"/>
    <cellStyle name="Total 2 3 2 2 4 5 2" xfId="10694" xr:uid="{2308C07D-77C7-4B31-889B-A0FE798EAEE3}"/>
    <cellStyle name="Total 2 3 2 2 4 6" xfId="4370" xr:uid="{4A36ADB4-E622-40FA-B14A-21AF2040FC7A}"/>
    <cellStyle name="Total 2 3 2 2 4 6 2" xfId="10330" xr:uid="{07E2CF5A-0FB2-4A6A-AD53-85DE37A87938}"/>
    <cellStyle name="Total 2 3 2 2 4 7" xfId="5749" xr:uid="{8E1944A6-CA2A-4045-988B-56EEEB33C325}"/>
    <cellStyle name="Total 2 3 2 2 4 7 2" xfId="11477" xr:uid="{FDEE4EEB-ECC1-4254-98F8-CB8E1B0B59E2}"/>
    <cellStyle name="Total 2 3 2 2 4 8" xfId="5753" xr:uid="{D7896685-3092-40C3-95CE-7AD35E9E1F4F}"/>
    <cellStyle name="Total 2 3 2 2 4 8 2" xfId="11481" xr:uid="{BC9D9762-C596-466A-B073-ECE2F58E2E64}"/>
    <cellStyle name="Total 2 3 2 2 4 9" xfId="5245" xr:uid="{628C14BB-2A73-40C5-BC76-77D89455DF02}"/>
    <cellStyle name="Total 2 3 2 2 4 9 2" xfId="11091" xr:uid="{F11C4B47-59DF-40C3-8451-3B1CC955C9AC}"/>
    <cellStyle name="Total 2 3 2 2 5" xfId="2708" xr:uid="{F1FC1B81-2C72-4E99-8D36-A172BAC95F27}"/>
    <cellStyle name="Total 2 3 2 2 5 2" xfId="3172" xr:uid="{BA64F844-BB4E-4414-B387-3E599721ECC2}"/>
    <cellStyle name="Total 2 3 2 2 5 2 2" xfId="4130" xr:uid="{F6FEA08C-3D62-43CC-8F50-592100A6D308}"/>
    <cellStyle name="Total 2 3 2 2 5 2 2 2" xfId="10226" xr:uid="{1F87A2D0-FFFD-4FE4-9DB8-2221732AC560}"/>
    <cellStyle name="Total 2 3 2 2 5 2 3" xfId="7101" xr:uid="{5B8B55BC-3664-4400-AD94-A8E27B1AFE1B}"/>
    <cellStyle name="Total 2 3 2 2 5 2 3 2" xfId="12689" xr:uid="{569240D4-F157-484E-B0DE-AFE3F0AE8BBE}"/>
    <cellStyle name="Total 2 3 2 2 5 2 4" xfId="7762" xr:uid="{04164EC8-762F-494E-BD9D-18DF16E9A4C2}"/>
    <cellStyle name="Total 2 3 2 2 5 2 4 2" xfId="13334" xr:uid="{FAC98FF5-C17F-4211-A3A6-32C79785DF58}"/>
    <cellStyle name="Total 2 3 2 2 5 2 5" xfId="8254" xr:uid="{33997603-7249-4580-8308-CB667758408A}"/>
    <cellStyle name="Total 2 3 2 2 5 2 5 2" xfId="13826" xr:uid="{90C1A2CA-4625-4ED4-A1B4-0F0E8B479D32}"/>
    <cellStyle name="Total 2 3 2 2 5 2 6" xfId="9506" xr:uid="{FECB39C0-68F1-440F-B25E-BBEE5C8C5875}"/>
    <cellStyle name="Total 2 3 2 2 5 3" xfId="3650" xr:uid="{A74A2D50-9BF7-40F4-8FCE-27C358FD1E64}"/>
    <cellStyle name="Total 2 3 2 2 5 3 2" xfId="9866" xr:uid="{0B17FCB1-6D18-486A-9C5F-2A0D5BA9DCD3}"/>
    <cellStyle name="Total 2 3 2 2 5 4" xfId="6087" xr:uid="{D2EB1D55-E79F-44A5-AE59-6D5F0B9E1B82}"/>
    <cellStyle name="Total 2 3 2 2 5 4 2" xfId="11799" xr:uid="{B477FB99-0341-4FFA-8B47-65979106F987}"/>
    <cellStyle name="Total 2 3 2 2 5 5" xfId="6605" xr:uid="{ABF69300-F487-411D-A1C0-83001AD24EF3}"/>
    <cellStyle name="Total 2 3 2 2 5 5 2" xfId="12309" xr:uid="{22C224F5-1F16-4113-89AB-5E32FB45AEB9}"/>
    <cellStyle name="Total 2 3 2 2 5 6" xfId="7359" xr:uid="{A10D1102-9850-4E13-9B52-4BF67BE2F468}"/>
    <cellStyle name="Total 2 3 2 2 5 6 2" xfId="12931" xr:uid="{18E0EE3E-15DC-4E11-8745-F4E650B728E9}"/>
    <cellStyle name="Total 2 3 2 2 5 7" xfId="7894" xr:uid="{5C4DFAA9-45A5-43E9-9811-EB458BE5F60C}"/>
    <cellStyle name="Total 2 3 2 2 5 7 2" xfId="13466" xr:uid="{5E1B178A-8A96-4D5E-830B-EF03F06F75F7}"/>
    <cellStyle name="Total 2 3 2 2 5 8" xfId="9146" xr:uid="{C41E4AE1-BF4C-4F89-9389-4A522D28E9D7}"/>
    <cellStyle name="Total 2 3 2 2 6" xfId="2800" xr:uid="{2F035CF8-FA74-4625-BD07-2FD1A5DE4832}"/>
    <cellStyle name="Total 2 3 2 2 6 2" xfId="3232" xr:uid="{BB8E4A49-0EA1-4597-8B08-406B632FD4AC}"/>
    <cellStyle name="Total 2 3 2 2 6 2 2" xfId="4190" xr:uid="{B207752B-7835-4C41-872E-31E58D5D7CAE}"/>
    <cellStyle name="Total 2 3 2 2 6 2 2 2" xfId="10286" xr:uid="{440F7458-FD73-4185-9317-8A3BC15AF9DC}"/>
    <cellStyle name="Total 2 3 2 2 6 2 3" xfId="7161" xr:uid="{B06D75C8-F6B0-45FC-AF37-23765CD977CF}"/>
    <cellStyle name="Total 2 3 2 2 6 2 3 2" xfId="12749" xr:uid="{6BA954BC-FA21-4D80-9DBC-035B374A47D2}"/>
    <cellStyle name="Total 2 3 2 2 6 2 4" xfId="7822" xr:uid="{99F78B70-E5A7-4258-9DC6-54EFA8E17D82}"/>
    <cellStyle name="Total 2 3 2 2 6 2 4 2" xfId="13394" xr:uid="{4F181412-CDC1-414E-9B55-D33F6B85CB3F}"/>
    <cellStyle name="Total 2 3 2 2 6 2 5" xfId="8314" xr:uid="{06E72666-A43B-4728-B589-BF6A6A574540}"/>
    <cellStyle name="Total 2 3 2 2 6 2 5 2" xfId="13886" xr:uid="{C0741C2D-B9DA-4C15-A69B-D6820C965135}"/>
    <cellStyle name="Total 2 3 2 2 6 2 6" xfId="9566" xr:uid="{891F134E-F22F-4A56-B3D8-DCEAEFF60C72}"/>
    <cellStyle name="Total 2 3 2 2 6 3" xfId="3710" xr:uid="{87C9F019-9C2B-4896-AD5E-2C9776B2E0F0}"/>
    <cellStyle name="Total 2 3 2 2 6 3 2" xfId="9926" xr:uid="{03D6AA27-E8D0-4228-8AE9-20A95C32065D}"/>
    <cellStyle name="Total 2 3 2 2 6 4" xfId="6167" xr:uid="{CB198832-ABFE-4E39-9590-4311D8C4703D}"/>
    <cellStyle name="Total 2 3 2 2 6 4 2" xfId="11879" xr:uid="{43FE7816-9866-4142-90ED-8BC13FF0FE56}"/>
    <cellStyle name="Total 2 3 2 2 6 5" xfId="6677" xr:uid="{C48EAAD3-0A27-49C3-BA9E-E491BC510348}"/>
    <cellStyle name="Total 2 3 2 2 6 5 2" xfId="12381" xr:uid="{80BD29A6-FB81-4E82-87B0-0CF3608CC363}"/>
    <cellStyle name="Total 2 3 2 2 6 6" xfId="7421" xr:uid="{13A57FEB-E45A-42DD-8607-344FD32C963C}"/>
    <cellStyle name="Total 2 3 2 2 6 6 2" xfId="12993" xr:uid="{9E1DEAD1-2076-4C68-B579-0D2C920666EC}"/>
    <cellStyle name="Total 2 3 2 2 6 7" xfId="7954" xr:uid="{E143EA62-C647-4937-A82A-0CC49F58A6D1}"/>
    <cellStyle name="Total 2 3 2 2 6 7 2" xfId="13526" xr:uid="{4E6297F4-4624-4F52-8BC9-CBE97234773C}"/>
    <cellStyle name="Total 2 3 2 2 6 8" xfId="9206" xr:uid="{A8E30E2E-70DA-49D1-AB4A-474E32330B30}"/>
    <cellStyle name="Total 2 3 2 2 7" xfId="2900" xr:uid="{78E8FB9A-3A59-49E7-9CC7-B47905F21B10}"/>
    <cellStyle name="Total 2 3 2 2 7 2" xfId="3828" xr:uid="{B177A805-430C-4B56-8031-21C2F7204443}"/>
    <cellStyle name="Total 2 3 2 2 7 2 2" xfId="9986" xr:uid="{3EBEDB73-461E-4482-BAE7-8DC8F7EE97E3}"/>
    <cellStyle name="Total 2 3 2 2 7 3" xfId="6799" xr:uid="{DC7509C2-F161-4909-A7D1-387E0188BB6F}"/>
    <cellStyle name="Total 2 3 2 2 7 3 2" xfId="12449" xr:uid="{390F49C6-87CC-4A21-970F-E4CA9E9EB5AE}"/>
    <cellStyle name="Total 2 3 2 2 7 4" xfId="7506" xr:uid="{2836C9D1-1AC7-497D-A8C3-3C6C78EBCEE9}"/>
    <cellStyle name="Total 2 3 2 2 7 4 2" xfId="13078" xr:uid="{0F10B9B5-8997-4F40-82EB-91CDE5B9CD5A}"/>
    <cellStyle name="Total 2 3 2 2 7 5" xfId="8014" xr:uid="{44AB3650-1D68-414E-BD20-061A69695C8C}"/>
    <cellStyle name="Total 2 3 2 2 7 5 2" xfId="13586" xr:uid="{992EF106-DD66-4BD3-83AF-A240221A065F}"/>
    <cellStyle name="Total 2 3 2 2 7 6" xfId="9266" xr:uid="{0E00D8C2-56B7-40F0-B112-A35D5E8C356F}"/>
    <cellStyle name="Total 2 3 2 2 8" xfId="3348" xr:uid="{B5914C89-3456-47C2-BF44-55A8DE5BC8F8}"/>
    <cellStyle name="Total 2 3 2 2 8 2" xfId="9626" xr:uid="{C8CDD5A4-EE3E-4741-820F-C6DBCDCD3EB4}"/>
    <cellStyle name="Total 2 3 2 2 9" xfId="4515" xr:uid="{02E24C11-E434-4922-9DA8-588F2A26E546}"/>
    <cellStyle name="Total 2 3 2 2 9 2" xfId="10423" xr:uid="{BD73E223-793F-457A-8E6E-64F54E37AEFC}"/>
    <cellStyle name="Total 2 3 2 3" xfId="2205" xr:uid="{033F1411-08AF-467B-83F4-10747F3E0C0E}"/>
    <cellStyle name="Total 2 3 2 3 10" xfId="4387" xr:uid="{45C338CD-F97E-401F-8FAC-542DBC246304}"/>
    <cellStyle name="Total 2 3 2 3 10 2" xfId="10345" xr:uid="{CE63C913-8C58-4661-8C29-F407AB2603FA}"/>
    <cellStyle name="Total 2 3 2 3 11" xfId="4945" xr:uid="{03DAFE37-C536-413D-87E4-D676310A8E57}"/>
    <cellStyle name="Total 2 3 2 3 11 2" xfId="10791" xr:uid="{E9EBAFB0-FD43-4630-9FC8-6147B45E00E5}"/>
    <cellStyle name="Total 2 3 2 3 12" xfId="5399" xr:uid="{FCFBAD82-0C10-4236-814E-8FEF985B3D30}"/>
    <cellStyle name="Total 2 3 2 3 12 2" xfId="11197" xr:uid="{6F2BD30F-CD35-4C8C-AC4F-023BD2D6DF9B}"/>
    <cellStyle name="Total 2 3 2 3 13" xfId="5567" xr:uid="{15293C0B-97BA-4AEB-B95C-589464E6081C}"/>
    <cellStyle name="Total 2 3 2 3 13 2" xfId="11295" xr:uid="{956BEDB9-A582-489D-9BFC-ECCEAF405F4E}"/>
    <cellStyle name="Total 2 3 2 3 14" xfId="5213" xr:uid="{DA3CB3E8-8E12-4C6C-B5EE-2050B3EE41C6}"/>
    <cellStyle name="Total 2 3 2 3 14 2" xfId="11059" xr:uid="{7C29D438-43C4-47AF-96C8-571FB9511AA3}"/>
    <cellStyle name="Total 2 3 2 3 15" xfId="5778" xr:uid="{494AEA8B-DDF2-4AA0-9E29-B7B3C368DE49}"/>
    <cellStyle name="Total 2 3 2 3 15 2" xfId="11506" xr:uid="{0939F218-222C-41D5-B732-B4FEF3985D0D}"/>
    <cellStyle name="Total 2 3 2 3 16" xfId="6203" xr:uid="{10C96DFF-5863-4949-83D0-513F33EB161F}"/>
    <cellStyle name="Total 2 3 2 3 16 2" xfId="11907" xr:uid="{F2FD3640-4807-4125-A5F4-04E2BF18B620}"/>
    <cellStyle name="Total 2 3 2 3 17" xfId="6511" xr:uid="{B8158D80-63E0-4D74-AA65-622503CA10B4}"/>
    <cellStyle name="Total 2 3 2 3 17 2" xfId="12215" xr:uid="{53CB6F50-0A82-44AD-9C8C-B9BFD40C9744}"/>
    <cellStyle name="Total 2 3 2 3 18" xfId="5650" xr:uid="{954441C6-29D9-49F0-8607-91CB5D42D838}"/>
    <cellStyle name="Total 2 3 2 3 18 2" xfId="11378" xr:uid="{C29ED544-E4DE-4DA3-9043-C35BEF66D41B}"/>
    <cellStyle name="Total 2 3 2 3 19" xfId="8419" xr:uid="{753AA4D4-E6C1-4CFF-B579-0BCBBB3103EC}"/>
    <cellStyle name="Total 2 3 2 3 19 2" xfId="13899" xr:uid="{8D9ABFB1-5F10-48A6-80AF-12562E4F858D}"/>
    <cellStyle name="Total 2 3 2 3 2" xfId="2397" xr:uid="{9545636A-5A17-41E6-B978-3AB10AA8E97A}"/>
    <cellStyle name="Total 2 3 2 3 2 10" xfId="5305" xr:uid="{E0653D24-6D09-42BE-A97F-79B3AADB1979}"/>
    <cellStyle name="Total 2 3 2 3 2 10 2" xfId="11149" xr:uid="{BC98488E-AEBE-435D-85C6-B8EFADB28626}"/>
    <cellStyle name="Total 2 3 2 3 2 11" xfId="7449" xr:uid="{EBA516B7-39E1-4763-BAD0-EF3693C6DEA3}"/>
    <cellStyle name="Total 2 3 2 3 2 11 2" xfId="13021" xr:uid="{64B69476-E11F-469A-B299-1F88ADE2F74E}"/>
    <cellStyle name="Total 2 3 2 3 2 12" xfId="8611" xr:uid="{E30C328E-B801-4BF3-AEB2-08D512EB8BA5}"/>
    <cellStyle name="Total 2 3 2 3 2 12 2" xfId="13999" xr:uid="{B88BA4E7-7D41-45B6-9988-515B8E006145}"/>
    <cellStyle name="Total 2 3 2 3 2 13" xfId="8959" xr:uid="{E1D4AA03-F323-4320-9BB1-87AD7ACEDC71}"/>
    <cellStyle name="Total 2 3 2 3 2 2" xfId="2985" xr:uid="{D1E02823-FEC7-4E02-8878-BB1017C84C7C}"/>
    <cellStyle name="Total 2 3 2 3 2 2 2" xfId="3925" xr:uid="{0DF8F5B8-9037-4231-A7B3-EDC7AEA46296}"/>
    <cellStyle name="Total 2 3 2 3 2 2 2 2" xfId="10039" xr:uid="{98F249C2-9958-41C0-AE54-3010C2821785}"/>
    <cellStyle name="Total 2 3 2 3 2 2 3" xfId="6896" xr:uid="{C76793D7-461B-49E6-86D7-D4CE1BD34892}"/>
    <cellStyle name="Total 2 3 2 3 2 2 3 2" xfId="12502" xr:uid="{72311F9A-E734-4681-AF64-DE8E572A0B40}"/>
    <cellStyle name="Total 2 3 2 3 2 2 4" xfId="7574" xr:uid="{F04C262F-74E0-4091-94F3-AFE1756204D6}"/>
    <cellStyle name="Total 2 3 2 3 2 2 4 2" xfId="13146" xr:uid="{AD6A4722-F33B-4377-A353-26DED7E24215}"/>
    <cellStyle name="Total 2 3 2 3 2 2 5" xfId="8067" xr:uid="{BA92B631-B890-4A30-AD68-9596E2998B21}"/>
    <cellStyle name="Total 2 3 2 3 2 2 5 2" xfId="13639" xr:uid="{E0FDB31B-D7F8-4394-856A-FA32A3AFFC97}"/>
    <cellStyle name="Total 2 3 2 3 2 2 6" xfId="9319" xr:uid="{594B5E6C-BCC4-46D2-A9F7-7F96C20409F8}"/>
    <cellStyle name="Total 2 3 2 3 2 3" xfId="3445" xr:uid="{98DBF0DB-E4A0-40F7-A6D5-DE280A477D41}"/>
    <cellStyle name="Total 2 3 2 3 2 3 2" xfId="9679" xr:uid="{9E65A197-AAA4-408F-9975-3A195E040FF0}"/>
    <cellStyle name="Total 2 3 2 3 2 4" xfId="4638" xr:uid="{E661E5A3-0429-4FEE-A8F1-1141B1679B4A}"/>
    <cellStyle name="Total 2 3 2 3 2 4 2" xfId="10502" xr:uid="{15706793-4B68-4083-8922-CF961B3AFD81}"/>
    <cellStyle name="Total 2 3 2 3 2 5" xfId="4877" xr:uid="{5A5538B8-58DF-41D8-97A1-DD357FDEA59C}"/>
    <cellStyle name="Total 2 3 2 3 2 5 2" xfId="10723" xr:uid="{1BC514A3-D1C4-401F-B818-0D708C4D6ECC}"/>
    <cellStyle name="Total 2 3 2 3 2 6" xfId="5033" xr:uid="{54894200-C090-4A70-BC39-D0BD5C53CDAE}"/>
    <cellStyle name="Total 2 3 2 3 2 6 2" xfId="10879" xr:uid="{BEA04866-8796-4FAF-8B36-F1DFE4F66B27}"/>
    <cellStyle name="Total 2 3 2 3 2 7" xfId="5803" xr:uid="{846D278A-B091-4974-ADD6-5F41F7AA5543}"/>
    <cellStyle name="Total 2 3 2 3 2 7 2" xfId="11531" xr:uid="{02E9EC21-7C3D-4BA1-8EBB-26F1E9260C59}"/>
    <cellStyle name="Total 2 3 2 3 2 8" xfId="5630" xr:uid="{4195711E-079F-4BDC-BA63-4175146E7723}"/>
    <cellStyle name="Total 2 3 2 3 2 8 2" xfId="11358" xr:uid="{E4779586-EF0D-4071-B219-11F73A60BBAC}"/>
    <cellStyle name="Total 2 3 2 3 2 9" xfId="6340" xr:uid="{9B638501-8639-433E-8F57-233DB3600433}"/>
    <cellStyle name="Total 2 3 2 3 2 9 2" xfId="12044" xr:uid="{C88CED12-92AD-40F0-9CF9-9BB4B2A4EF2D}"/>
    <cellStyle name="Total 2 3 2 3 20" xfId="8859" xr:uid="{10A650EA-0EBE-4CE4-BA88-DD38708EAE7A}"/>
    <cellStyle name="Total 2 3 2 3 3" xfId="2503" xr:uid="{85CF8D9D-70E3-4186-9B5E-721035D8CAF0}"/>
    <cellStyle name="Total 2 3 2 3 3 10" xfId="7195" xr:uid="{65692B3C-0B45-4243-BD46-5CE19E1D0FF9}"/>
    <cellStyle name="Total 2 3 2 3 3 10 2" xfId="12767" xr:uid="{D4512723-C581-4DC7-AD95-43608AF476E8}"/>
    <cellStyle name="Total 2 3 2 3 3 11" xfId="7270" xr:uid="{50E5A4F7-A7B9-48A9-8FEC-46BE05D421C4}"/>
    <cellStyle name="Total 2 3 2 3 3 11 2" xfId="12842" xr:uid="{E3C0468A-0150-462D-8BAA-87CE06BE7B8B}"/>
    <cellStyle name="Total 2 3 2 3 3 12" xfId="8717" xr:uid="{068B2AD1-B30F-41F9-B295-F61DB7507325}"/>
    <cellStyle name="Total 2 3 2 3 3 12 2" xfId="14073" xr:uid="{0152488C-ACED-4E48-BF63-E990555EC0A1}"/>
    <cellStyle name="Total 2 3 2 3 3 13" xfId="9033" xr:uid="{C88E7329-61CA-4E7D-ABD9-8AF7F03FA08F}"/>
    <cellStyle name="Total 2 3 2 3 3 2" xfId="3059" xr:uid="{A118B8B5-B81A-4CB5-ABBB-12D32BF318D9}"/>
    <cellStyle name="Total 2 3 2 3 3 2 2" xfId="3999" xr:uid="{25AD7FCD-5479-4E65-910A-27570CA2AE8F}"/>
    <cellStyle name="Total 2 3 2 3 3 2 2 2" xfId="10113" xr:uid="{96DDA955-20EB-437D-A6DC-F640852C9A55}"/>
    <cellStyle name="Total 2 3 2 3 3 2 3" xfId="6970" xr:uid="{49F72BA2-ACCB-4CF0-B7D0-983CC7A056BC}"/>
    <cellStyle name="Total 2 3 2 3 3 2 3 2" xfId="12576" xr:uid="{91D9EE13-3D33-4B26-B9C0-5252707FEE0C}"/>
    <cellStyle name="Total 2 3 2 3 3 2 4" xfId="7648" xr:uid="{46C98E8E-8223-4CFA-9E4B-70EA689C992C}"/>
    <cellStyle name="Total 2 3 2 3 3 2 4 2" xfId="13220" xr:uid="{72584305-AF96-45E5-B51C-F5E13051C907}"/>
    <cellStyle name="Total 2 3 2 3 3 2 5" xfId="8141" xr:uid="{60975948-79ED-4A38-A702-8A7816114E14}"/>
    <cellStyle name="Total 2 3 2 3 3 2 5 2" xfId="13713" xr:uid="{8CE6B40C-BFC5-41C7-A29D-2B26AC0B2C65}"/>
    <cellStyle name="Total 2 3 2 3 3 2 6" xfId="9393" xr:uid="{7D7E047E-E057-4A35-BC38-FD8C887D24C5}"/>
    <cellStyle name="Total 2 3 2 3 3 3" xfId="3519" xr:uid="{75E41738-683E-4472-B43A-643D21522153}"/>
    <cellStyle name="Total 2 3 2 3 3 3 2" xfId="9753" xr:uid="{5F229AD6-ED65-42B8-AE18-03394B5A8014}"/>
    <cellStyle name="Total 2 3 2 3 3 4" xfId="4716" xr:uid="{3D407341-DCF8-46FA-8A66-714FCF9404AB}"/>
    <cellStyle name="Total 2 3 2 3 3 4 2" xfId="10580" xr:uid="{FDB374C0-C486-42BB-8574-594AC13E677F}"/>
    <cellStyle name="Total 2 3 2 3 3 5" xfId="4959" xr:uid="{88EBC624-D427-45EE-AB5B-15848EDE537E}"/>
    <cellStyle name="Total 2 3 2 3 3 5 2" xfId="10805" xr:uid="{90A7C55F-62F6-4F52-A9AD-3262EB106E2E}"/>
    <cellStyle name="Total 2 3 2 3 3 6" xfId="5107" xr:uid="{694CF6E1-BCCD-4E9F-A071-2E9A8DFAED9E}"/>
    <cellStyle name="Total 2 3 2 3 3 6 2" xfId="10953" xr:uid="{6EE0A7C4-0BF5-4BAE-AC42-2D6AB324D8C6}"/>
    <cellStyle name="Total 2 3 2 3 3 7" xfId="5898" xr:uid="{080674E2-9369-42D0-9D41-A18B21EE54AD}"/>
    <cellStyle name="Total 2 3 2 3 3 7 2" xfId="11626" xr:uid="{AC3835C4-A4C5-42AE-BC58-3675858E95A3}"/>
    <cellStyle name="Total 2 3 2 3 3 8" xfId="6228" xr:uid="{52E9E17A-F990-47FE-85B3-36EC5973DA58}"/>
    <cellStyle name="Total 2 3 2 3 3 8 2" xfId="11932" xr:uid="{35635F33-CAC3-422D-869A-504DA4DC7624}"/>
    <cellStyle name="Total 2 3 2 3 3 9" xfId="6430" xr:uid="{4341E01F-393F-4720-B4BB-DF4DC5091F00}"/>
    <cellStyle name="Total 2 3 2 3 3 9 2" xfId="12134" xr:uid="{7070D783-C41A-469C-9191-31DD9A34A761}"/>
    <cellStyle name="Total 2 3 2 3 4" xfId="2285" xr:uid="{B54EAEBE-DD52-48D7-B55F-519E92FC1DDF}"/>
    <cellStyle name="Total 2 3 2 3 4 10" xfId="5321" xr:uid="{51DC9D35-FB7A-4082-9027-D401B8B3638C}"/>
    <cellStyle name="Total 2 3 2 3 4 10 2" xfId="11165" xr:uid="{02FA116B-3226-4023-B8B6-C43A310EAE02}"/>
    <cellStyle name="Total 2 3 2 3 4 11" xfId="7832" xr:uid="{EA1B82D6-2B29-4B6A-AE30-15144EFAF318}"/>
    <cellStyle name="Total 2 3 2 3 4 11 2" xfId="13404" xr:uid="{E305BDAF-6643-4F53-B8EF-81D1791D971A}"/>
    <cellStyle name="Total 2 3 2 3 4 12" xfId="8499" xr:uid="{3C0019F3-344C-4427-8499-056EBE635CEC}"/>
    <cellStyle name="Total 2 3 2 3 4 12 2" xfId="13979" xr:uid="{E2AAC32A-86C2-45BF-B860-9C680E15591C}"/>
    <cellStyle name="Total 2 3 2 3 4 13" xfId="8939" xr:uid="{B5051CC9-6198-4320-B50E-5DA10F5867B6}"/>
    <cellStyle name="Total 2 3 2 3 4 2" xfId="2965" xr:uid="{0BA346C5-F295-4770-B842-B67F1B99051A}"/>
    <cellStyle name="Total 2 3 2 3 4 2 2" xfId="3905" xr:uid="{EDE0A489-F22F-44D9-BE37-9338B768485B}"/>
    <cellStyle name="Total 2 3 2 3 4 2 2 2" xfId="10019" xr:uid="{2277E7C3-20DA-4848-91A2-7D62FEE93877}"/>
    <cellStyle name="Total 2 3 2 3 4 2 3" xfId="6876" xr:uid="{EB9DE988-FEF9-4CF9-B53D-07FBAAAE81E4}"/>
    <cellStyle name="Total 2 3 2 3 4 2 3 2" xfId="12482" xr:uid="{363CD4A2-74DA-41BB-ACD8-797B9C9BDE63}"/>
    <cellStyle name="Total 2 3 2 3 4 2 4" xfId="7554" xr:uid="{A95E0E7C-5862-4D86-B53E-5C76C007B18E}"/>
    <cellStyle name="Total 2 3 2 3 4 2 4 2" xfId="13126" xr:uid="{680B2DEA-237F-48C5-B40F-CDA09C7F2DEC}"/>
    <cellStyle name="Total 2 3 2 3 4 2 5" xfId="8047" xr:uid="{8A9041F4-B7F8-4F5F-B710-FD1D77830B4E}"/>
    <cellStyle name="Total 2 3 2 3 4 2 5 2" xfId="13619" xr:uid="{F2E7880A-E70E-4530-9919-E79F61D02AB4}"/>
    <cellStyle name="Total 2 3 2 3 4 2 6" xfId="9299" xr:uid="{F88DF06D-4750-43F3-83D1-604A569FDCCF}"/>
    <cellStyle name="Total 2 3 2 3 4 3" xfId="3425" xr:uid="{1C9526AF-BD53-4794-AACC-C5543FEE5C02}"/>
    <cellStyle name="Total 2 3 2 3 4 3 2" xfId="9659" xr:uid="{4E2BFC5E-3182-42FB-B45F-5A8B05C24F19}"/>
    <cellStyle name="Total 2 3 2 3 4 4" xfId="4592" xr:uid="{E666D029-198A-44E8-AA76-2FBB38131B03}"/>
    <cellStyle name="Total 2 3 2 3 4 4 2" xfId="10456" xr:uid="{8FF8ED69-2871-47DA-AF0A-F22CFBCBBE82}"/>
    <cellStyle name="Total 2 3 2 3 4 5" xfId="4837" xr:uid="{4E5162BB-640E-4C4F-858E-7681D5C5D11B}"/>
    <cellStyle name="Total 2 3 2 3 4 5 2" xfId="10683" xr:uid="{FEA72FC3-C630-4E70-BD15-16B11DE39285}"/>
    <cellStyle name="Total 2 3 2 3 4 6" xfId="4335" xr:uid="{B9ADDCE1-9E06-42DA-A266-59879784C3EB}"/>
    <cellStyle name="Total 2 3 2 3 4 6 2" xfId="10295" xr:uid="{636E00BD-2E3B-497B-AAB2-A667BD399222}"/>
    <cellStyle name="Total 2 3 2 3 4 7" xfId="5723" xr:uid="{67B8EB11-AF61-494D-A468-41EBB21112E3}"/>
    <cellStyle name="Total 2 3 2 3 4 7 2" xfId="11451" xr:uid="{4231C9B4-C2FA-4B68-B48A-9536BF72E163}"/>
    <cellStyle name="Total 2 3 2 3 4 8" xfId="5997" xr:uid="{75EC2959-3F22-4FEE-A22F-E0093E86ADCE}"/>
    <cellStyle name="Total 2 3 2 3 4 8 2" xfId="11709" xr:uid="{18075E69-DDC3-4F38-9284-2E0A1A4F740C}"/>
    <cellStyle name="Total 2 3 2 3 4 9" xfId="5283" xr:uid="{279E3D67-AF26-4449-9E15-DBB85ADF87F1}"/>
    <cellStyle name="Total 2 3 2 3 4 9 2" xfId="11127" xr:uid="{2EAA1E45-5ED5-49E8-8AC8-7895FEBDBB42}"/>
    <cellStyle name="Total 2 3 2 3 5" xfId="2661" xr:uid="{0334A001-B8F6-4C75-B33A-DBB7BDDDFCAC}"/>
    <cellStyle name="Total 2 3 2 3 5 2" xfId="3125" xr:uid="{AB8BD964-940F-49EB-93DF-9F92D1676CA6}"/>
    <cellStyle name="Total 2 3 2 3 5 2 2" xfId="4083" xr:uid="{D3740066-7705-4398-9678-C96D4FDA94A2}"/>
    <cellStyle name="Total 2 3 2 3 5 2 2 2" xfId="10179" xr:uid="{D5C66696-C193-40E1-B507-E7941C70A9B6}"/>
    <cellStyle name="Total 2 3 2 3 5 2 3" xfId="7054" xr:uid="{23B609EC-A78F-4FA6-91AF-2823E3257370}"/>
    <cellStyle name="Total 2 3 2 3 5 2 3 2" xfId="12642" xr:uid="{06007094-E39B-4657-85AB-9CDAD74B4233}"/>
    <cellStyle name="Total 2 3 2 3 5 2 4" xfId="7715" xr:uid="{2D66EAF5-AEA4-4370-A61C-359C155C513E}"/>
    <cellStyle name="Total 2 3 2 3 5 2 4 2" xfId="13287" xr:uid="{4998E142-93BB-4D3B-A51E-3D2DA834DED3}"/>
    <cellStyle name="Total 2 3 2 3 5 2 5" xfId="8207" xr:uid="{299E49BB-E274-4CD3-8BAD-F9AB05E4CECD}"/>
    <cellStyle name="Total 2 3 2 3 5 2 5 2" xfId="13779" xr:uid="{6FE5D05E-ACA6-40CE-A5A4-F32F9A20F1AD}"/>
    <cellStyle name="Total 2 3 2 3 5 2 6" xfId="9459" xr:uid="{5E0F9174-5AB8-4769-93E3-1E721E576C62}"/>
    <cellStyle name="Total 2 3 2 3 5 3" xfId="3603" xr:uid="{476A6E73-BFEE-4180-965A-12DFF9F28FB1}"/>
    <cellStyle name="Total 2 3 2 3 5 3 2" xfId="9819" xr:uid="{41BEF5EE-5416-4237-909E-D71B925E7F39}"/>
    <cellStyle name="Total 2 3 2 3 5 4" xfId="6040" xr:uid="{BF64E7E0-27AD-4EE3-8B30-9F90C49EA966}"/>
    <cellStyle name="Total 2 3 2 3 5 4 2" xfId="11752" xr:uid="{D6ABC85E-8324-44B8-9017-416C32797C2E}"/>
    <cellStyle name="Total 2 3 2 3 5 5" xfId="6558" xr:uid="{8A6563E7-9403-4534-A7D6-B8E14D5B8ED0}"/>
    <cellStyle name="Total 2 3 2 3 5 5 2" xfId="12262" xr:uid="{DC8131E7-A6EC-40C1-9B83-86AB81196CF0}"/>
    <cellStyle name="Total 2 3 2 3 5 6" xfId="7312" xr:uid="{9B55291A-58FC-433F-AE7C-43D6D5F1D7F3}"/>
    <cellStyle name="Total 2 3 2 3 5 6 2" xfId="12884" xr:uid="{E8F65369-1A29-49EF-8B50-4DC840C275D0}"/>
    <cellStyle name="Total 2 3 2 3 5 7" xfId="7847" xr:uid="{37FD1EB7-35B2-419B-8E28-FCA22AC50F4E}"/>
    <cellStyle name="Total 2 3 2 3 5 7 2" xfId="13419" xr:uid="{C49C8C0B-8CB8-4BBE-BBE9-9C9357BD5757}"/>
    <cellStyle name="Total 2 3 2 3 5 8" xfId="9099" xr:uid="{71FB296F-84FD-4432-A030-2F794BE8BFBE}"/>
    <cellStyle name="Total 2 3 2 3 6" xfId="2753" xr:uid="{30AC8F74-4959-415A-88E2-8F8901B69FE7}"/>
    <cellStyle name="Total 2 3 2 3 6 2" xfId="3185" xr:uid="{74C4BED5-BCC3-460E-8DF3-2E0D7EBBFDF6}"/>
    <cellStyle name="Total 2 3 2 3 6 2 2" xfId="4143" xr:uid="{9884DBD2-9903-460E-89F1-090933747A38}"/>
    <cellStyle name="Total 2 3 2 3 6 2 2 2" xfId="10239" xr:uid="{1F07FAF4-C8E7-4780-8FA9-9A4D6DB0ED97}"/>
    <cellStyle name="Total 2 3 2 3 6 2 3" xfId="7114" xr:uid="{DB2EF7DC-E36D-4BC9-A6EB-DCC5278282A2}"/>
    <cellStyle name="Total 2 3 2 3 6 2 3 2" xfId="12702" xr:uid="{3AE6D252-32F8-41CC-9EAC-BC390D952EBC}"/>
    <cellStyle name="Total 2 3 2 3 6 2 4" xfId="7775" xr:uid="{534FAECC-6E25-4768-947A-3D3965C36722}"/>
    <cellStyle name="Total 2 3 2 3 6 2 4 2" xfId="13347" xr:uid="{93ED7596-B97E-4F2E-BB86-A979CDB3588E}"/>
    <cellStyle name="Total 2 3 2 3 6 2 5" xfId="8267" xr:uid="{A5A1C714-2704-4261-AF94-FC2108F5DF6B}"/>
    <cellStyle name="Total 2 3 2 3 6 2 5 2" xfId="13839" xr:uid="{4BC6317E-D986-4CE2-B99C-DC5D173CBC1F}"/>
    <cellStyle name="Total 2 3 2 3 6 2 6" xfId="9519" xr:uid="{8C77CA45-C981-4636-B6E7-5B00D73540DB}"/>
    <cellStyle name="Total 2 3 2 3 6 3" xfId="3663" xr:uid="{D7B17DD4-0036-4430-97C4-BED8DC9EAAEC}"/>
    <cellStyle name="Total 2 3 2 3 6 3 2" xfId="9879" xr:uid="{71A367A5-EBF0-4561-AFCE-5C7755E9F73A}"/>
    <cellStyle name="Total 2 3 2 3 6 4" xfId="6120" xr:uid="{D12FCD72-26F8-4BD6-AEDE-62A5C085CD36}"/>
    <cellStyle name="Total 2 3 2 3 6 4 2" xfId="11832" xr:uid="{9112FBE5-B5E7-40C2-916A-E95B949FD97B}"/>
    <cellStyle name="Total 2 3 2 3 6 5" xfId="6630" xr:uid="{F111E640-34F6-43FA-803B-DC86C1195A21}"/>
    <cellStyle name="Total 2 3 2 3 6 5 2" xfId="12334" xr:uid="{8E50BB5E-A4C2-481E-9F0D-E9C2323B4B7E}"/>
    <cellStyle name="Total 2 3 2 3 6 6" xfId="7374" xr:uid="{2E65068D-FA20-4CAA-8C05-49924E64B9B7}"/>
    <cellStyle name="Total 2 3 2 3 6 6 2" xfId="12946" xr:uid="{6BC9DA89-7605-4A77-97B3-52A22985AEEA}"/>
    <cellStyle name="Total 2 3 2 3 6 7" xfId="7907" xr:uid="{DCFAF562-C5E8-4479-B9EA-8A6A4BBB4EAD}"/>
    <cellStyle name="Total 2 3 2 3 6 7 2" xfId="13479" xr:uid="{27E919A0-7CCD-4D9D-8BFF-1BE9EBDE9CFB}"/>
    <cellStyle name="Total 2 3 2 3 6 8" xfId="9159" xr:uid="{2BCEF65D-3EBF-4EE0-94B0-45D3CDB25461}"/>
    <cellStyle name="Total 2 3 2 3 7" xfId="2853" xr:uid="{8EAE083D-0976-4184-9FEA-EF9E3850AE98}"/>
    <cellStyle name="Total 2 3 2 3 7 2" xfId="3777" xr:uid="{18F6045F-CCC5-4C9E-B897-2431D8C72A0B}"/>
    <cellStyle name="Total 2 3 2 3 7 2 2" xfId="9939" xr:uid="{62410056-69D2-4C79-B2F0-F61620ABBD32}"/>
    <cellStyle name="Total 2 3 2 3 7 3" xfId="6748" xr:uid="{C4033B99-B280-4D81-B21E-48E062DB7AC6}"/>
    <cellStyle name="Total 2 3 2 3 7 3 2" xfId="12402" xr:uid="{8CA7AAD2-9C97-4A68-BCDA-154031490605}"/>
    <cellStyle name="Total 2 3 2 3 7 4" xfId="7458" xr:uid="{ECCD6333-EA80-4DF4-BFD5-E1F1D6BAA8AF}"/>
    <cellStyle name="Total 2 3 2 3 7 4 2" xfId="13030" xr:uid="{48AAC4E1-F3E9-4D49-A2A0-509EFC6FE968}"/>
    <cellStyle name="Total 2 3 2 3 7 5" xfId="7967" xr:uid="{896867C5-BA2B-4F51-BB65-3CF3FB8436B4}"/>
    <cellStyle name="Total 2 3 2 3 7 5 2" xfId="13539" xr:uid="{17F82308-6975-4591-9EC6-69DF00DC8FBA}"/>
    <cellStyle name="Total 2 3 2 3 7 6" xfId="9219" xr:uid="{ABCF9B34-5527-4696-86A9-C34E9AEFFCC0}"/>
    <cellStyle name="Total 2 3 2 3 8" xfId="3297" xr:uid="{373D103E-9B5B-46EF-98DA-7D957862AC1B}"/>
    <cellStyle name="Total 2 3 2 3 8 2" xfId="9579" xr:uid="{A0999BD2-C156-4613-BE38-B5F0DF016A68}"/>
    <cellStyle name="Total 2 3 2 3 9" xfId="4464" xr:uid="{A500880B-D484-4A81-BEE2-1B9CCA613283}"/>
    <cellStyle name="Total 2 3 2 3 9 2" xfId="10376" xr:uid="{2148CE9A-DA8B-444F-88B7-376506D14FD6}"/>
    <cellStyle name="Total 2 3 2 4" xfId="8853" xr:uid="{55998F58-A684-41DB-BB1D-E4E501805507}"/>
    <cellStyle name="Total 2 3 2 5" xfId="2132" xr:uid="{75B9D0CD-C079-46A8-8609-E8FF5B179B1E}"/>
    <cellStyle name="Total 2 3 3" xfId="1608" xr:uid="{382D1068-9B8B-406A-9A9D-0C02E9AF6139}"/>
    <cellStyle name="Total 2 3 3 10" xfId="4356" xr:uid="{3A536180-F5BA-47DA-B55D-A26FA6F52B19}"/>
    <cellStyle name="Total 2 3 3 10 2" xfId="10316" xr:uid="{19C412C0-204C-4969-A6A7-AF1FCE1A0083}"/>
    <cellStyle name="Total 2 3 3 11" xfId="4852" xr:uid="{1C2B4371-A640-46F1-9060-72454872550E}"/>
    <cellStyle name="Total 2 3 3 11 2" xfId="10698" xr:uid="{DAB22F73-E891-4B02-918E-068090501EAC}"/>
    <cellStyle name="Total 2 3 3 12" xfId="5424" xr:uid="{86646EB7-55BC-497B-A14E-96C5BFD076EC}"/>
    <cellStyle name="Total 2 3 3 12 2" xfId="11222" xr:uid="{F05AECA5-5549-4474-82A1-27FFA6546247}"/>
    <cellStyle name="Total 2 3 3 13" xfId="5592" xr:uid="{13E0F175-FF9B-40F1-885A-94D8FB5D7A68}"/>
    <cellStyle name="Total 2 3 3 13 2" xfId="11320" xr:uid="{868BEBB4-D30F-40EB-AD25-0215DC18E074}"/>
    <cellStyle name="Total 2 3 3 14" xfId="5186" xr:uid="{EBD712EA-3398-4F23-AA9C-A92A6C775039}"/>
    <cellStyle name="Total 2 3 3 14 2" xfId="11032" xr:uid="{A9F727F7-AA08-41AC-AFA3-21BE800EB07C}"/>
    <cellStyle name="Total 2 3 3 15" xfId="6002" xr:uid="{8CA1E96F-A315-4952-B780-AA8AE50336BC}"/>
    <cellStyle name="Total 2 3 3 15 2" xfId="11714" xr:uid="{AFBA04C2-B26F-4EB1-B278-A5522F020418}"/>
    <cellStyle name="Total 2 3 3 16" xfId="5661" xr:uid="{83BAF235-4DC4-4F07-9EB8-1FD42E26F08E}"/>
    <cellStyle name="Total 2 3 3 16 2" xfId="11389" xr:uid="{4B3F870B-69DF-4BF8-8E44-013C6ADCBB41}"/>
    <cellStyle name="Total 2 3 3 17" xfId="5784" xr:uid="{0289DA3B-1AFF-407C-B84A-61232501A18A}"/>
    <cellStyle name="Total 2 3 3 17 2" xfId="11512" xr:uid="{1FBB8824-E5E4-4168-A7E4-BBB90C05A7C6}"/>
    <cellStyle name="Total 2 3 3 18" xfId="7512" xr:uid="{56E142C3-F6B6-49C9-A187-BA170AFC0691}"/>
    <cellStyle name="Total 2 3 3 18 2" xfId="13084" xr:uid="{743F433E-4BE6-4D8E-9DE6-E2851B655C3A}"/>
    <cellStyle name="Total 2 3 3 19" xfId="8444" xr:uid="{F5ECBA85-D3C5-42A0-8601-29DE1F92D0AB}"/>
    <cellStyle name="Total 2 3 3 19 2" xfId="13924" xr:uid="{E0091FDE-C213-4112-8EDD-67B9D0916C1F}"/>
    <cellStyle name="Total 2 3 3 2" xfId="2422" xr:uid="{1322B35B-2464-409A-BEEF-CA98C52F48D3}"/>
    <cellStyle name="Total 2 3 3 2 10" xfId="6615" xr:uid="{FE7EBC75-21FF-4C9E-B65A-01F0F486BC01}"/>
    <cellStyle name="Total 2 3 3 2 10 2" xfId="12319" xr:uid="{03F15F99-3F3F-4758-A44B-6126BBD055B1}"/>
    <cellStyle name="Total 2 3 3 2 11" xfId="5223" xr:uid="{16A47C25-CE1D-442C-BEC3-35BF7B6635F1}"/>
    <cellStyle name="Total 2 3 3 2 11 2" xfId="11069" xr:uid="{86DA0ED1-903E-4978-A06C-81DF5DB6D548}"/>
    <cellStyle name="Total 2 3 3 2 12" xfId="8636" xr:uid="{BA6FD89F-DD95-4C59-8B8E-3609B3642DF4}"/>
    <cellStyle name="Total 2 3 3 2 12 2" xfId="14024" xr:uid="{7169A6B2-FE14-4821-9851-F13A817F93AE}"/>
    <cellStyle name="Total 2 3 3 2 13" xfId="8984" xr:uid="{5EB28F1A-5EB3-43C5-A519-DB26E2BE7E11}"/>
    <cellStyle name="Total 2 3 3 2 2" xfId="3010" xr:uid="{EA818476-F020-4435-961D-9EAD42DBC653}"/>
    <cellStyle name="Total 2 3 3 2 2 2" xfId="3950" xr:uid="{8026D95D-06F3-49AC-B4BF-96065F9FD2FC}"/>
    <cellStyle name="Total 2 3 3 2 2 2 2" xfId="10064" xr:uid="{34ED9659-09FF-4D99-A407-0535C2753ECE}"/>
    <cellStyle name="Total 2 3 3 2 2 3" xfId="6921" xr:uid="{2B9A02DE-F548-40AC-8A7A-70EE8684EB70}"/>
    <cellStyle name="Total 2 3 3 2 2 3 2" xfId="12527" xr:uid="{ABD7D416-9798-4288-852D-D7B51D05E822}"/>
    <cellStyle name="Total 2 3 3 2 2 4" xfId="7599" xr:uid="{E1F2E770-DA29-4D29-ACE3-CC4B6BE2ED5A}"/>
    <cellStyle name="Total 2 3 3 2 2 4 2" xfId="13171" xr:uid="{A3C6E895-A843-4486-AA05-AD5FC282A7EC}"/>
    <cellStyle name="Total 2 3 3 2 2 5" xfId="8092" xr:uid="{C245E924-3A9D-4D65-B727-4061EF683C4E}"/>
    <cellStyle name="Total 2 3 3 2 2 5 2" xfId="13664" xr:uid="{6C1907B2-FEDD-46CB-9317-63B299C11408}"/>
    <cellStyle name="Total 2 3 3 2 2 6" xfId="9344" xr:uid="{203FA4DD-4754-4CB9-8C4F-2038BF5A9AAC}"/>
    <cellStyle name="Total 2 3 3 2 3" xfId="3470" xr:uid="{B136F4DF-20A4-4A36-97EA-B66CA6D52076}"/>
    <cellStyle name="Total 2 3 3 2 3 2" xfId="9704" xr:uid="{BD5AE1FB-A027-410F-BE24-152D293FDEA9}"/>
    <cellStyle name="Total 2 3 3 2 4" xfId="4663" xr:uid="{CB76B679-2317-4CDA-A9E6-0BF810ABCEAB}"/>
    <cellStyle name="Total 2 3 3 2 4 2" xfId="10527" xr:uid="{B7D18583-C4CE-4C58-884F-A9A0D741500A}"/>
    <cellStyle name="Total 2 3 3 2 5" xfId="4902" xr:uid="{86EF1D2C-21E0-43A1-B401-420786C41889}"/>
    <cellStyle name="Total 2 3 3 2 5 2" xfId="10748" xr:uid="{B5685661-112D-4BBD-A6CC-1516AD92F3C6}"/>
    <cellStyle name="Total 2 3 3 2 6" xfId="5058" xr:uid="{CBC9ACC0-94AB-4545-9185-676C2094935C}"/>
    <cellStyle name="Total 2 3 3 2 6 2" xfId="10904" xr:uid="{5C398E81-6FF0-4C9F-953F-E19AC328B360}"/>
    <cellStyle name="Total 2 3 3 2 7" xfId="5828" xr:uid="{E5B932CE-5BA1-4B08-A4D6-EAF35B30B785}"/>
    <cellStyle name="Total 2 3 3 2 7 2" xfId="11556" xr:uid="{9CE118F7-A20B-4CF0-85F8-B6B309DFB385}"/>
    <cellStyle name="Total 2 3 3 2 8" xfId="5346" xr:uid="{97F116E4-8BEE-4047-82D3-4B8EDA386D8F}"/>
    <cellStyle name="Total 2 3 3 2 8 2" xfId="11178" xr:uid="{23F99EDD-BD32-4E53-9EFB-79F4F7BF9F91}"/>
    <cellStyle name="Total 2 3 3 2 9" xfId="6365" xr:uid="{71A037A0-A52A-490E-8B2B-0C5BD93F42DF}"/>
    <cellStyle name="Total 2 3 3 2 9 2" xfId="12069" xr:uid="{45E101E5-D7EE-4EBD-81CA-B442190269F0}"/>
    <cellStyle name="Total 2 3 3 20" xfId="8884" xr:uid="{7ADC379A-46F8-4D13-BB57-522B16BE47E2}"/>
    <cellStyle name="Total 2 3 3 21" xfId="2230" xr:uid="{BEBB3514-22C4-430E-B71F-FCAD18AB1B56}"/>
    <cellStyle name="Total 2 3 3 3" xfId="2528" xr:uid="{1F6E2FB9-24BE-4615-967E-0AE28D7F3BAE}"/>
    <cellStyle name="Total 2 3 3 3 10" xfId="7220" xr:uid="{1FDAD5F5-289B-4492-82CB-84680A63580F}"/>
    <cellStyle name="Total 2 3 3 3 10 2" xfId="12792" xr:uid="{8DA8AA13-2117-487F-85C7-6A0473175BBF}"/>
    <cellStyle name="Total 2 3 3 3 11" xfId="6491" xr:uid="{C5B077F7-B9DA-4033-9BC4-32C424D4C59B}"/>
    <cellStyle name="Total 2 3 3 3 11 2" xfId="12195" xr:uid="{5D437266-6F57-4EEF-8799-4F67D99F01C0}"/>
    <cellStyle name="Total 2 3 3 3 12" xfId="8742" xr:uid="{4918B9E0-3A35-4E4C-93EC-2433B5A91CB0}"/>
    <cellStyle name="Total 2 3 3 3 12 2" xfId="14098" xr:uid="{16042029-AE2C-49C2-B441-CD09C187E0EF}"/>
    <cellStyle name="Total 2 3 3 3 13" xfId="9058" xr:uid="{36ECB07E-7C57-47D5-BCA5-C37527B6798F}"/>
    <cellStyle name="Total 2 3 3 3 2" xfId="3084" xr:uid="{603E9A14-3730-409D-9776-1CF891EBF22E}"/>
    <cellStyle name="Total 2 3 3 3 2 2" xfId="4024" xr:uid="{27C95EA5-68AD-4DBF-9542-ED8D387ADE31}"/>
    <cellStyle name="Total 2 3 3 3 2 2 2" xfId="10138" xr:uid="{675BCFEC-4A1C-4437-BBA3-085DA947D7AC}"/>
    <cellStyle name="Total 2 3 3 3 2 3" xfId="6995" xr:uid="{753E27A4-DAD0-4435-9D23-5E5D94AC5CC4}"/>
    <cellStyle name="Total 2 3 3 3 2 3 2" xfId="12601" xr:uid="{A74A1BB8-9AAD-47A5-9F45-FC3180D0649C}"/>
    <cellStyle name="Total 2 3 3 3 2 4" xfId="7673" xr:uid="{CDDD49DD-3F3E-4891-A562-3B0CA8AE9B6A}"/>
    <cellStyle name="Total 2 3 3 3 2 4 2" xfId="13245" xr:uid="{3089FBD3-D9E2-4840-9B73-EF356CF033D0}"/>
    <cellStyle name="Total 2 3 3 3 2 5" xfId="8166" xr:uid="{FE51900E-1D46-42EE-8FC5-53CFD90B3DDD}"/>
    <cellStyle name="Total 2 3 3 3 2 5 2" xfId="13738" xr:uid="{BCD04EA4-1A9F-4EC4-9C8D-0181DA14815F}"/>
    <cellStyle name="Total 2 3 3 3 2 6" xfId="9418" xr:uid="{7577ECE0-FCA8-4D0A-8748-9731C55E1705}"/>
    <cellStyle name="Total 2 3 3 3 3" xfId="3544" xr:uid="{E4E8531B-25FA-4A32-BE04-2786915AABC2}"/>
    <cellStyle name="Total 2 3 3 3 3 2" xfId="9778" xr:uid="{A714024C-918C-46EF-BFD6-2BF0942B47B5}"/>
    <cellStyle name="Total 2 3 3 3 4" xfId="4741" xr:uid="{B4D6BCBF-3D04-4FEB-99F0-BEBEAEB46AA0}"/>
    <cellStyle name="Total 2 3 3 3 4 2" xfId="10605" xr:uid="{FEF515CC-0EA9-40DA-A32D-D03B72150399}"/>
    <cellStyle name="Total 2 3 3 3 5" xfId="4984" xr:uid="{12EFADF3-94AB-4AD9-B33C-179B40B71754}"/>
    <cellStyle name="Total 2 3 3 3 5 2" xfId="10830" xr:uid="{FF538F3D-72ED-4334-A552-5ADC227C92B3}"/>
    <cellStyle name="Total 2 3 3 3 6" xfId="5132" xr:uid="{25FC7CCD-415A-4750-B795-C011A60B98CB}"/>
    <cellStyle name="Total 2 3 3 3 6 2" xfId="10978" xr:uid="{96F1B70D-8388-4AC9-93BD-4335A94B1580}"/>
    <cellStyle name="Total 2 3 3 3 7" xfId="5923" xr:uid="{43302B5F-9192-42EB-A8E7-FD8B0856195B}"/>
    <cellStyle name="Total 2 3 3 3 7 2" xfId="11651" xr:uid="{50B24EA5-4233-4ABC-B36D-C6E3EB76BC8F}"/>
    <cellStyle name="Total 2 3 3 3 8" xfId="6253" xr:uid="{AF10A3A3-5178-4BAF-BAC8-764CDA030450}"/>
    <cellStyle name="Total 2 3 3 3 8 2" xfId="11957" xr:uid="{B5991938-E035-4EDC-8715-9E0FAE9B504E}"/>
    <cellStyle name="Total 2 3 3 3 9" xfId="6455" xr:uid="{5593724D-9E86-4F57-B002-5ACF8AC5E8B3}"/>
    <cellStyle name="Total 2 3 3 3 9 2" xfId="12159" xr:uid="{AB1AF5E1-AF00-4DE5-8FFA-BDD0E1F82F4D}"/>
    <cellStyle name="Total 2 3 3 4" xfId="2355" xr:uid="{F2BE834F-FC3B-4773-BE85-A481BD0F2CE6}"/>
    <cellStyle name="Total 2 3 3 4 10" xfId="5697" xr:uid="{6995B87A-A8E9-44ED-A7D8-C4F68617926E}"/>
    <cellStyle name="Total 2 3 3 4 10 2" xfId="11425" xr:uid="{8DA0F65E-DDFA-413A-9CC9-30763A3FB439}"/>
    <cellStyle name="Total 2 3 3 4 11" xfId="6523" xr:uid="{C3F1F631-F7DD-491C-9D88-ED40C2A499B6}"/>
    <cellStyle name="Total 2 3 3 4 11 2" xfId="12227" xr:uid="{954AF76A-D197-484B-973D-AEC7757D398A}"/>
    <cellStyle name="Total 2 3 3 4 12" xfId="8569" xr:uid="{F5F93A30-699B-403A-B322-D0248679BF3A}"/>
    <cellStyle name="Total 2 3 3 4 12 2" xfId="13989" xr:uid="{0466218A-F0BD-4F04-A507-B6A0C9F34B49}"/>
    <cellStyle name="Total 2 3 3 4 13" xfId="8949" xr:uid="{8FC556B4-2947-4255-A7BF-6C03DEA0B727}"/>
    <cellStyle name="Total 2 3 3 4 2" xfId="2975" xr:uid="{239F7D4C-360E-4929-8BC3-7F811D33BA2E}"/>
    <cellStyle name="Total 2 3 3 4 2 2" xfId="3915" xr:uid="{A08BA7FF-55B8-4046-8367-E5683CB2B683}"/>
    <cellStyle name="Total 2 3 3 4 2 2 2" xfId="10029" xr:uid="{6B738A63-4A6C-44A1-9502-DC032C8B2C5D}"/>
    <cellStyle name="Total 2 3 3 4 2 3" xfId="6886" xr:uid="{3759296B-3796-421D-9DE5-CD96C54B578A}"/>
    <cellStyle name="Total 2 3 3 4 2 3 2" xfId="12492" xr:uid="{0C550E91-EFE7-4CDA-A588-C20D244A3ED1}"/>
    <cellStyle name="Total 2 3 3 4 2 4" xfId="7564" xr:uid="{F2BCF1DA-2ED3-4354-AF2F-7A3C037448BF}"/>
    <cellStyle name="Total 2 3 3 4 2 4 2" xfId="13136" xr:uid="{488C43FE-E7BB-4D93-9EB1-3F05FFA1C357}"/>
    <cellStyle name="Total 2 3 3 4 2 5" xfId="8057" xr:uid="{6743F507-770A-4EB9-B94E-1311EF1BF698}"/>
    <cellStyle name="Total 2 3 3 4 2 5 2" xfId="13629" xr:uid="{07174841-7365-48A5-A39E-15BBBAE6EE52}"/>
    <cellStyle name="Total 2 3 3 4 2 6" xfId="9309" xr:uid="{B49DA6A6-78F4-474F-A25F-E64C476A7FD5}"/>
    <cellStyle name="Total 2 3 3 4 3" xfId="3435" xr:uid="{825BB85E-B4B7-4044-B332-24FFE67CD714}"/>
    <cellStyle name="Total 2 3 3 4 3 2" xfId="9669" xr:uid="{58FDB87C-D5EE-42E3-9AF9-4FDF82C1E377}"/>
    <cellStyle name="Total 2 3 3 4 4" xfId="4618" xr:uid="{0AB50C08-B3E2-49D8-83FF-6351EB30428B}"/>
    <cellStyle name="Total 2 3 3 4 4 2" xfId="10482" xr:uid="{1294BA8A-1C63-4D52-BFC5-77ACF8A6A0DC}"/>
    <cellStyle name="Total 2 3 3 4 5" xfId="4857" xr:uid="{8A88F598-57F1-4971-8E5C-317C2E5F8ED3}"/>
    <cellStyle name="Total 2 3 3 4 5 2" xfId="10703" xr:uid="{FA34417C-AD8D-4619-8D22-2BE309087AFC}"/>
    <cellStyle name="Total 2 3 3 4 6" xfId="5023" xr:uid="{954DD617-86AB-44FE-B5B8-42D4EA8BA54C}"/>
    <cellStyle name="Total 2 3 3 4 6 2" xfId="10869" xr:uid="{213E505B-AB1D-4AD4-A602-E0BDCAEC513A}"/>
    <cellStyle name="Total 2 3 3 4 7" xfId="5772" xr:uid="{43AA124E-86E7-4CCC-86B4-474CBFE24AB3}"/>
    <cellStyle name="Total 2 3 3 4 7 2" xfId="11500" xr:uid="{F36B2CCD-20A7-4F4F-88EE-0E3B695D60B4}"/>
    <cellStyle name="Total 2 3 3 4 8" xfId="5179" xr:uid="{8040D0C2-6EB9-435C-BC76-E918A4D519B7}"/>
    <cellStyle name="Total 2 3 3 4 8 2" xfId="11025" xr:uid="{E84845F4-90B1-4020-A4A4-2F4E087380C8}"/>
    <cellStyle name="Total 2 3 3 4 9" xfId="6308" xr:uid="{ADB52DAC-2CD7-4170-A778-3AF4BB0297E9}"/>
    <cellStyle name="Total 2 3 3 4 9 2" xfId="12012" xr:uid="{FCAD0612-4158-464B-BF64-33848E276DF9}"/>
    <cellStyle name="Total 2 3 3 5" xfId="2686" xr:uid="{DF06EDE6-CE1F-4390-889C-E8732362BC6D}"/>
    <cellStyle name="Total 2 3 3 5 2" xfId="3150" xr:uid="{A4E7A06A-089C-4F9D-9E9E-33C0DBC1783D}"/>
    <cellStyle name="Total 2 3 3 5 2 2" xfId="4108" xr:uid="{07C6C58C-E365-4307-9CF4-8160283E9902}"/>
    <cellStyle name="Total 2 3 3 5 2 2 2" xfId="10204" xr:uid="{D86B3F6C-87C4-47B1-BC82-7CED4CA7C9AD}"/>
    <cellStyle name="Total 2 3 3 5 2 3" xfId="7079" xr:uid="{D316DBB3-F7B3-4A5B-82B4-D0124EF05B1B}"/>
    <cellStyle name="Total 2 3 3 5 2 3 2" xfId="12667" xr:uid="{8229FA98-14C8-42E8-B5E9-CB31B41992E7}"/>
    <cellStyle name="Total 2 3 3 5 2 4" xfId="7740" xr:uid="{EB878E1D-8491-4FB3-A7E6-711D2D2D955A}"/>
    <cellStyle name="Total 2 3 3 5 2 4 2" xfId="13312" xr:uid="{BD799540-7EFD-4D6A-95E6-A42DCD3714D7}"/>
    <cellStyle name="Total 2 3 3 5 2 5" xfId="8232" xr:uid="{979C98EF-3CBD-49D9-863D-852B3A70609D}"/>
    <cellStyle name="Total 2 3 3 5 2 5 2" xfId="13804" xr:uid="{A86B047C-CD8F-4C19-B313-79E9783FAE76}"/>
    <cellStyle name="Total 2 3 3 5 2 6" xfId="9484" xr:uid="{9E8378EE-6856-48C7-B128-ABEC9045B680}"/>
    <cellStyle name="Total 2 3 3 5 3" xfId="3628" xr:uid="{AA377E24-05D2-4135-ACBF-2DC122204D41}"/>
    <cellStyle name="Total 2 3 3 5 3 2" xfId="9844" xr:uid="{B3D689B8-55A9-4611-918E-2CB66A025233}"/>
    <cellStyle name="Total 2 3 3 5 4" xfId="6065" xr:uid="{804DB5E3-77F4-4E10-9D97-38939CF86DC9}"/>
    <cellStyle name="Total 2 3 3 5 4 2" xfId="11777" xr:uid="{9CA4CD13-BF5F-4816-B54F-F9DBE8532480}"/>
    <cellStyle name="Total 2 3 3 5 5" xfId="6583" xr:uid="{DFB49DA7-390D-4BD5-B261-367CABA82191}"/>
    <cellStyle name="Total 2 3 3 5 5 2" xfId="12287" xr:uid="{4953C1BD-251A-4D08-BDAA-6EAD291A3C96}"/>
    <cellStyle name="Total 2 3 3 5 6" xfId="7337" xr:uid="{6D7C0244-D8A4-469C-942B-DB2516E0E67E}"/>
    <cellStyle name="Total 2 3 3 5 6 2" xfId="12909" xr:uid="{99E14B66-4F9E-4C4F-ADBB-1C94BF4A23A5}"/>
    <cellStyle name="Total 2 3 3 5 7" xfId="7872" xr:uid="{F7927334-E8AB-4030-9D01-AB38DED13D6E}"/>
    <cellStyle name="Total 2 3 3 5 7 2" xfId="13444" xr:uid="{0CC980CD-E2C8-4EAB-A913-B59A2C5D8C2A}"/>
    <cellStyle name="Total 2 3 3 5 8" xfId="9124" xr:uid="{A826301D-E5E2-42E5-88E6-56ABF06C9146}"/>
    <cellStyle name="Total 2 3 3 6" xfId="2778" xr:uid="{8C40D1F9-9ED9-473E-978B-BF6460975E5E}"/>
    <cellStyle name="Total 2 3 3 6 2" xfId="3210" xr:uid="{39E81D5F-C2BD-4450-BA41-F546F6C497EF}"/>
    <cellStyle name="Total 2 3 3 6 2 2" xfId="4168" xr:uid="{31E28556-C96C-4F1A-8F63-8A3FA767F626}"/>
    <cellStyle name="Total 2 3 3 6 2 2 2" xfId="10264" xr:uid="{6210DDB2-D3B1-4043-968E-48A5ADBCC84F}"/>
    <cellStyle name="Total 2 3 3 6 2 3" xfId="7139" xr:uid="{76900796-E1A1-4ED5-B197-9144E5E5DBFA}"/>
    <cellStyle name="Total 2 3 3 6 2 3 2" xfId="12727" xr:uid="{2E3C5C92-4173-41F7-AB2B-62E41B28B607}"/>
    <cellStyle name="Total 2 3 3 6 2 4" xfId="7800" xr:uid="{BE248620-6F77-4A11-8CAD-A392CEE2195F}"/>
    <cellStyle name="Total 2 3 3 6 2 4 2" xfId="13372" xr:uid="{57D88DB5-C299-4CA9-9999-925D9F749C8C}"/>
    <cellStyle name="Total 2 3 3 6 2 5" xfId="8292" xr:uid="{B233C6F2-ACAF-4825-AF11-8762EA85574E}"/>
    <cellStyle name="Total 2 3 3 6 2 5 2" xfId="13864" xr:uid="{7DBD5994-FD82-4EB3-8BA7-8292656F25E4}"/>
    <cellStyle name="Total 2 3 3 6 2 6" xfId="9544" xr:uid="{0DAB02D3-8AC0-4FD8-8F5C-175A2EA7000E}"/>
    <cellStyle name="Total 2 3 3 6 3" xfId="3688" xr:uid="{54EC1291-16D7-469B-B247-437021FA9C25}"/>
    <cellStyle name="Total 2 3 3 6 3 2" xfId="9904" xr:uid="{106A9521-4DD3-4D36-A5D3-BC7C37D3C26F}"/>
    <cellStyle name="Total 2 3 3 6 4" xfId="6145" xr:uid="{49B2F3F0-46ED-4A29-9E40-0B19C52945CF}"/>
    <cellStyle name="Total 2 3 3 6 4 2" xfId="11857" xr:uid="{6F7F231F-3C59-4568-A3AB-133011F83A13}"/>
    <cellStyle name="Total 2 3 3 6 5" xfId="6655" xr:uid="{AFFA44BE-166C-469F-A019-43AAB2040B6C}"/>
    <cellStyle name="Total 2 3 3 6 5 2" xfId="12359" xr:uid="{B9DE396E-F8D5-4425-8F49-5630AB8A4D0B}"/>
    <cellStyle name="Total 2 3 3 6 6" xfId="7399" xr:uid="{780657FE-E94B-452F-9B1C-B1DADF2CE7D0}"/>
    <cellStyle name="Total 2 3 3 6 6 2" xfId="12971" xr:uid="{820A64FC-E234-4AC5-8E2E-9FE9658967BD}"/>
    <cellStyle name="Total 2 3 3 6 7" xfId="7932" xr:uid="{25596B3D-0606-4302-876A-60EDF47C9857}"/>
    <cellStyle name="Total 2 3 3 6 7 2" xfId="13504" xr:uid="{CEEAF365-2E3E-4A03-865D-81698832B708}"/>
    <cellStyle name="Total 2 3 3 6 8" xfId="9184" xr:uid="{21CFAB32-5640-4DCD-84D8-123D8C1E3DB0}"/>
    <cellStyle name="Total 2 3 3 7" xfId="2878" xr:uid="{A44D36EB-C6B5-4DE7-8229-53EBD4BAA338}"/>
    <cellStyle name="Total 2 3 3 7 2" xfId="3802" xr:uid="{1A915235-6945-4AF8-9514-FFF3D9EAD239}"/>
    <cellStyle name="Total 2 3 3 7 2 2" xfId="9964" xr:uid="{AB2D0EE0-5DD0-45EE-A8CD-379FC2D5DE4E}"/>
    <cellStyle name="Total 2 3 3 7 3" xfId="6773" xr:uid="{E31183B4-700B-4B19-8706-29DE7C1256D3}"/>
    <cellStyle name="Total 2 3 3 7 3 2" xfId="12427" xr:uid="{4872AD0D-D2ED-4B3F-89F8-EDD0B7D796EF}"/>
    <cellStyle name="Total 2 3 3 7 4" xfId="7483" xr:uid="{98DDD33E-D37D-4BB2-ADEE-FB5BA5D2695C}"/>
    <cellStyle name="Total 2 3 3 7 4 2" xfId="13055" xr:uid="{028E4D40-06A7-40A4-BCD8-239F29C8F7F4}"/>
    <cellStyle name="Total 2 3 3 7 5" xfId="7992" xr:uid="{EC799C0D-6DD1-4B3D-A788-ACCED24229C1}"/>
    <cellStyle name="Total 2 3 3 7 5 2" xfId="13564" xr:uid="{45FF52D7-C3A6-40A2-A9F2-D98414F088AC}"/>
    <cellStyle name="Total 2 3 3 7 6" xfId="9244" xr:uid="{C4A26430-0011-45BB-BCA6-6A5CAD77B149}"/>
    <cellStyle name="Total 2 3 3 8" xfId="3322" xr:uid="{0A4FE5CD-30A5-4BDC-B964-11BA2D60AC0D}"/>
    <cellStyle name="Total 2 3 3 8 2" xfId="9604" xr:uid="{A4C55163-1C37-4E4D-BA03-7428323AC1FE}"/>
    <cellStyle name="Total 2 3 3 9" xfId="4489" xr:uid="{ACB73189-914E-49E3-ABD4-D64482E481E5}"/>
    <cellStyle name="Total 2 3 3 9 2" xfId="10401" xr:uid="{EBA66546-BEEC-49A8-94FF-74C19D1984AB}"/>
    <cellStyle name="Total 2 3 4" xfId="2231" xr:uid="{BD2C116B-2114-49B2-B58F-49AC38157FB1}"/>
    <cellStyle name="Total 2 3 4 10" xfId="4377" xr:uid="{AEE34C98-FE5B-49BD-8E0C-89DC6412FF38}"/>
    <cellStyle name="Total 2 3 4 10 2" xfId="10337" xr:uid="{064E5687-E363-4674-94D7-77AA3FD97F9B}"/>
    <cellStyle name="Total 2 3 4 11" xfId="4802" xr:uid="{B16B1E1A-0237-4F4B-8E89-B327492A07D2}"/>
    <cellStyle name="Total 2 3 4 11 2" xfId="10648" xr:uid="{61DE9CA2-4DF6-4F34-A4BD-FF65F960DE1A}"/>
    <cellStyle name="Total 2 3 4 12" xfId="5429" xr:uid="{9C50F6A3-AFC9-456A-B277-D33450E3A3C0}"/>
    <cellStyle name="Total 2 3 4 12 2" xfId="11223" xr:uid="{1A88CCEF-2B09-4917-9AA1-31078DC86941}"/>
    <cellStyle name="Total 2 3 4 13" xfId="5597" xr:uid="{59DB06AE-41B6-499F-A1AA-9F39BFCB5B5C}"/>
    <cellStyle name="Total 2 3 4 13 2" xfId="11325" xr:uid="{D516AE64-172D-47A8-A746-88347441A1D9}"/>
    <cellStyle name="Total 2 3 4 14" xfId="5352" xr:uid="{78E8D977-6E3A-47C0-B356-620826231BB9}"/>
    <cellStyle name="Total 2 3 4 14 2" xfId="11184" xr:uid="{28550504-DC28-4512-872A-DD772E22484F}"/>
    <cellStyle name="Total 2 3 4 15" xfId="5735" xr:uid="{77FA3F18-DDB4-42ED-B105-5D541B9C1DE4}"/>
    <cellStyle name="Total 2 3 4 15 2" xfId="11463" xr:uid="{C8A324A9-8396-4482-B663-17D10AAFA454}"/>
    <cellStyle name="Total 2 3 4 16" xfId="5695" xr:uid="{6B2E3469-0A3D-49DC-AF74-5F776D54CB18}"/>
    <cellStyle name="Total 2 3 4 16 2" xfId="11423" xr:uid="{935E270A-12B4-4E23-A837-C3BF59ED4A0F}"/>
    <cellStyle name="Total 2 3 4 17" xfId="6614" xr:uid="{5A5931EF-EFB4-468B-B657-C58DF9AF0B14}"/>
    <cellStyle name="Total 2 3 4 17 2" xfId="12318" xr:uid="{2268E7E4-4FE8-4679-8B83-A49A04997750}"/>
    <cellStyle name="Total 2 3 4 18" xfId="7287" xr:uid="{BF0A83A9-F778-4AD9-8A87-7BA5AA0294C2}"/>
    <cellStyle name="Total 2 3 4 18 2" xfId="12859" xr:uid="{82F6752B-9268-4660-BDD0-DB8643F24E83}"/>
    <cellStyle name="Total 2 3 4 19" xfId="8445" xr:uid="{783CB988-D2B8-470A-8DF5-64BC3F29EC92}"/>
    <cellStyle name="Total 2 3 4 19 2" xfId="13925" xr:uid="{8E3C484A-AD52-41FA-A87D-FCC98A2B67BD}"/>
    <cellStyle name="Total 2 3 4 2" xfId="2425" xr:uid="{666E7E46-1FAA-4E4F-8D99-9272582D15EA}"/>
    <cellStyle name="Total 2 3 4 2 10" xfId="5310" xr:uid="{E2896EE4-16CB-4883-A67F-26F117D7D987}"/>
    <cellStyle name="Total 2 3 4 2 10 2" xfId="11154" xr:uid="{E0231DFA-693B-4DD7-B8AD-996E5EBE6648}"/>
    <cellStyle name="Total 2 3 4 2 11" xfId="6500" xr:uid="{C9C69990-DB83-4F56-805B-D64914C599DC}"/>
    <cellStyle name="Total 2 3 4 2 11 2" xfId="12204" xr:uid="{A4E6A65E-4513-49F9-B62A-34EF53AD86B6}"/>
    <cellStyle name="Total 2 3 4 2 12" xfId="8639" xr:uid="{AE44ED10-98B7-4AAF-9BCA-FEB856E6C58F}"/>
    <cellStyle name="Total 2 3 4 2 12 2" xfId="14027" xr:uid="{3C770E99-F7B9-4E8D-A083-3AC6E56BDE66}"/>
    <cellStyle name="Total 2 3 4 2 13" xfId="8987" xr:uid="{D324C37A-AB5A-4F87-BADA-C7853D324052}"/>
    <cellStyle name="Total 2 3 4 2 2" xfId="3013" xr:uid="{FFEC9F8B-50BF-48BD-97A6-F878685083E8}"/>
    <cellStyle name="Total 2 3 4 2 2 2" xfId="3953" xr:uid="{C686B6CF-EDCC-4CAB-84EE-82C1FC544568}"/>
    <cellStyle name="Total 2 3 4 2 2 2 2" xfId="10067" xr:uid="{7D87F579-989F-49D3-880F-37092D9F33C1}"/>
    <cellStyle name="Total 2 3 4 2 2 3" xfId="6924" xr:uid="{6F286FB9-C9D5-446A-BFB1-9D699BB8B8D8}"/>
    <cellStyle name="Total 2 3 4 2 2 3 2" xfId="12530" xr:uid="{AC2FAE04-1E06-411F-8EFA-D228893C1CCA}"/>
    <cellStyle name="Total 2 3 4 2 2 4" xfId="7602" xr:uid="{F5998B7A-3ECD-4D4A-81FF-6ABA817B9CF8}"/>
    <cellStyle name="Total 2 3 4 2 2 4 2" xfId="13174" xr:uid="{3D1A13D4-9E1E-4829-85DF-FADCC2011407}"/>
    <cellStyle name="Total 2 3 4 2 2 5" xfId="8095" xr:uid="{FAAE06B3-0729-406B-9E16-EFF613BCB59A}"/>
    <cellStyle name="Total 2 3 4 2 2 5 2" xfId="13667" xr:uid="{A3B85F6C-C903-47D4-A042-A578160E21F4}"/>
    <cellStyle name="Total 2 3 4 2 2 6" xfId="9347" xr:uid="{A0FE1957-2055-498A-B7B0-C1C96C0E3EF5}"/>
    <cellStyle name="Total 2 3 4 2 3" xfId="3473" xr:uid="{574D5245-0888-43F2-9A60-A4A948845974}"/>
    <cellStyle name="Total 2 3 4 2 3 2" xfId="9707" xr:uid="{018DCBF0-CC9E-4006-9938-7E6E2951AA3B}"/>
    <cellStyle name="Total 2 3 4 2 4" xfId="4666" xr:uid="{EEAA1A91-D2B0-4091-A57B-4E6D306B747F}"/>
    <cellStyle name="Total 2 3 4 2 4 2" xfId="10530" xr:uid="{82683EAC-B75D-4169-B9FC-86513D34E087}"/>
    <cellStyle name="Total 2 3 4 2 5" xfId="4905" xr:uid="{5A0EB033-8610-446D-B8B8-DCBA66E3FD8B}"/>
    <cellStyle name="Total 2 3 4 2 5 2" xfId="10751" xr:uid="{525963AE-C0D0-48A1-B1BB-7F5A99DAFD0D}"/>
    <cellStyle name="Total 2 3 4 2 6" xfId="5061" xr:uid="{56875DD3-1E7D-460E-9648-5AF64C93FFBC}"/>
    <cellStyle name="Total 2 3 4 2 6 2" xfId="10907" xr:uid="{59ADE440-E396-4860-A695-230A4AA9500E}"/>
    <cellStyle name="Total 2 3 4 2 7" xfId="5831" xr:uid="{20B591EE-DBB4-4C69-8EA7-84370315B2F9}"/>
    <cellStyle name="Total 2 3 4 2 7 2" xfId="11559" xr:uid="{D84E47AA-80F7-49B9-90CC-8DE78E78CFB7}"/>
    <cellStyle name="Total 2 3 4 2 8" xfId="5188" xr:uid="{D7199B38-A0FC-4A4D-B902-62EB729625EB}"/>
    <cellStyle name="Total 2 3 4 2 8 2" xfId="11034" xr:uid="{71EF49B3-6095-4626-A448-3A0D7CCAEE18}"/>
    <cellStyle name="Total 2 3 4 2 9" xfId="6368" xr:uid="{E3A73402-2230-41ED-B3C0-066DC3CDF01E}"/>
    <cellStyle name="Total 2 3 4 2 9 2" xfId="12072" xr:uid="{2F894050-AB37-4760-A639-416951E0C4D0}"/>
    <cellStyle name="Total 2 3 4 20" xfId="8885" xr:uid="{C6999B0E-5F2C-44BF-9835-736EAAD62BEF}"/>
    <cellStyle name="Total 2 3 4 3" xfId="2530" xr:uid="{DFB10D8A-C6F5-4A4C-A5C8-8CE401C35D72}"/>
    <cellStyle name="Total 2 3 4 3 10" xfId="7222" xr:uid="{A6BAE549-7F37-4671-95D6-DDE5CC2ECECB}"/>
    <cellStyle name="Total 2 3 4 3 10 2" xfId="12794" xr:uid="{421E0D40-8195-41F4-8361-786589C523E7}"/>
    <cellStyle name="Total 2 3 4 3 11" xfId="7528" xr:uid="{7B5A1921-6AB2-4378-93B6-65B418547E11}"/>
    <cellStyle name="Total 2 3 4 3 11 2" xfId="13100" xr:uid="{3818A51A-06E3-41CD-B924-A4CBD3D159E7}"/>
    <cellStyle name="Total 2 3 4 3 12" xfId="8744" xr:uid="{F2C8724A-C5C5-43B5-9588-7C25B15E47A5}"/>
    <cellStyle name="Total 2 3 4 3 12 2" xfId="14100" xr:uid="{49D3AF13-5ED5-4679-A42B-FDD9DF303A0F}"/>
    <cellStyle name="Total 2 3 4 3 13" xfId="9060" xr:uid="{6987D44A-8BF7-42EF-82B7-A5308D6F17D9}"/>
    <cellStyle name="Total 2 3 4 3 2" xfId="3086" xr:uid="{6942716F-DD10-4F3F-B787-22270CAC2983}"/>
    <cellStyle name="Total 2 3 4 3 2 2" xfId="4026" xr:uid="{051D033B-2B63-4EA0-A2DD-56C004E0CB0D}"/>
    <cellStyle name="Total 2 3 4 3 2 2 2" xfId="10140" xr:uid="{7FC56BF8-047D-49F7-9FF3-57548B13DDE7}"/>
    <cellStyle name="Total 2 3 4 3 2 3" xfId="6997" xr:uid="{11A38954-68FB-48D0-A3F8-C6FF2D101F7E}"/>
    <cellStyle name="Total 2 3 4 3 2 3 2" xfId="12603" xr:uid="{DFA0D2DC-5ED1-40BF-B558-C40CD7D4F954}"/>
    <cellStyle name="Total 2 3 4 3 2 4" xfId="7675" xr:uid="{A9F0E421-FF64-4298-83CF-A927C2FEF86E}"/>
    <cellStyle name="Total 2 3 4 3 2 4 2" xfId="13247" xr:uid="{7D0A676F-0F13-46C6-B155-322A06E8BA14}"/>
    <cellStyle name="Total 2 3 4 3 2 5" xfId="8168" xr:uid="{74BEEBC8-38E3-4D0E-BA8A-E2AB9E01661F}"/>
    <cellStyle name="Total 2 3 4 3 2 5 2" xfId="13740" xr:uid="{D4193B5E-B5F2-4ECD-B200-F206DB1A4F9A}"/>
    <cellStyle name="Total 2 3 4 3 2 6" xfId="9420" xr:uid="{396C8818-B58D-450C-90D1-9D92EA22043B}"/>
    <cellStyle name="Total 2 3 4 3 3" xfId="3546" xr:uid="{FA596A9F-19AC-40A8-B277-AA5F8B1B0F1F}"/>
    <cellStyle name="Total 2 3 4 3 3 2" xfId="9780" xr:uid="{BAF4A7C7-3FAD-459B-B487-404D8EFAC39D}"/>
    <cellStyle name="Total 2 3 4 3 4" xfId="4743" xr:uid="{098484F7-9078-4738-9139-9CF8A110BB7D}"/>
    <cellStyle name="Total 2 3 4 3 4 2" xfId="10607" xr:uid="{40D1BB4E-8E71-4F72-8640-4FAA5749812E}"/>
    <cellStyle name="Total 2 3 4 3 5" xfId="4986" xr:uid="{E2F1D8C0-0D3C-4096-AAE1-83F6E3CD274B}"/>
    <cellStyle name="Total 2 3 4 3 5 2" xfId="10832" xr:uid="{D5C443B4-9927-4868-8214-AD24B5D91214}"/>
    <cellStyle name="Total 2 3 4 3 6" xfId="5134" xr:uid="{F8D30510-92F9-43FB-A670-1CDAA429F189}"/>
    <cellStyle name="Total 2 3 4 3 6 2" xfId="10980" xr:uid="{A94E2961-FA32-47C1-9B66-F4B0161B49B3}"/>
    <cellStyle name="Total 2 3 4 3 7" xfId="5925" xr:uid="{E4021E4C-4470-4152-9A23-52A3E8EFF8DC}"/>
    <cellStyle name="Total 2 3 4 3 7 2" xfId="11653" xr:uid="{EFC192FD-FDED-4DFA-B43E-590ACA988795}"/>
    <cellStyle name="Total 2 3 4 3 8" xfId="6255" xr:uid="{04CC367B-9148-4CD9-BA6B-94CF330C688B}"/>
    <cellStyle name="Total 2 3 4 3 8 2" xfId="11959" xr:uid="{6BFE7810-C2C9-4E6C-AB63-26E96042D059}"/>
    <cellStyle name="Total 2 3 4 3 9" xfId="6457" xr:uid="{C872E4DB-5BF7-4D90-B2B2-0CB4117F2073}"/>
    <cellStyle name="Total 2 3 4 3 9 2" xfId="12161" xr:uid="{086ECEBC-C266-475C-95EC-05DBA86BA513}"/>
    <cellStyle name="Total 2 3 4 4" xfId="2286" xr:uid="{E0808A60-1F54-40F0-8137-F3EA4EED5E93}"/>
    <cellStyle name="Total 2 3 4 4 10" xfId="5751" xr:uid="{94FBD87A-0E54-42C1-B516-43A18B6B19A2}"/>
    <cellStyle name="Total 2 3 4 4 10 2" xfId="11479" xr:uid="{31500E38-44DE-4AA6-BF8C-3BA34AD1A7A9}"/>
    <cellStyle name="Total 2 3 4 4 11" xfId="7431" xr:uid="{55E40DC9-0265-48EF-B558-E4A3DE4D73EF}"/>
    <cellStyle name="Total 2 3 4 4 11 2" xfId="13003" xr:uid="{0C428729-F9F0-4D19-B1A7-3F0A0B4E0FEB}"/>
    <cellStyle name="Total 2 3 4 4 12" xfId="8500" xr:uid="{9414E6FF-8A3D-47AA-ADEB-994F3663A509}"/>
    <cellStyle name="Total 2 3 4 4 12 2" xfId="13980" xr:uid="{89447838-D880-4E26-9CB8-5BDAD5BFFF7D}"/>
    <cellStyle name="Total 2 3 4 4 13" xfId="8940" xr:uid="{22573109-6717-41C6-98BC-11DBE041BAAA}"/>
    <cellStyle name="Total 2 3 4 4 2" xfId="2966" xr:uid="{A9556520-0600-4464-812A-E09C83BE38F0}"/>
    <cellStyle name="Total 2 3 4 4 2 2" xfId="3906" xr:uid="{D53ED92A-56E3-49B3-A071-544D3D65CA41}"/>
    <cellStyle name="Total 2 3 4 4 2 2 2" xfId="10020" xr:uid="{52177EDF-178F-451C-9C9F-F66A5BEBDAFF}"/>
    <cellStyle name="Total 2 3 4 4 2 3" xfId="6877" xr:uid="{A437E021-EE4A-4697-8F71-9279629F3038}"/>
    <cellStyle name="Total 2 3 4 4 2 3 2" xfId="12483" xr:uid="{A9A341B7-70B0-447C-92E1-BEF418C2D43C}"/>
    <cellStyle name="Total 2 3 4 4 2 4" xfId="7555" xr:uid="{3F4E95A2-3390-48B3-9C93-3E89C1DA88DE}"/>
    <cellStyle name="Total 2 3 4 4 2 4 2" xfId="13127" xr:uid="{828A9B6F-08C5-48B5-82BD-0BAC9EF4F39F}"/>
    <cellStyle name="Total 2 3 4 4 2 5" xfId="8048" xr:uid="{9D6066CF-B1A1-4979-81E8-4E70E4CF5AC3}"/>
    <cellStyle name="Total 2 3 4 4 2 5 2" xfId="13620" xr:uid="{C45468BB-C4AE-4930-AFE1-1163D216240E}"/>
    <cellStyle name="Total 2 3 4 4 2 6" xfId="9300" xr:uid="{5AC8DFE8-B77F-45E5-AA1E-A2151DF4DD44}"/>
    <cellStyle name="Total 2 3 4 4 3" xfId="3426" xr:uid="{7D18F81E-3175-46EF-B1EC-E43898EC165C}"/>
    <cellStyle name="Total 2 3 4 4 3 2" xfId="9660" xr:uid="{20E37C05-A1F8-481A-A885-4004D0B2C039}"/>
    <cellStyle name="Total 2 3 4 4 4" xfId="4593" xr:uid="{B315C5D2-E6BF-464C-ABE7-3F797A656987}"/>
    <cellStyle name="Total 2 3 4 4 4 2" xfId="10457" xr:uid="{72A8BA0E-C046-4FAE-B01A-2EDB828C2BA4}"/>
    <cellStyle name="Total 2 3 4 4 5" xfId="4838" xr:uid="{212DB741-BE97-4335-BADB-3B0564A21446}"/>
    <cellStyle name="Total 2 3 4 4 5 2" xfId="10684" xr:uid="{CA8A6C9C-6BC6-43DE-8E58-6839BD89F2C9}"/>
    <cellStyle name="Total 2 3 4 4 6" xfId="4392" xr:uid="{4970ADC1-0C51-4A51-8ABD-755ACC46009D}"/>
    <cellStyle name="Total 2 3 4 4 6 2" xfId="10350" xr:uid="{70DFD430-E760-42CB-9FA4-11BEB22418B0}"/>
    <cellStyle name="Total 2 3 4 4 7" xfId="5724" xr:uid="{91DE4CFA-6781-4407-8F85-7EEE2DF98A39}"/>
    <cellStyle name="Total 2 3 4 4 7 2" xfId="11452" xr:uid="{0F80C831-FCCC-4BEA-89A0-AC21E387E340}"/>
    <cellStyle name="Total 2 3 4 4 8" xfId="5755" xr:uid="{7A1F3B50-739E-47F9-A291-B53EC5CED31A}"/>
    <cellStyle name="Total 2 3 4 4 8 2" xfId="11483" xr:uid="{C6E466BF-FE11-46AB-8BD4-848B92A76625}"/>
    <cellStyle name="Total 2 3 4 4 9" xfId="5203" xr:uid="{3794C13A-B7E5-46F5-A1FC-CB77CDD70A9F}"/>
    <cellStyle name="Total 2 3 4 4 9 2" xfId="11049" xr:uid="{24FB4321-BD90-4BE7-A551-7DB6A55FCA34}"/>
    <cellStyle name="Total 2 3 4 5" xfId="2687" xr:uid="{CECB4C92-D909-4521-A8B8-3775D0FE0767}"/>
    <cellStyle name="Total 2 3 4 5 2" xfId="3151" xr:uid="{ECF456A9-5DBC-411F-B903-F9DB820C1B61}"/>
    <cellStyle name="Total 2 3 4 5 2 2" xfId="4109" xr:uid="{5B838CD6-FDAF-4195-A05A-D27AB2033191}"/>
    <cellStyle name="Total 2 3 4 5 2 2 2" xfId="10205" xr:uid="{763BE8E0-8FBF-4FE0-B877-EA932757605E}"/>
    <cellStyle name="Total 2 3 4 5 2 3" xfId="7080" xr:uid="{1F681362-943C-4579-89C5-0F212126A822}"/>
    <cellStyle name="Total 2 3 4 5 2 3 2" xfId="12668" xr:uid="{6FFA8572-37BD-4712-A6E9-7AE26222F11D}"/>
    <cellStyle name="Total 2 3 4 5 2 4" xfId="7741" xr:uid="{9D55FEBB-C979-498A-AD9B-5C3B0180EEF4}"/>
    <cellStyle name="Total 2 3 4 5 2 4 2" xfId="13313" xr:uid="{0F44FD38-562B-4B86-806F-49A5CEAD7118}"/>
    <cellStyle name="Total 2 3 4 5 2 5" xfId="8233" xr:uid="{A6996B12-684A-45A4-BAB2-8564699C94FF}"/>
    <cellStyle name="Total 2 3 4 5 2 5 2" xfId="13805" xr:uid="{CDC15409-A42B-4D62-96F3-36AE87AF0EEF}"/>
    <cellStyle name="Total 2 3 4 5 2 6" xfId="9485" xr:uid="{9283F4F6-FA4D-4E11-9FDC-2E62892EA3DF}"/>
    <cellStyle name="Total 2 3 4 5 3" xfId="3629" xr:uid="{710701E8-FEA4-4B63-B0F8-CA54DA677EB4}"/>
    <cellStyle name="Total 2 3 4 5 3 2" xfId="9845" xr:uid="{3E66F3B0-AC15-4B6C-9FD0-6C42D9523690}"/>
    <cellStyle name="Total 2 3 4 5 4" xfId="6066" xr:uid="{0F38D9C6-DF4E-4D80-BF5E-5C9BBC34CEF5}"/>
    <cellStyle name="Total 2 3 4 5 4 2" xfId="11778" xr:uid="{30CB7231-0B60-49B9-A40F-6F93F8820EFA}"/>
    <cellStyle name="Total 2 3 4 5 5" xfId="6584" xr:uid="{33532CEF-6262-45A6-A407-72FD045A34C7}"/>
    <cellStyle name="Total 2 3 4 5 5 2" xfId="12288" xr:uid="{A4DE16F5-906D-47B9-9258-8D02D3EA0309}"/>
    <cellStyle name="Total 2 3 4 5 6" xfId="7338" xr:uid="{8D17A0DC-6E97-4DEE-A400-4DBE378C2373}"/>
    <cellStyle name="Total 2 3 4 5 6 2" xfId="12910" xr:uid="{A3F5D6C9-D557-40A7-B672-5D908276D633}"/>
    <cellStyle name="Total 2 3 4 5 7" xfId="7873" xr:uid="{61F649EE-6D52-4B76-B45F-DB49CEF74CE1}"/>
    <cellStyle name="Total 2 3 4 5 7 2" xfId="13445" xr:uid="{43AEEA22-FD11-47A9-AAF7-D28BA367AC8D}"/>
    <cellStyle name="Total 2 3 4 5 8" xfId="9125" xr:uid="{DF9CB790-E4C6-42FD-A805-3C82EB3A702D}"/>
    <cellStyle name="Total 2 3 4 6" xfId="2779" xr:uid="{FED6C8DC-AD1B-4375-BA7E-0FE333B4D073}"/>
    <cellStyle name="Total 2 3 4 6 2" xfId="3211" xr:uid="{6A323076-6593-445F-817E-9970CF11C2BB}"/>
    <cellStyle name="Total 2 3 4 6 2 2" xfId="4169" xr:uid="{A4F8E45A-231A-4338-A958-0D75075945AC}"/>
    <cellStyle name="Total 2 3 4 6 2 2 2" xfId="10265" xr:uid="{6897567D-8104-43FF-AE3A-94363B8DD777}"/>
    <cellStyle name="Total 2 3 4 6 2 3" xfId="7140" xr:uid="{8E529A63-52C7-4C8D-A32E-215C5DDAE57F}"/>
    <cellStyle name="Total 2 3 4 6 2 3 2" xfId="12728" xr:uid="{44390A00-68D8-43A0-8EA2-891F9BC525BD}"/>
    <cellStyle name="Total 2 3 4 6 2 4" xfId="7801" xr:uid="{415820A3-2049-45C1-B74A-F9084624FC2A}"/>
    <cellStyle name="Total 2 3 4 6 2 4 2" xfId="13373" xr:uid="{B8BFB40F-CBF9-45F5-B87D-63F38A160218}"/>
    <cellStyle name="Total 2 3 4 6 2 5" xfId="8293" xr:uid="{2B7FEB55-BBCF-498B-8DFB-F2BE2AA72BB1}"/>
    <cellStyle name="Total 2 3 4 6 2 5 2" xfId="13865" xr:uid="{9A9D9F8F-7A52-4129-AF95-C582ED751E89}"/>
    <cellStyle name="Total 2 3 4 6 2 6" xfId="9545" xr:uid="{2A3454DE-5930-49C1-AE72-DF7A292939E5}"/>
    <cellStyle name="Total 2 3 4 6 3" xfId="3689" xr:uid="{B45744A3-D7AA-43B2-BDAB-BF01F29D9C3E}"/>
    <cellStyle name="Total 2 3 4 6 3 2" xfId="9905" xr:uid="{29B168A5-A2F3-4101-AC99-1B106455C1DA}"/>
    <cellStyle name="Total 2 3 4 6 4" xfId="6146" xr:uid="{DE16A7C6-96C7-4633-B692-A6FC461790C5}"/>
    <cellStyle name="Total 2 3 4 6 4 2" xfId="11858" xr:uid="{096F5AD2-B3B7-434B-9E6D-BEFF051C153E}"/>
    <cellStyle name="Total 2 3 4 6 5" xfId="6656" xr:uid="{ED78C6F0-1B3A-47AF-9FFC-5957D64D8979}"/>
    <cellStyle name="Total 2 3 4 6 5 2" xfId="12360" xr:uid="{D947396F-127F-4606-86EB-527C1C8C34CE}"/>
    <cellStyle name="Total 2 3 4 6 6" xfId="7400" xr:uid="{3FB0BED3-4F19-4AAA-A927-F0ED176357A4}"/>
    <cellStyle name="Total 2 3 4 6 6 2" xfId="12972" xr:uid="{FBDEFA4A-7AE3-450D-B96A-C393F05DEB82}"/>
    <cellStyle name="Total 2 3 4 6 7" xfId="7933" xr:uid="{9B216150-5357-459A-8B37-62F07CA7D692}"/>
    <cellStyle name="Total 2 3 4 6 7 2" xfId="13505" xr:uid="{27A223B2-1E5C-473A-BDD9-B30696338525}"/>
    <cellStyle name="Total 2 3 4 6 8" xfId="9185" xr:uid="{135C8EED-8412-48A1-B967-B79C751DE6FA}"/>
    <cellStyle name="Total 2 3 4 7" xfId="2879" xr:uid="{C500FFAA-7EC5-4EBE-A8EA-0B103A8B8C96}"/>
    <cellStyle name="Total 2 3 4 7 2" xfId="3807" xr:uid="{D7E9FCBB-07BD-4C46-8179-81B19F1182C8}"/>
    <cellStyle name="Total 2 3 4 7 2 2" xfId="9965" xr:uid="{CBF17A26-D4EA-47CA-A385-00B2129BA784}"/>
    <cellStyle name="Total 2 3 4 7 3" xfId="6778" xr:uid="{4C5953B6-563B-47A0-8B59-2C1603F3F765}"/>
    <cellStyle name="Total 2 3 4 7 3 2" xfId="12428" xr:uid="{B016361C-92C0-42D3-A61E-29F01E08AEE3}"/>
    <cellStyle name="Total 2 3 4 7 4" xfId="7485" xr:uid="{36D46C4B-D2EB-4267-9427-E0E91A29F66F}"/>
    <cellStyle name="Total 2 3 4 7 4 2" xfId="13057" xr:uid="{48AB67BB-B960-463E-B461-0D12AE06798B}"/>
    <cellStyle name="Total 2 3 4 7 5" xfId="7993" xr:uid="{3583BBAA-8F2C-44A6-B1E7-32FB24D5A0FD}"/>
    <cellStyle name="Total 2 3 4 7 5 2" xfId="13565" xr:uid="{B92282BA-8882-4904-9563-F32543CA56F9}"/>
    <cellStyle name="Total 2 3 4 7 6" xfId="9245" xr:uid="{B763318B-0C3B-4A8B-A8C8-8262D952C4D5}"/>
    <cellStyle name="Total 2 3 4 8" xfId="3327" xr:uid="{81DFD536-8B29-413D-9287-D9DF964CD9D8}"/>
    <cellStyle name="Total 2 3 4 8 2" xfId="9605" xr:uid="{81751EB3-2DA0-4418-ABD7-78B2660D991B}"/>
    <cellStyle name="Total 2 3 4 9" xfId="4494" xr:uid="{1B25A181-8A0C-4086-9164-BE04EA59C484}"/>
    <cellStyle name="Total 2 3 4 9 2" xfId="10402" xr:uid="{70742F32-2E8D-4E51-AE2B-CB5813004D45}"/>
    <cellStyle name="Total 2 3 5" xfId="8838" xr:uid="{4D0C7EBC-B17D-4936-9320-85238435FB24}"/>
    <cellStyle name="Total 2 3 6" xfId="2087" xr:uid="{0DD6DF57-2BAB-4712-BA1B-7A61E5F217DC}"/>
    <cellStyle name="Total 2 4" xfId="1503" xr:uid="{43488D08-AEC8-4284-AA90-0887F6C9A755}"/>
    <cellStyle name="Total 2 4 2" xfId="2242" xr:uid="{D3150E2F-4EB6-448B-A667-D6A873422EDB}"/>
    <cellStyle name="Total 2 4 2 10" xfId="4349" xr:uid="{B65F160C-7832-47DC-9159-D6491774CBD9}"/>
    <cellStyle name="Total 2 4 2 10 2" xfId="10309" xr:uid="{AA9F6940-9545-4B34-A55C-03DA7BE3077B}"/>
    <cellStyle name="Total 2 4 2 11" xfId="4396" xr:uid="{E6A9707C-4B85-4CF1-A53E-7C2DF016C72E}"/>
    <cellStyle name="Total 2 4 2 11 2" xfId="10354" xr:uid="{58FB6BE8-FEA1-4004-82FD-B30B1BDD2CCC}"/>
    <cellStyle name="Total 2 4 2 12" xfId="5440" xr:uid="{CB3BB251-2534-48FF-AC28-9AA2125DA276}"/>
    <cellStyle name="Total 2 4 2 12 2" xfId="11234" xr:uid="{3CA0CF7C-5421-4370-A586-32F7C0DE5989}"/>
    <cellStyle name="Total 2 4 2 13" xfId="5608" xr:uid="{3252971C-DE9A-4CEA-B729-D2AA792CDC7F}"/>
    <cellStyle name="Total 2 4 2 13 2" xfId="11336" xr:uid="{17C8E4FF-B438-4043-8582-40297E77AF38}"/>
    <cellStyle name="Total 2 4 2 14" xfId="5257" xr:uid="{85C14F2C-A4FB-410F-8788-0B40618EA9B8}"/>
    <cellStyle name="Total 2 4 2 14 2" xfId="11103" xr:uid="{0AAC1D25-D7CA-40BC-B045-BAB3ADFC8485}"/>
    <cellStyle name="Total 2 4 2 15" xfId="6111" xr:uid="{65497F2E-43BF-480D-9B28-2436B1E02150}"/>
    <cellStyle name="Total 2 4 2 15 2" xfId="11823" xr:uid="{072A02F3-DFFC-49D6-8F9D-2186CF04D25A}"/>
    <cellStyle name="Total 2 4 2 16" xfId="5745" xr:uid="{7E35A35D-C0F3-4050-95AB-2156ACF43FDA}"/>
    <cellStyle name="Total 2 4 2 16 2" xfId="11473" xr:uid="{5B2F5A95-9C1F-45CA-8BC0-B41D3E741E50}"/>
    <cellStyle name="Total 2 4 2 17" xfId="6527" xr:uid="{ECA837D8-F247-437A-BDD6-318A4B0618D0}"/>
    <cellStyle name="Total 2 4 2 17 2" xfId="12231" xr:uid="{D1E6BFC3-C7D1-4474-B558-49C44CA03526}"/>
    <cellStyle name="Total 2 4 2 18" xfId="5742" xr:uid="{F01A58F5-FB6E-439A-B238-079BBD0BF3A4}"/>
    <cellStyle name="Total 2 4 2 18 2" xfId="11470" xr:uid="{1CA3F442-5997-4F10-B711-9928E2761711}"/>
    <cellStyle name="Total 2 4 2 19" xfId="8456" xr:uid="{7128D883-F7E8-4CFA-81D6-BB3D92E27852}"/>
    <cellStyle name="Total 2 4 2 19 2" xfId="13936" xr:uid="{E641273D-694B-4F16-9741-D87457022E00}"/>
    <cellStyle name="Total 2 4 2 2" xfId="2436" xr:uid="{C5D62013-B489-441C-B962-4D118793ADB1}"/>
    <cellStyle name="Total 2 4 2 2 10" xfId="5546" xr:uid="{F467B13F-FD00-4BEF-8716-D3A3CAF78A28}"/>
    <cellStyle name="Total 2 4 2 2 10 2" xfId="11274" xr:uid="{E36E5BEA-902A-4CA1-BEE2-32DA125CDCE2}"/>
    <cellStyle name="Total 2 4 2 2 11" xfId="5286" xr:uid="{93E14150-7546-440C-A559-E524CFEF789C}"/>
    <cellStyle name="Total 2 4 2 2 11 2" xfId="11130" xr:uid="{3544313B-2346-47B9-BD53-55A5A9A71EAC}"/>
    <cellStyle name="Total 2 4 2 2 12" xfId="8650" xr:uid="{17204678-848C-4388-82A8-A200863220BA}"/>
    <cellStyle name="Total 2 4 2 2 12 2" xfId="14038" xr:uid="{85B3625A-7A62-4B73-BA5A-133DBA93B896}"/>
    <cellStyle name="Total 2 4 2 2 13" xfId="8998" xr:uid="{6EAE3187-F5EC-412B-B63A-A111C6B8EEC3}"/>
    <cellStyle name="Total 2 4 2 2 2" xfId="3024" xr:uid="{8A8B825E-0E6B-47E9-B113-C01695882449}"/>
    <cellStyle name="Total 2 4 2 2 2 2" xfId="3964" xr:uid="{9355341A-64E6-4D21-8E56-CDA3C6C68C62}"/>
    <cellStyle name="Total 2 4 2 2 2 2 2" xfId="10078" xr:uid="{25D69D67-F736-4376-8B48-2F80C1D62AE4}"/>
    <cellStyle name="Total 2 4 2 2 2 3" xfId="6935" xr:uid="{20C76E51-4BFB-4ABE-A284-B7D0660F53F1}"/>
    <cellStyle name="Total 2 4 2 2 2 3 2" xfId="12541" xr:uid="{C3E8C74A-BBC3-4596-9AF4-AABFB6572980}"/>
    <cellStyle name="Total 2 4 2 2 2 4" xfId="7613" xr:uid="{E0F2B40D-F0F8-4C7A-A2C6-7CBF8E3A28CA}"/>
    <cellStyle name="Total 2 4 2 2 2 4 2" xfId="13185" xr:uid="{4D227D54-ECCC-408B-914D-0C0AA70E11EE}"/>
    <cellStyle name="Total 2 4 2 2 2 5" xfId="8106" xr:uid="{396B1A3D-2C56-4815-B449-99ACC2E48905}"/>
    <cellStyle name="Total 2 4 2 2 2 5 2" xfId="13678" xr:uid="{A8651D8F-8647-460B-830D-518900535AD6}"/>
    <cellStyle name="Total 2 4 2 2 2 6" xfId="9358" xr:uid="{36EC7B5F-E72D-4736-9383-9061D8DC6E63}"/>
    <cellStyle name="Total 2 4 2 2 3" xfId="3484" xr:uid="{9264CD01-9508-467F-844B-FB72F6D01E15}"/>
    <cellStyle name="Total 2 4 2 2 3 2" xfId="9718" xr:uid="{41FA50ED-CAE9-4143-8273-18588A92E3CD}"/>
    <cellStyle name="Total 2 4 2 2 4" xfId="4677" xr:uid="{1FC05F5D-AC9B-4BDD-8FE9-6E26D33E19A1}"/>
    <cellStyle name="Total 2 4 2 2 4 2" xfId="10541" xr:uid="{48084BB8-5C15-4631-A72C-ABCB218AAEAD}"/>
    <cellStyle name="Total 2 4 2 2 5" xfId="4916" xr:uid="{0B596908-044A-413B-8586-14FE8EBAB99B}"/>
    <cellStyle name="Total 2 4 2 2 5 2" xfId="10762" xr:uid="{EFF4EF4D-FFB1-4F67-A08F-E520C77123AB}"/>
    <cellStyle name="Total 2 4 2 2 6" xfId="5072" xr:uid="{AD3A5828-28D1-4575-942E-F9F6620BB753}"/>
    <cellStyle name="Total 2 4 2 2 6 2" xfId="10918" xr:uid="{36593663-48B4-4502-AD9D-6968A1994DBD}"/>
    <cellStyle name="Total 2 4 2 2 7" xfId="5842" xr:uid="{DE65F824-8D08-44F0-8085-11777A85EBD7}"/>
    <cellStyle name="Total 2 4 2 2 7 2" xfId="11570" xr:uid="{82E7214E-A2E8-4627-8B21-38767A5DB74D}"/>
    <cellStyle name="Total 2 4 2 2 8" xfId="5270" xr:uid="{929E3049-7DA2-4967-B98F-FD9361223A37}"/>
    <cellStyle name="Total 2 4 2 2 8 2" xfId="11116" xr:uid="{8B75CF00-6D99-41DF-9570-C911198E5ED3}"/>
    <cellStyle name="Total 2 4 2 2 9" xfId="6379" xr:uid="{A2E7AA98-05BE-48BD-8F7E-6AAB1F2E29CA}"/>
    <cellStyle name="Total 2 4 2 2 9 2" xfId="12083" xr:uid="{26BF6D43-C7EB-4602-8979-380E71F8351A}"/>
    <cellStyle name="Total 2 4 2 20" xfId="8896" xr:uid="{B8B65867-29FB-4EDC-86BA-8F90F552C517}"/>
    <cellStyle name="Total 2 4 2 3" xfId="2541" xr:uid="{6D72CFE9-6133-44BC-AE90-D050C7A2BFDE}"/>
    <cellStyle name="Total 2 4 2 3 10" xfId="7233" xr:uid="{DF19DE0D-9DE9-4276-9D09-841CFBDD8B22}"/>
    <cellStyle name="Total 2 4 2 3 10 2" xfId="12805" xr:uid="{4734C100-098A-47CF-9C92-A993FA390341}"/>
    <cellStyle name="Total 2 4 2 3 11" xfId="7295" xr:uid="{8964DD5C-F7F3-46E7-8D16-680A4D3382C6}"/>
    <cellStyle name="Total 2 4 2 3 11 2" xfId="12867" xr:uid="{01B8E7A3-29ED-4E74-8B11-6BBA019F205B}"/>
    <cellStyle name="Total 2 4 2 3 12" xfId="8755" xr:uid="{3B8AAA3E-7DF1-4F6B-A982-90ECAD057A40}"/>
    <cellStyle name="Total 2 4 2 3 12 2" xfId="14111" xr:uid="{96CE4015-50CA-44BF-913E-CC31F58974A9}"/>
    <cellStyle name="Total 2 4 2 3 13" xfId="9071" xr:uid="{91F13FFA-4E1F-4CB3-82D6-867EF9C99B8F}"/>
    <cellStyle name="Total 2 4 2 3 2" xfId="3097" xr:uid="{4109D41B-83BA-4865-B381-42B893200283}"/>
    <cellStyle name="Total 2 4 2 3 2 2" xfId="4037" xr:uid="{312BF87C-AD69-494D-A477-DA0D84ADC897}"/>
    <cellStyle name="Total 2 4 2 3 2 2 2" xfId="10151" xr:uid="{0B35D236-F0B4-45D0-9C8D-87D3A99D55E1}"/>
    <cellStyle name="Total 2 4 2 3 2 3" xfId="7008" xr:uid="{E07DE808-2AE8-4FA0-821E-A92276B6E577}"/>
    <cellStyle name="Total 2 4 2 3 2 3 2" xfId="12614" xr:uid="{0C71B8D8-95F3-42DB-AC48-7B22D2DAEBF5}"/>
    <cellStyle name="Total 2 4 2 3 2 4" xfId="7686" xr:uid="{77739564-BCC6-4593-91C0-EFD24DF7FD85}"/>
    <cellStyle name="Total 2 4 2 3 2 4 2" xfId="13258" xr:uid="{AB579806-A5B8-40C4-AA50-7DCB416CEE94}"/>
    <cellStyle name="Total 2 4 2 3 2 5" xfId="8179" xr:uid="{9CEBDC64-5205-4712-BB28-D3E2D309F09B}"/>
    <cellStyle name="Total 2 4 2 3 2 5 2" xfId="13751" xr:uid="{E2E66F23-4E3D-49A0-9F39-7B110A1A1B85}"/>
    <cellStyle name="Total 2 4 2 3 2 6" xfId="9431" xr:uid="{E470C959-6849-4EC8-B7E2-448A88A8C3AE}"/>
    <cellStyle name="Total 2 4 2 3 3" xfId="3557" xr:uid="{D2FE66E4-8F31-4863-A9FB-D24E46DC0379}"/>
    <cellStyle name="Total 2 4 2 3 3 2" xfId="9791" xr:uid="{4904A1A4-64E7-44D9-B887-AA05F7E33B00}"/>
    <cellStyle name="Total 2 4 2 3 4" xfId="4754" xr:uid="{4CFFAA6B-3748-4BDC-8FBC-D0F6E6D52B24}"/>
    <cellStyle name="Total 2 4 2 3 4 2" xfId="10618" xr:uid="{71D9CA8F-C117-4841-A591-8E5A73698C64}"/>
    <cellStyle name="Total 2 4 2 3 5" xfId="4997" xr:uid="{290C2F7C-B354-4C78-9D42-AD6A30490BF4}"/>
    <cellStyle name="Total 2 4 2 3 5 2" xfId="10843" xr:uid="{7F57078F-EDF9-4444-A528-0EB8B4840926}"/>
    <cellStyle name="Total 2 4 2 3 6" xfId="5145" xr:uid="{CD3E7E5E-D9EB-4034-8513-12D9A92D54A4}"/>
    <cellStyle name="Total 2 4 2 3 6 2" xfId="10991" xr:uid="{0D3642F1-6D55-4A5B-9B56-3EDC39BAA453}"/>
    <cellStyle name="Total 2 4 2 3 7" xfId="5936" xr:uid="{29240964-3F79-4FF1-A5A1-3A07F7887B19}"/>
    <cellStyle name="Total 2 4 2 3 7 2" xfId="11664" xr:uid="{E1406B72-51EC-4CA6-8424-7EBBE03332E3}"/>
    <cellStyle name="Total 2 4 2 3 8" xfId="6266" xr:uid="{40DA55A9-BB55-4A7A-A6AD-900DFE48F84B}"/>
    <cellStyle name="Total 2 4 2 3 8 2" xfId="11970" xr:uid="{7DEF98E4-71AB-41B6-90F3-CE7538E210FB}"/>
    <cellStyle name="Total 2 4 2 3 9" xfId="6468" xr:uid="{7850A3E9-D96D-4DE4-A6B6-FDAA7171056D}"/>
    <cellStyle name="Total 2 4 2 3 9 2" xfId="12172" xr:uid="{BB35A555-B0FB-4F56-B9A0-E3775F1A3E2B}"/>
    <cellStyle name="Total 2 4 2 4" xfId="2263" xr:uid="{61D26C1D-74EA-4A87-A891-42A4CF2BE46E}"/>
    <cellStyle name="Total 2 4 2 4 10" xfId="5727" xr:uid="{EABC9A7F-45C9-4452-BB0E-B0D27F549038}"/>
    <cellStyle name="Total 2 4 2 4 10 2" xfId="11455" xr:uid="{1DE7C53F-7DF0-4FE5-8B88-75BDC86A9DDA}"/>
    <cellStyle name="Total 2 4 2 4 11" xfId="7839" xr:uid="{B11FF6E4-868A-4480-AA8B-B9E70C2A0646}"/>
    <cellStyle name="Total 2 4 2 4 11 2" xfId="13411" xr:uid="{F2495A8C-9F23-438B-B32F-7C8E78E0478B}"/>
    <cellStyle name="Total 2 4 2 4 12" xfId="8477" xr:uid="{FDBCB16C-D0E9-4EFD-896A-7D4E5B0694B2}"/>
    <cellStyle name="Total 2 4 2 4 12 2" xfId="13957" xr:uid="{AF27572F-CAC6-4EB3-BEA7-24EBEF60D558}"/>
    <cellStyle name="Total 2 4 2 4 13" xfId="8917" xr:uid="{183415C6-FB66-470B-AF55-0B466EF1AD52}"/>
    <cellStyle name="Total 2 4 2 4 2" xfId="2943" xr:uid="{4712D9C8-9C4F-43C2-AB0D-9199D0789CE0}"/>
    <cellStyle name="Total 2 4 2 4 2 2" xfId="3883" xr:uid="{849F6D2E-C6F6-4263-81CC-E6D4DA6B8EB5}"/>
    <cellStyle name="Total 2 4 2 4 2 2 2" xfId="9997" xr:uid="{68864F34-94FD-44FA-930F-D30607841505}"/>
    <cellStyle name="Total 2 4 2 4 2 3" xfId="6854" xr:uid="{42BC6E07-7B16-43C2-BD4E-709EFBE732B4}"/>
    <cellStyle name="Total 2 4 2 4 2 3 2" xfId="12460" xr:uid="{08BCF65B-8D93-4FD4-9A1E-FAC3E3A7C7E5}"/>
    <cellStyle name="Total 2 4 2 4 2 4" xfId="7532" xr:uid="{610A98DC-5BE0-415F-9975-8E82D2932555}"/>
    <cellStyle name="Total 2 4 2 4 2 4 2" xfId="13104" xr:uid="{6669F78A-76DA-49FC-BC6E-0822B5491B6A}"/>
    <cellStyle name="Total 2 4 2 4 2 5" xfId="8025" xr:uid="{0230E254-1908-47C7-9C3A-EB593BDAEDD1}"/>
    <cellStyle name="Total 2 4 2 4 2 5 2" xfId="13597" xr:uid="{FD974265-2E8A-4F2C-86E8-56C4394F280E}"/>
    <cellStyle name="Total 2 4 2 4 2 6" xfId="9277" xr:uid="{366591BA-9A58-4D8F-973A-E657C8527747}"/>
    <cellStyle name="Total 2 4 2 4 3" xfId="3403" xr:uid="{3D939849-2920-4893-BD70-8CEECD568F38}"/>
    <cellStyle name="Total 2 4 2 4 3 2" xfId="9637" xr:uid="{8C772C02-ECC9-4D6C-9D4B-D219BB0BAA8E}"/>
    <cellStyle name="Total 2 4 2 4 4" xfId="4570" xr:uid="{69A7366B-C865-4BD6-B336-4058A0F013E8}"/>
    <cellStyle name="Total 2 4 2 4 4 2" xfId="10434" xr:uid="{34A9DD12-B483-41D1-BE3A-4A57377957AB}"/>
    <cellStyle name="Total 2 4 2 4 5" xfId="4815" xr:uid="{C6EB8734-B67A-449A-B6E9-019835F7D03C}"/>
    <cellStyle name="Total 2 4 2 4 5 2" xfId="10661" xr:uid="{EEBAEB99-89FD-4D74-9C5E-F38DD8529D18}"/>
    <cellStyle name="Total 2 4 2 4 6" xfId="4609" xr:uid="{9BDCCC47-05D9-4FE4-AF6B-34FFF1B8AABF}"/>
    <cellStyle name="Total 2 4 2 4 6 2" xfId="10473" xr:uid="{860EAD1F-FA88-4028-AA34-5B387B6306F0}"/>
    <cellStyle name="Total 2 4 2 4 7" xfId="5701" xr:uid="{42DACF77-18CA-4278-8F18-50B4F8B1F579}"/>
    <cellStyle name="Total 2 4 2 4 7 2" xfId="11429" xr:uid="{9F416652-C794-4210-B40B-E683114EAA28}"/>
    <cellStyle name="Total 2 4 2 4 8" xfId="5170" xr:uid="{2097588E-36DD-415A-A169-CBD4D9352137}"/>
    <cellStyle name="Total 2 4 2 4 8 2" xfId="11016" xr:uid="{B584DB99-AD69-423C-BC95-953959267CD7}"/>
    <cellStyle name="Total 2 4 2 4 9" xfId="5786" xr:uid="{7EA0F5FF-366C-424B-8FA4-A6009A050070}"/>
    <cellStyle name="Total 2 4 2 4 9 2" xfId="11514" xr:uid="{24615551-385F-46DA-A7D3-6D439276E69D}"/>
    <cellStyle name="Total 2 4 2 5" xfId="2698" xr:uid="{8BD2AC27-25ED-4686-82F6-57EA40297E2C}"/>
    <cellStyle name="Total 2 4 2 5 2" xfId="3162" xr:uid="{19C3BBEC-8E3C-47D3-AD45-0EF5ED6EAB41}"/>
    <cellStyle name="Total 2 4 2 5 2 2" xfId="4120" xr:uid="{BA8968DB-66AF-4753-A74F-4F95C6A05A00}"/>
    <cellStyle name="Total 2 4 2 5 2 2 2" xfId="10216" xr:uid="{0A149C4F-4AF2-490B-8A6F-BB8E5304CA6F}"/>
    <cellStyle name="Total 2 4 2 5 2 3" xfId="7091" xr:uid="{A5A4EE1D-C590-48FA-BC24-99D355981BCA}"/>
    <cellStyle name="Total 2 4 2 5 2 3 2" xfId="12679" xr:uid="{1D50B620-DC6C-4070-8FB4-B6A6C79D5BF7}"/>
    <cellStyle name="Total 2 4 2 5 2 4" xfId="7752" xr:uid="{92504AE0-ACEB-43EE-BF87-0C5791A1911E}"/>
    <cellStyle name="Total 2 4 2 5 2 4 2" xfId="13324" xr:uid="{7D98E82A-F30F-4F69-A6CE-33ABA33B5340}"/>
    <cellStyle name="Total 2 4 2 5 2 5" xfId="8244" xr:uid="{998E2639-DA4F-463C-8DF1-777A45841856}"/>
    <cellStyle name="Total 2 4 2 5 2 5 2" xfId="13816" xr:uid="{7B11A582-9526-4C79-8563-21B73971C98F}"/>
    <cellStyle name="Total 2 4 2 5 2 6" xfId="9496" xr:uid="{E6F1D85A-750F-47F0-9461-ABEC2D13079E}"/>
    <cellStyle name="Total 2 4 2 5 3" xfId="3640" xr:uid="{ACE9CBF3-1D61-4579-982B-49704B8505F5}"/>
    <cellStyle name="Total 2 4 2 5 3 2" xfId="9856" xr:uid="{E2343546-CFC7-4F5B-9F2E-9236D3647B5B}"/>
    <cellStyle name="Total 2 4 2 5 4" xfId="6077" xr:uid="{34E58114-9F75-4321-AD03-884EEFB03F20}"/>
    <cellStyle name="Total 2 4 2 5 4 2" xfId="11789" xr:uid="{8DD921CC-7B6B-4E98-985A-6C9EB1CF769E}"/>
    <cellStyle name="Total 2 4 2 5 5" xfId="6595" xr:uid="{26BE1C4D-4003-4388-8975-10098B6C0907}"/>
    <cellStyle name="Total 2 4 2 5 5 2" xfId="12299" xr:uid="{54A1FE79-8314-4BA7-BCEE-1CAF8067E1FA}"/>
    <cellStyle name="Total 2 4 2 5 6" xfId="7349" xr:uid="{FB9C2E5B-086A-4CF7-B56B-651422DE4ABE}"/>
    <cellStyle name="Total 2 4 2 5 6 2" xfId="12921" xr:uid="{4A7C9B43-3B8E-4ADF-A9CA-00CB283885E2}"/>
    <cellStyle name="Total 2 4 2 5 7" xfId="7884" xr:uid="{E5CAFC15-136D-4BD0-B407-1F2B891027A8}"/>
    <cellStyle name="Total 2 4 2 5 7 2" xfId="13456" xr:uid="{66856657-54E9-4B1F-803B-9F0C72FA2E86}"/>
    <cellStyle name="Total 2 4 2 5 8" xfId="9136" xr:uid="{C97ACF22-11EF-42AB-91B5-1090E837A4A1}"/>
    <cellStyle name="Total 2 4 2 6" xfId="2790" xr:uid="{DE44E34A-D685-40BC-9813-5ABB2AE768E8}"/>
    <cellStyle name="Total 2 4 2 6 2" xfId="3222" xr:uid="{7BFF1F13-DF83-4A78-B137-11237F793337}"/>
    <cellStyle name="Total 2 4 2 6 2 2" xfId="4180" xr:uid="{1B3EF4A7-979F-4B2E-ACB9-6750272A2F86}"/>
    <cellStyle name="Total 2 4 2 6 2 2 2" xfId="10276" xr:uid="{D362F7B2-A808-43DC-A1D4-A118D1013167}"/>
    <cellStyle name="Total 2 4 2 6 2 3" xfId="7151" xr:uid="{8BB80AE9-D349-4F7F-A7CA-1B3029CE06B8}"/>
    <cellStyle name="Total 2 4 2 6 2 3 2" xfId="12739" xr:uid="{6D014C42-2EF4-4A14-805E-9500C9EF9BAA}"/>
    <cellStyle name="Total 2 4 2 6 2 4" xfId="7812" xr:uid="{9EE75332-7AA6-48E0-BF5D-0D3AA4D63143}"/>
    <cellStyle name="Total 2 4 2 6 2 4 2" xfId="13384" xr:uid="{E0E49674-FC07-4FFA-99A6-DF3220609765}"/>
    <cellStyle name="Total 2 4 2 6 2 5" xfId="8304" xr:uid="{07A08F47-DCCF-4727-812D-FBDDE05FBD9D}"/>
    <cellStyle name="Total 2 4 2 6 2 5 2" xfId="13876" xr:uid="{CF75D663-D877-4634-9B44-08C549A16B61}"/>
    <cellStyle name="Total 2 4 2 6 2 6" xfId="9556" xr:uid="{2E09DE3F-690D-4C0F-978B-F54C320F52E5}"/>
    <cellStyle name="Total 2 4 2 6 3" xfId="3700" xr:uid="{8CB42293-2071-4C6E-BA3D-2CDE9C580112}"/>
    <cellStyle name="Total 2 4 2 6 3 2" xfId="9916" xr:uid="{27386FAA-B133-42AD-9DDC-E1C0576A6977}"/>
    <cellStyle name="Total 2 4 2 6 4" xfId="6157" xr:uid="{CAD0BE15-9EA0-4D21-8396-5110365E11D4}"/>
    <cellStyle name="Total 2 4 2 6 4 2" xfId="11869" xr:uid="{07091769-E952-44B3-B275-CB71CA713D77}"/>
    <cellStyle name="Total 2 4 2 6 5" xfId="6667" xr:uid="{C44658EA-DC08-4E3C-AF44-078F58BEB6DF}"/>
    <cellStyle name="Total 2 4 2 6 5 2" xfId="12371" xr:uid="{755C0881-53C9-417B-8C24-334E674A607E}"/>
    <cellStyle name="Total 2 4 2 6 6" xfId="7411" xr:uid="{C8564766-B6B2-4EA5-B0C9-4F1AEA38E60C}"/>
    <cellStyle name="Total 2 4 2 6 6 2" xfId="12983" xr:uid="{6A10091E-2377-4782-ACF2-B3C4BF2BAF50}"/>
    <cellStyle name="Total 2 4 2 6 7" xfId="7944" xr:uid="{4193BD66-4514-459D-9B2D-67672F619058}"/>
    <cellStyle name="Total 2 4 2 6 7 2" xfId="13516" xr:uid="{D874AFF5-27F6-47AB-96D5-733087CE25AD}"/>
    <cellStyle name="Total 2 4 2 6 8" xfId="9196" xr:uid="{AEF04492-C466-41CC-A3B4-E0C16D543B02}"/>
    <cellStyle name="Total 2 4 2 7" xfId="2890" xr:uid="{2F776C7B-8177-4D4B-AC59-E82A7DAA6BCC}"/>
    <cellStyle name="Total 2 4 2 7 2" xfId="3818" xr:uid="{96092424-EE63-4B10-AE1D-6EFDB5F98830}"/>
    <cellStyle name="Total 2 4 2 7 2 2" xfId="9976" xr:uid="{0A69B26B-6A45-4F26-A10E-E802FDF34EAE}"/>
    <cellStyle name="Total 2 4 2 7 3" xfId="6789" xr:uid="{8516522E-DE00-4B3F-AFD1-78206B906A2D}"/>
    <cellStyle name="Total 2 4 2 7 3 2" xfId="12439" xr:uid="{DDDA9311-C6FA-4B6A-8D51-0A616876C2F3}"/>
    <cellStyle name="Total 2 4 2 7 4" xfId="7496" xr:uid="{BC580D72-5013-42B0-BE39-15758540B1AA}"/>
    <cellStyle name="Total 2 4 2 7 4 2" xfId="13068" xr:uid="{BEC5C298-778F-4448-9B0B-D0E297E743A2}"/>
    <cellStyle name="Total 2 4 2 7 5" xfId="8004" xr:uid="{401AF3E8-072B-4353-BFCA-3C2CFE442F77}"/>
    <cellStyle name="Total 2 4 2 7 5 2" xfId="13576" xr:uid="{D1A841FA-CBC4-4E4C-85B1-842B4B807F2E}"/>
    <cellStyle name="Total 2 4 2 7 6" xfId="9256" xr:uid="{9EAA90F3-CEBB-48F4-B3FC-1C453E6C7F21}"/>
    <cellStyle name="Total 2 4 2 8" xfId="3338" xr:uid="{5EE0547C-4E30-4FEF-94FB-0772CB294A89}"/>
    <cellStyle name="Total 2 4 2 8 2" xfId="9616" xr:uid="{C43B2E08-2CDE-457B-B734-12BA4F7AE057}"/>
    <cellStyle name="Total 2 4 2 9" xfId="4505" xr:uid="{6C4CF569-2CDC-4714-8A57-F2FA79A80372}"/>
    <cellStyle name="Total 2 4 2 9 2" xfId="10413" xr:uid="{823CB3F6-F909-4F9F-9D21-368B1D160A0D}"/>
    <cellStyle name="Total 2 4 3" xfId="2208" xr:uid="{6C7D146A-0998-4F04-A974-4DB4B17E2F19}"/>
    <cellStyle name="Total 2 4 3 10" xfId="4397" xr:uid="{80A4AEFF-6F8C-4D90-BC9F-C8D7AED64687}"/>
    <cellStyle name="Total 2 4 3 10 2" xfId="10355" xr:uid="{0C72E730-F2CE-450D-A745-44A72FA0259A}"/>
    <cellStyle name="Total 2 4 3 11" xfId="4844" xr:uid="{922DCB90-58BE-4716-8433-D866D2ECB9CE}"/>
    <cellStyle name="Total 2 4 3 11 2" xfId="10690" xr:uid="{1DC688C5-01D5-444C-BA31-0857F8523F5C}"/>
    <cellStyle name="Total 2 4 3 12" xfId="5402" xr:uid="{280D6CA5-5A88-4A76-B155-E4BBB020A74B}"/>
    <cellStyle name="Total 2 4 3 12 2" xfId="11200" xr:uid="{3D09893A-8E8B-4ADB-8689-9A993F5D7FD3}"/>
    <cellStyle name="Total 2 4 3 13" xfId="5570" xr:uid="{A881663C-CD1F-4FD8-A185-9237A453296D}"/>
    <cellStyle name="Total 2 4 3 13 2" xfId="11298" xr:uid="{FFADCECA-09A1-4A63-9D6B-4E0EFA543150}"/>
    <cellStyle name="Total 2 4 3 14" xfId="5288" xr:uid="{D764D193-170F-4A02-856C-FF0308B5A8B2}"/>
    <cellStyle name="Total 2 4 3 14 2" xfId="11132" xr:uid="{8186C67D-5AD9-49BC-8104-E253E77AF4B7}"/>
    <cellStyle name="Total 2 4 3 15" xfId="5774" xr:uid="{7F2AB1D3-A3F1-41D2-9311-D4973D733C16}"/>
    <cellStyle name="Total 2 4 3 15 2" xfId="11502" xr:uid="{AD3CDADC-1BCC-48FE-9E57-634F6D8184C9}"/>
    <cellStyle name="Total 2 4 3 16" xfId="5782" xr:uid="{462C2CE6-92BE-4F42-9D7F-AFF4AD9B7E02}"/>
    <cellStyle name="Total 2 4 3 16 2" xfId="11510" xr:uid="{7E1BC94F-22F4-4AE4-993C-986D4B1D83D5}"/>
    <cellStyle name="Total 2 4 3 17" xfId="6298" xr:uid="{55D3BDBF-2FC3-474B-9E98-31C8F919139E}"/>
    <cellStyle name="Total 2 4 3 17 2" xfId="12002" xr:uid="{3483F11A-5456-4246-8987-C2666666B0D7}"/>
    <cellStyle name="Total 2 4 3 18" xfId="7517" xr:uid="{5C0FAAC3-E392-40C7-A4D2-09D44705B2F1}"/>
    <cellStyle name="Total 2 4 3 18 2" xfId="13089" xr:uid="{9C402507-FAA2-4907-AA6F-7C9D5B5ED281}"/>
    <cellStyle name="Total 2 4 3 19" xfId="8422" xr:uid="{35D98ACC-9073-4BCF-BCBE-E8FB0B178820}"/>
    <cellStyle name="Total 2 4 3 19 2" xfId="13902" xr:uid="{4CBB5728-4273-4CD7-BFAB-C7A7DBF0DC05}"/>
    <cellStyle name="Total 2 4 3 2" xfId="2400" xr:uid="{B3369CCC-C4A6-48ED-8085-496DBCF40DAF}"/>
    <cellStyle name="Total 2 4 3 2 10" xfId="6212" xr:uid="{8A8B8772-4643-4062-8A3E-F7EE05A0D198}"/>
    <cellStyle name="Total 2 4 3 2 10 2" xfId="11916" xr:uid="{C2143279-931D-49A7-8C8C-8654930EF235}"/>
    <cellStyle name="Total 2 4 3 2 11" xfId="6535" xr:uid="{4AC00F49-3849-415B-ACAD-344D29164D45}"/>
    <cellStyle name="Total 2 4 3 2 11 2" xfId="12239" xr:uid="{7006D7D2-83AF-406E-8B92-5214051F6304}"/>
    <cellStyle name="Total 2 4 3 2 12" xfId="8614" xr:uid="{E45FFDD3-4C94-4927-BD95-8920D239CA17}"/>
    <cellStyle name="Total 2 4 3 2 12 2" xfId="14002" xr:uid="{CF2FFAB2-461B-4531-B08D-4DEFF302D8E6}"/>
    <cellStyle name="Total 2 4 3 2 13" xfId="8962" xr:uid="{B73E0DB2-198C-48C0-8CF8-D995B78E3BBB}"/>
    <cellStyle name="Total 2 4 3 2 2" xfId="2988" xr:uid="{00AE30CF-6DA8-4FB1-829F-BEA177BB1685}"/>
    <cellStyle name="Total 2 4 3 2 2 2" xfId="3928" xr:uid="{44C93A76-C26B-4ED8-B084-45CC4E5C6DD3}"/>
    <cellStyle name="Total 2 4 3 2 2 2 2" xfId="10042" xr:uid="{6AB0892E-7CE9-4712-9A59-6ECCCE8CBD54}"/>
    <cellStyle name="Total 2 4 3 2 2 3" xfId="6899" xr:uid="{A69033B4-D1CD-4064-A5EA-7E36A50A2E4A}"/>
    <cellStyle name="Total 2 4 3 2 2 3 2" xfId="12505" xr:uid="{2E8283D1-2368-485B-ACC2-E5E177CB9C38}"/>
    <cellStyle name="Total 2 4 3 2 2 4" xfId="7577" xr:uid="{9AEBF8A3-0EB1-4F76-9047-448477749BEE}"/>
    <cellStyle name="Total 2 4 3 2 2 4 2" xfId="13149" xr:uid="{933D6FFB-962A-4886-A002-96E3D8F1A8C7}"/>
    <cellStyle name="Total 2 4 3 2 2 5" xfId="8070" xr:uid="{9D842F20-C8E6-4799-9ECE-C45B8EF3E09F}"/>
    <cellStyle name="Total 2 4 3 2 2 5 2" xfId="13642" xr:uid="{A230C5D3-E506-4EEA-BC71-F3C7A1B842A5}"/>
    <cellStyle name="Total 2 4 3 2 2 6" xfId="9322" xr:uid="{43910E6D-0EBA-4A83-86C2-26822574E020}"/>
    <cellStyle name="Total 2 4 3 2 3" xfId="3448" xr:uid="{3BB5B6F3-BAD0-402F-BD62-6BCC32B519C9}"/>
    <cellStyle name="Total 2 4 3 2 3 2" xfId="9682" xr:uid="{87364B7E-3CC2-4A9C-9019-1982AD34B230}"/>
    <cellStyle name="Total 2 4 3 2 4" xfId="4641" xr:uid="{A55B3BD7-900E-4232-A29B-61F5A8FAECCB}"/>
    <cellStyle name="Total 2 4 3 2 4 2" xfId="10505" xr:uid="{3A160B71-C69C-4890-A12A-D3C43301B7CD}"/>
    <cellStyle name="Total 2 4 3 2 5" xfId="4880" xr:uid="{E3AD7B44-1187-47C6-931A-D09168357DB7}"/>
    <cellStyle name="Total 2 4 3 2 5 2" xfId="10726" xr:uid="{F81621BB-4643-4C40-912E-086A099FE8CC}"/>
    <cellStyle name="Total 2 4 3 2 6" xfId="5036" xr:uid="{5BDFF3D4-13E8-43A6-B570-443A89E3A59A}"/>
    <cellStyle name="Total 2 4 3 2 6 2" xfId="10882" xr:uid="{B8F6304A-A625-4978-8EF2-C69095182DC8}"/>
    <cellStyle name="Total 2 4 3 2 7" xfId="5806" xr:uid="{352C8969-EEAB-43A1-8A7C-DECF9AE6A3F2}"/>
    <cellStyle name="Total 2 4 3 2 7 2" xfId="11534" xr:uid="{C5B46A70-6A91-4087-9598-BD3154D6FE1D}"/>
    <cellStyle name="Total 2 4 3 2 8" xfId="5259" xr:uid="{EE79915E-0ED2-41AF-A6FE-59161BB4650F}"/>
    <cellStyle name="Total 2 4 3 2 8 2" xfId="11105" xr:uid="{1925F81A-53B4-4AA3-9181-21573DB19FF6}"/>
    <cellStyle name="Total 2 4 3 2 9" xfId="6343" xr:uid="{4CB63BF4-181F-4909-8CF5-C0A5F921B0FB}"/>
    <cellStyle name="Total 2 4 3 2 9 2" xfId="12047" xr:uid="{9EF9668D-643E-4A42-9B56-C3A9339303B6}"/>
    <cellStyle name="Total 2 4 3 20" xfId="8862" xr:uid="{75C36107-FF25-4AB2-AD3D-658E834AD352}"/>
    <cellStyle name="Total 2 4 3 3" xfId="2506" xr:uid="{574FB457-2704-42D5-9281-FE471A43A90C}"/>
    <cellStyle name="Total 2 4 3 3 10" xfId="7198" xr:uid="{3C96D1FB-D2FA-42A8-A975-9EA9808EAF44}"/>
    <cellStyle name="Total 2 4 3 3 10 2" xfId="12770" xr:uid="{252233B3-1CF7-4360-8815-1141E2966D3E}"/>
    <cellStyle name="Total 2 4 3 3 11" xfId="5999" xr:uid="{DF33D059-0C7F-4C10-ACE9-7A2DA232DE09}"/>
    <cellStyle name="Total 2 4 3 3 11 2" xfId="11711" xr:uid="{985ACA4F-D544-4E2A-A60B-D3D863E144BC}"/>
    <cellStyle name="Total 2 4 3 3 12" xfId="8720" xr:uid="{6DE80CFD-54DD-4812-84F1-BF166A62B7C4}"/>
    <cellStyle name="Total 2 4 3 3 12 2" xfId="14076" xr:uid="{C0DD1C10-C72D-40E4-B759-9748C7E9B38B}"/>
    <cellStyle name="Total 2 4 3 3 13" xfId="9036" xr:uid="{968FC97A-27F9-470C-BD1B-A78F5655C809}"/>
    <cellStyle name="Total 2 4 3 3 2" xfId="3062" xr:uid="{ABC41429-D361-4826-A168-75151D434EE7}"/>
    <cellStyle name="Total 2 4 3 3 2 2" xfId="4002" xr:uid="{1E60CE8A-BC3E-4CE0-BA1D-9C9475523F8C}"/>
    <cellStyle name="Total 2 4 3 3 2 2 2" xfId="10116" xr:uid="{922E3898-BFA0-473A-879E-F7D412376904}"/>
    <cellStyle name="Total 2 4 3 3 2 3" xfId="6973" xr:uid="{0B8E4EE6-21E2-4E18-AF39-AEB1B72F1918}"/>
    <cellStyle name="Total 2 4 3 3 2 3 2" xfId="12579" xr:uid="{610AAF90-E63E-45BA-A29B-B2FC6D4C4E0A}"/>
    <cellStyle name="Total 2 4 3 3 2 4" xfId="7651" xr:uid="{8028D75A-E77D-4B6C-9E7B-3477C2801EFC}"/>
    <cellStyle name="Total 2 4 3 3 2 4 2" xfId="13223" xr:uid="{CB7DE951-49B0-441F-A079-E1B59E654725}"/>
    <cellStyle name="Total 2 4 3 3 2 5" xfId="8144" xr:uid="{561B0360-514B-4A94-BBE4-490E0AFFC56C}"/>
    <cellStyle name="Total 2 4 3 3 2 5 2" xfId="13716" xr:uid="{80BC7354-8E35-4046-9CF2-326308C9C13B}"/>
    <cellStyle name="Total 2 4 3 3 2 6" xfId="9396" xr:uid="{B0243A11-E926-4D17-AF59-EAA8CB7FC8F6}"/>
    <cellStyle name="Total 2 4 3 3 3" xfId="3522" xr:uid="{1D92FCD6-8491-4AF0-A9A6-801179CEA01A}"/>
    <cellStyle name="Total 2 4 3 3 3 2" xfId="9756" xr:uid="{AFEC4032-5158-4637-9B10-E55C8C6ADFC5}"/>
    <cellStyle name="Total 2 4 3 3 4" xfId="4719" xr:uid="{28524410-903D-4675-BA47-61807A8DDEF8}"/>
    <cellStyle name="Total 2 4 3 3 4 2" xfId="10583" xr:uid="{E2B4514A-2C98-469A-AB87-C69FB53FD7A8}"/>
    <cellStyle name="Total 2 4 3 3 5" xfId="4962" xr:uid="{56AD1188-DA6E-40F4-86A2-F6C96879016B}"/>
    <cellStyle name="Total 2 4 3 3 5 2" xfId="10808" xr:uid="{793490A1-10EB-4A0B-8A8B-3A4485B082D0}"/>
    <cellStyle name="Total 2 4 3 3 6" xfId="5110" xr:uid="{025AF87A-6BEA-4DA3-B42F-1DEE5C855000}"/>
    <cellStyle name="Total 2 4 3 3 6 2" xfId="10956" xr:uid="{49EBD9BC-3330-4310-89CA-FA8281044C8C}"/>
    <cellStyle name="Total 2 4 3 3 7" xfId="5901" xr:uid="{789AAE1E-6EE6-41B5-BF32-702DE588BD82}"/>
    <cellStyle name="Total 2 4 3 3 7 2" xfId="11629" xr:uid="{4FB3D009-A3B7-4F4E-9BFC-9C2CF9963A6D}"/>
    <cellStyle name="Total 2 4 3 3 8" xfId="6231" xr:uid="{C7F8C61F-D9BF-431C-B30E-3418C9350F50}"/>
    <cellStyle name="Total 2 4 3 3 8 2" xfId="11935" xr:uid="{28EE331B-DFA7-4B46-B72F-76FEDAC9BB80}"/>
    <cellStyle name="Total 2 4 3 3 9" xfId="6433" xr:uid="{F81E886E-A111-445C-9820-FA45D342D527}"/>
    <cellStyle name="Total 2 4 3 3 9 2" xfId="12137" xr:uid="{B9B5388C-B43D-47EB-87CE-BC6AA024EE9D}"/>
    <cellStyle name="Total 2 4 3 4" xfId="2462" xr:uid="{EDE6A3E6-FE46-41C7-B607-03A2753E0149}"/>
    <cellStyle name="Total 2 4 3 4 10" xfId="5624" xr:uid="{8371572E-59C9-4660-8923-6F192BF4DEF7}"/>
    <cellStyle name="Total 2 4 3 4 10 2" xfId="11352" xr:uid="{55D17597-2A39-4AC6-8A48-B35B47B2AB44}"/>
    <cellStyle name="Total 2 4 3 4 11" xfId="7290" xr:uid="{97601B5D-42A4-4364-90A3-065EDCCF98EF}"/>
    <cellStyle name="Total 2 4 3 4 11 2" xfId="12862" xr:uid="{BBDE55AF-7968-44A7-BCA4-4AB946F0A4FB}"/>
    <cellStyle name="Total 2 4 3 4 12" xfId="8676" xr:uid="{458432CC-4932-4CB7-8FA9-C304DC70AD51}"/>
    <cellStyle name="Total 2 4 3 4 12 2" xfId="14064" xr:uid="{3BCC506A-0EC1-4359-8E95-2736733280AB}"/>
    <cellStyle name="Total 2 4 3 4 13" xfId="9024" xr:uid="{9C206C05-2237-474E-A393-FF3D5DD321C4}"/>
    <cellStyle name="Total 2 4 3 4 2" xfId="3050" xr:uid="{BF174D5F-AA85-43B4-97DD-4E1C45CF665A}"/>
    <cellStyle name="Total 2 4 3 4 2 2" xfId="3990" xr:uid="{973E9F5B-84A3-434E-B7DE-184AA10A3109}"/>
    <cellStyle name="Total 2 4 3 4 2 2 2" xfId="10104" xr:uid="{6175D87A-F2E0-4230-B947-913C37670D07}"/>
    <cellStyle name="Total 2 4 3 4 2 3" xfId="6961" xr:uid="{ED5BAD64-88D5-48DB-8649-A89A5A410F0F}"/>
    <cellStyle name="Total 2 4 3 4 2 3 2" xfId="12567" xr:uid="{20D25895-4931-4BEC-8F90-064771801787}"/>
    <cellStyle name="Total 2 4 3 4 2 4" xfId="7639" xr:uid="{01467924-160C-4F94-B42D-3B927F375C80}"/>
    <cellStyle name="Total 2 4 3 4 2 4 2" xfId="13211" xr:uid="{AD3B85B6-9E16-4756-BAD8-EB98BDA09CCB}"/>
    <cellStyle name="Total 2 4 3 4 2 5" xfId="8132" xr:uid="{91DC9176-C329-4DA9-BAC6-D30802B485BC}"/>
    <cellStyle name="Total 2 4 3 4 2 5 2" xfId="13704" xr:uid="{46C51F38-E536-459E-A6D7-86D5515D2A40}"/>
    <cellStyle name="Total 2 4 3 4 2 6" xfId="9384" xr:uid="{49E79EFF-4868-44B2-9B2B-E8EF161D2805}"/>
    <cellStyle name="Total 2 4 3 4 3" xfId="3510" xr:uid="{5C277DFE-251A-4FE8-9E4A-0B56BA4F9ADA}"/>
    <cellStyle name="Total 2 4 3 4 3 2" xfId="9744" xr:uid="{65FDDA58-0D0F-41B3-B16C-FB763364D551}"/>
    <cellStyle name="Total 2 4 3 4 4" xfId="4703" xr:uid="{F23D632F-2902-48E4-A708-9B68BF9B271C}"/>
    <cellStyle name="Total 2 4 3 4 4 2" xfId="10567" xr:uid="{9391512D-6005-4999-AF4D-FF4528FD544C}"/>
    <cellStyle name="Total 2 4 3 4 5" xfId="4942" xr:uid="{34D1EFDC-D2D1-4755-9ACC-BE5B090C05EA}"/>
    <cellStyle name="Total 2 4 3 4 5 2" xfId="10788" xr:uid="{5234D0E1-0298-4C71-91E7-9EEA3EC74B25}"/>
    <cellStyle name="Total 2 4 3 4 6" xfId="5098" xr:uid="{2DE5268A-A7AB-4C76-96EB-897402967978}"/>
    <cellStyle name="Total 2 4 3 4 6 2" xfId="10944" xr:uid="{18559029-9EE0-488C-823A-E8B518D8F563}"/>
    <cellStyle name="Total 2 4 3 4 7" xfId="5868" xr:uid="{C448195B-2984-44B0-AC67-9AAC551A7722}"/>
    <cellStyle name="Total 2 4 3 4 7 2" xfId="11596" xr:uid="{B7EF1482-F151-403B-96FD-BC21F0609B57}"/>
    <cellStyle name="Total 2 4 3 4 8" xfId="6197" xr:uid="{F42531CA-3071-4E8F-B9EF-CD83EE55B04A}"/>
    <cellStyle name="Total 2 4 3 4 8 2" xfId="11901" xr:uid="{387F626D-F01B-42F7-B734-20AE29848BC9}"/>
    <cellStyle name="Total 2 4 3 4 9" xfId="6405" xr:uid="{29283B9C-0205-44F3-AA45-AD699F4563ED}"/>
    <cellStyle name="Total 2 4 3 4 9 2" xfId="12109" xr:uid="{0B95E874-B80A-4F60-8E4D-A8966CFE019B}"/>
    <cellStyle name="Total 2 4 3 5" xfId="2664" xr:uid="{3DF64054-90A8-4401-8389-8AFD16870661}"/>
    <cellStyle name="Total 2 4 3 5 2" xfId="3128" xr:uid="{4396FA32-C8F4-45AB-A8EC-E0E28ACB05C9}"/>
    <cellStyle name="Total 2 4 3 5 2 2" xfId="4086" xr:uid="{ECC16362-F29F-4387-B0CD-E9B96EF7F9F0}"/>
    <cellStyle name="Total 2 4 3 5 2 2 2" xfId="10182" xr:uid="{2F09782F-8934-48EB-89F1-1FD7FED14F03}"/>
    <cellStyle name="Total 2 4 3 5 2 3" xfId="7057" xr:uid="{DC027BA5-B565-486A-99F0-129AC8709368}"/>
    <cellStyle name="Total 2 4 3 5 2 3 2" xfId="12645" xr:uid="{67D65BE4-87AD-490B-9D4C-2DCB069CC8C1}"/>
    <cellStyle name="Total 2 4 3 5 2 4" xfId="7718" xr:uid="{DCDC2CBC-5006-4ABF-B0EB-FE5DA8ECE40F}"/>
    <cellStyle name="Total 2 4 3 5 2 4 2" xfId="13290" xr:uid="{BC1E3055-26AE-4345-BD64-37A4529BC60C}"/>
    <cellStyle name="Total 2 4 3 5 2 5" xfId="8210" xr:uid="{44518A76-6EF5-4417-AADD-047264C1E512}"/>
    <cellStyle name="Total 2 4 3 5 2 5 2" xfId="13782" xr:uid="{2DE0031C-FBCB-40CF-B455-8FB7CCE4CDD3}"/>
    <cellStyle name="Total 2 4 3 5 2 6" xfId="9462" xr:uid="{2714FB45-F44D-4278-A847-0FEE889324F8}"/>
    <cellStyle name="Total 2 4 3 5 3" xfId="3606" xr:uid="{D82291AF-9D23-40CD-9C36-20A81A54FE5F}"/>
    <cellStyle name="Total 2 4 3 5 3 2" xfId="9822" xr:uid="{F7EA7823-40C4-4AA0-8DEA-B54DDC0E7B46}"/>
    <cellStyle name="Total 2 4 3 5 4" xfId="6043" xr:uid="{EFE1E675-2906-4D2A-A9EC-A08C0EC65FEF}"/>
    <cellStyle name="Total 2 4 3 5 4 2" xfId="11755" xr:uid="{C0C03CFF-1BC1-438F-A80F-16258767BEB1}"/>
    <cellStyle name="Total 2 4 3 5 5" xfId="6561" xr:uid="{EB45CB43-5FC7-4976-9701-F112AC6C38F0}"/>
    <cellStyle name="Total 2 4 3 5 5 2" xfId="12265" xr:uid="{0456AD66-6539-4978-B1DD-DB4FCF4E9696}"/>
    <cellStyle name="Total 2 4 3 5 6" xfId="7315" xr:uid="{84A041D8-D7E9-4D55-8414-AB94C58D0E11}"/>
    <cellStyle name="Total 2 4 3 5 6 2" xfId="12887" xr:uid="{9ED319C4-BC5B-477A-92B6-F06103170352}"/>
    <cellStyle name="Total 2 4 3 5 7" xfId="7850" xr:uid="{F61F8D4B-07D1-4DA9-89D0-7A7C5805D14A}"/>
    <cellStyle name="Total 2 4 3 5 7 2" xfId="13422" xr:uid="{F1738F17-91E0-4CCA-8C8B-94286F468317}"/>
    <cellStyle name="Total 2 4 3 5 8" xfId="9102" xr:uid="{9F613C0A-23F9-4014-98B3-6108CDBCEC78}"/>
    <cellStyle name="Total 2 4 3 6" xfId="2756" xr:uid="{F93F0C15-59E9-469B-A0CB-82BB859C84DC}"/>
    <cellStyle name="Total 2 4 3 6 2" xfId="3188" xr:uid="{235A25BC-18BA-43CC-AA5D-02FA62CC3CC4}"/>
    <cellStyle name="Total 2 4 3 6 2 2" xfId="4146" xr:uid="{F5D7430B-2ACB-45C4-A399-E093D5C26A0A}"/>
    <cellStyle name="Total 2 4 3 6 2 2 2" xfId="10242" xr:uid="{F89C25A8-8860-4CE7-B2AE-D5A9245F4BA7}"/>
    <cellStyle name="Total 2 4 3 6 2 3" xfId="7117" xr:uid="{10286ED1-6A85-4EF6-BB13-A0EA81C91BE8}"/>
    <cellStyle name="Total 2 4 3 6 2 3 2" xfId="12705" xr:uid="{F9E2BF50-F6BD-45E3-BBB4-5B277CDFC3D8}"/>
    <cellStyle name="Total 2 4 3 6 2 4" xfId="7778" xr:uid="{A2A8E19A-A683-4A6B-88AB-5FEBD8057FF0}"/>
    <cellStyle name="Total 2 4 3 6 2 4 2" xfId="13350" xr:uid="{E6DE7169-A21F-486E-B030-60AAFE6E996E}"/>
    <cellStyle name="Total 2 4 3 6 2 5" xfId="8270" xr:uid="{BEB7B1A8-563B-49E3-88D7-BCE436853D47}"/>
    <cellStyle name="Total 2 4 3 6 2 5 2" xfId="13842" xr:uid="{5D2203AC-C988-4907-A0B3-E062EF7190FC}"/>
    <cellStyle name="Total 2 4 3 6 2 6" xfId="9522" xr:uid="{171136FE-5DF7-4449-91C9-8746552D3D5A}"/>
    <cellStyle name="Total 2 4 3 6 3" xfId="3666" xr:uid="{215ED79B-93E9-4836-9785-D5DC63C47CF8}"/>
    <cellStyle name="Total 2 4 3 6 3 2" xfId="9882" xr:uid="{38050517-A99E-405B-A8D5-3E81C203D006}"/>
    <cellStyle name="Total 2 4 3 6 4" xfId="6123" xr:uid="{4C09C49A-1995-4486-8D8A-E6DC887A8AD0}"/>
    <cellStyle name="Total 2 4 3 6 4 2" xfId="11835" xr:uid="{79664A88-7BAF-4F64-AA15-C2841924CF86}"/>
    <cellStyle name="Total 2 4 3 6 5" xfId="6633" xr:uid="{809B204D-5525-4B87-9522-BBA7E299110C}"/>
    <cellStyle name="Total 2 4 3 6 5 2" xfId="12337" xr:uid="{354D22F1-2C96-40A2-9D53-E2FA2CEE7529}"/>
    <cellStyle name="Total 2 4 3 6 6" xfId="7377" xr:uid="{9BBADA63-ACEF-4025-814B-F71DD198076C}"/>
    <cellStyle name="Total 2 4 3 6 6 2" xfId="12949" xr:uid="{ED8DEB79-DBDC-4F22-9236-D7712AF6B236}"/>
    <cellStyle name="Total 2 4 3 6 7" xfId="7910" xr:uid="{0EE5116D-6751-4C37-A35B-F00699F64FB6}"/>
    <cellStyle name="Total 2 4 3 6 7 2" xfId="13482" xr:uid="{1EA49B24-05FF-4CD9-B254-56B456F78AFA}"/>
    <cellStyle name="Total 2 4 3 6 8" xfId="9162" xr:uid="{1C73F7D3-0C1E-41E6-B58B-093373B1A73D}"/>
    <cellStyle name="Total 2 4 3 7" xfId="2856" xr:uid="{123AC919-4494-477A-BDC2-B6C6E3291918}"/>
    <cellStyle name="Total 2 4 3 7 2" xfId="3780" xr:uid="{F6E0F78C-FECB-41CA-831F-ADD652BE0F20}"/>
    <cellStyle name="Total 2 4 3 7 2 2" xfId="9942" xr:uid="{D5D34932-870C-4D74-89F1-E52C5C0DE934}"/>
    <cellStyle name="Total 2 4 3 7 3" xfId="6751" xr:uid="{043303B3-F115-460A-B08B-29B900AFBD2D}"/>
    <cellStyle name="Total 2 4 3 7 3 2" xfId="12405" xr:uid="{6B5F5B23-4BFF-4561-9BE5-1780DB803DEF}"/>
    <cellStyle name="Total 2 4 3 7 4" xfId="7461" xr:uid="{58A5C6F7-521E-4C86-AA4A-734B9C6B0BF7}"/>
    <cellStyle name="Total 2 4 3 7 4 2" xfId="13033" xr:uid="{C2E7ABD2-371C-46F8-91F1-02263A5919C4}"/>
    <cellStyle name="Total 2 4 3 7 5" xfId="7970" xr:uid="{A342F3AB-3E52-4AA3-86AE-A218E61CA66B}"/>
    <cellStyle name="Total 2 4 3 7 5 2" xfId="13542" xr:uid="{59272986-F7FB-410D-8DA5-7BA3A861D70A}"/>
    <cellStyle name="Total 2 4 3 7 6" xfId="9222" xr:uid="{A6078D5C-2D97-4E35-BE5C-F7B585D85A5C}"/>
    <cellStyle name="Total 2 4 3 8" xfId="3300" xr:uid="{9D2AE601-E70E-48E8-BDC4-1E1504879E58}"/>
    <cellStyle name="Total 2 4 3 8 2" xfId="9582" xr:uid="{C3AF5553-216C-442A-813A-B37EBB9E956B}"/>
    <cellStyle name="Total 2 4 3 9" xfId="4467" xr:uid="{2D41664A-7486-4585-9F20-4848933BE917}"/>
    <cellStyle name="Total 2 4 3 9 2" xfId="10379" xr:uid="{F3B0CC2D-2020-424B-91FA-751E1570F486}"/>
    <cellStyle name="Total 2 4 4" xfId="8843" xr:uid="{A7BAD9D8-EF14-4B35-8619-AD1A8F53748A}"/>
    <cellStyle name="Total 2 4 5" xfId="2122" xr:uid="{BF0ECB00-97AF-4D40-B62B-E3A8942E4B82}"/>
    <cellStyle name="Total 2 5" xfId="1514" xr:uid="{2EC65FBF-DEEA-41B0-99FE-6663151A8DBE}"/>
    <cellStyle name="Total 2 5 10" xfId="4383" xr:uid="{18110C4F-1350-4990-9D2B-E7DDCD737F59}"/>
    <cellStyle name="Total 2 5 10 2" xfId="10341" xr:uid="{7C114663-69F2-4234-9896-420CC80527DD}"/>
    <cellStyle name="Total 2 5 11" xfId="4809" xr:uid="{C4C0F6DB-61B9-4A7C-B95E-571030F459FB}"/>
    <cellStyle name="Total 2 5 11 2" xfId="10655" xr:uid="{DCE54670-2FB7-4176-9025-4AA91E51AFC9}"/>
    <cellStyle name="Total 2 5 12" xfId="5411" xr:uid="{B78C998A-D3FB-4188-9BEC-60B9A57BE528}"/>
    <cellStyle name="Total 2 5 12 2" xfId="11209" xr:uid="{E33E3D82-C31E-4A98-AAE9-DCE6B4F352D9}"/>
    <cellStyle name="Total 2 5 13" xfId="5579" xr:uid="{5DBE68AE-BF6A-4873-846B-2FFA6670075D}"/>
    <cellStyle name="Total 2 5 13 2" xfId="11307" xr:uid="{FE382D55-A19A-4545-8B55-7E8027D4627B}"/>
    <cellStyle name="Total 2 5 14" xfId="5348" xr:uid="{AE3E29E4-BC41-4445-AFDB-B158D7DB559D}"/>
    <cellStyle name="Total 2 5 14 2" xfId="11180" xr:uid="{080C6AA7-C462-4C80-BA93-FADD59B86884}"/>
    <cellStyle name="Total 2 5 15" xfId="5543" xr:uid="{F2572369-2DCF-4232-B2CA-D3BD641CBA16}"/>
    <cellStyle name="Total 2 5 15 2" xfId="11271" xr:uid="{D712A423-D989-468E-876E-8CDB4552567B}"/>
    <cellStyle name="Total 2 5 16" xfId="5645" xr:uid="{2723F949-3DEE-4304-8A10-522505F0E882}"/>
    <cellStyle name="Total 2 5 16 2" xfId="11373" xr:uid="{8A29163A-FD20-4524-AF26-C8B3CE28FE8B}"/>
    <cellStyle name="Total 2 5 17" xfId="6199" xr:uid="{CAE8130F-B61B-4363-A79D-033A91750276}"/>
    <cellStyle name="Total 2 5 17 2" xfId="11903" xr:uid="{4ECD116D-DAC3-43F9-A3F0-89E7C96B0489}"/>
    <cellStyle name="Total 2 5 18" xfId="7442" xr:uid="{D38F3698-632E-466A-921D-7BC50A51266F}"/>
    <cellStyle name="Total 2 5 18 2" xfId="13014" xr:uid="{30908B84-970C-4A2F-8CC2-FB478BFB482D}"/>
    <cellStyle name="Total 2 5 19" xfId="8431" xr:uid="{A7154471-F372-4468-99CF-D114A09E8C65}"/>
    <cellStyle name="Total 2 5 19 2" xfId="13911" xr:uid="{F789CDF4-0545-4FB4-A249-B332E35D7680}"/>
    <cellStyle name="Total 2 5 2" xfId="2409" xr:uid="{91F7EC2A-9ADF-4556-87A6-B1A2875A4354}"/>
    <cellStyle name="Total 2 5 2 10" xfId="6312" xr:uid="{2976359A-D859-4594-91E0-A55217582E3A}"/>
    <cellStyle name="Total 2 5 2 10 2" xfId="12016" xr:uid="{AC696AF7-0324-4CF2-B180-0AB3AD08D3E9}"/>
    <cellStyle name="Total 2 5 2 11" xfId="7446" xr:uid="{BAFBC754-362E-410D-8125-16524264A4FB}"/>
    <cellStyle name="Total 2 5 2 11 2" xfId="13018" xr:uid="{9C073A35-97E6-4638-B525-CEB21092FFCE}"/>
    <cellStyle name="Total 2 5 2 12" xfId="8623" xr:uid="{FCF2ECE4-4CDF-435D-8384-8248B87B6F30}"/>
    <cellStyle name="Total 2 5 2 12 2" xfId="14011" xr:uid="{924E1566-6D5C-45AF-B26E-8BBBF6428E50}"/>
    <cellStyle name="Total 2 5 2 13" xfId="8971" xr:uid="{4CBCCCF5-EF67-4C8B-9E5E-EDBC6413C5FA}"/>
    <cellStyle name="Total 2 5 2 2" xfId="2997" xr:uid="{9164454B-21E8-4FF3-9950-CD6C3481652C}"/>
    <cellStyle name="Total 2 5 2 2 2" xfId="3937" xr:uid="{39A72CD0-4F44-4D51-812B-98F4204C9928}"/>
    <cellStyle name="Total 2 5 2 2 2 2" xfId="10051" xr:uid="{C9C89344-F7C4-4017-8333-D0FBCF802EC6}"/>
    <cellStyle name="Total 2 5 2 2 3" xfId="6908" xr:uid="{B9F3E78F-D449-404F-BD16-8B16145837F0}"/>
    <cellStyle name="Total 2 5 2 2 3 2" xfId="12514" xr:uid="{EBA48EE8-C440-4A39-B986-D576DD979FD3}"/>
    <cellStyle name="Total 2 5 2 2 4" xfId="7586" xr:uid="{A6280E89-9020-4A98-B810-BD4C73434FFD}"/>
    <cellStyle name="Total 2 5 2 2 4 2" xfId="13158" xr:uid="{7A794C0C-E407-4C3B-AFCD-71F8A48AE03F}"/>
    <cellStyle name="Total 2 5 2 2 5" xfId="8079" xr:uid="{57C19518-60CD-4B64-A8F7-62F26D9BB90C}"/>
    <cellStyle name="Total 2 5 2 2 5 2" xfId="13651" xr:uid="{A9AEEEDE-996A-4338-9CA7-1CD1757E7ADD}"/>
    <cellStyle name="Total 2 5 2 2 6" xfId="9331" xr:uid="{AEF422F1-9B5C-4874-ACD9-53CFAE71D7F3}"/>
    <cellStyle name="Total 2 5 2 3" xfId="3457" xr:uid="{6101D107-55DF-4605-8416-3E4221B90FAA}"/>
    <cellStyle name="Total 2 5 2 3 2" xfId="9691" xr:uid="{1256398F-E1FB-44AE-8F31-844CF32994E2}"/>
    <cellStyle name="Total 2 5 2 4" xfId="4650" xr:uid="{773D8D1F-F804-4020-A2DE-EF90D741F7FA}"/>
    <cellStyle name="Total 2 5 2 4 2" xfId="10514" xr:uid="{5800E546-BC81-492C-8820-A020372C46E5}"/>
    <cellStyle name="Total 2 5 2 5" xfId="4889" xr:uid="{2DBBAB60-14FC-482A-A13B-3BFEADAF39F9}"/>
    <cellStyle name="Total 2 5 2 5 2" xfId="10735" xr:uid="{9F74AA1C-E50B-4A20-BE70-B7FA1F14E217}"/>
    <cellStyle name="Total 2 5 2 6" xfId="5045" xr:uid="{F2B3AF49-1B59-4BFD-BB9C-D7FF63E17C6F}"/>
    <cellStyle name="Total 2 5 2 6 2" xfId="10891" xr:uid="{96A55788-C99B-4650-A790-FD17159297B0}"/>
    <cellStyle name="Total 2 5 2 7" xfId="5815" xr:uid="{16BF0291-6F93-474E-9641-58D659081BA0}"/>
    <cellStyle name="Total 2 5 2 7 2" xfId="11543" xr:uid="{0EED3A6C-6597-4E7C-910D-4B36B552EAFB}"/>
    <cellStyle name="Total 2 5 2 8" xfId="5560" xr:uid="{B2CCC486-8C5F-49A6-B8BB-269B4F75881D}"/>
    <cellStyle name="Total 2 5 2 8 2" xfId="11288" xr:uid="{3138872A-3C3A-4C42-BE98-6519A2442FFC}"/>
    <cellStyle name="Total 2 5 2 9" xfId="6352" xr:uid="{D7A28C55-4C99-4A53-AEE8-7F3038AB369C}"/>
    <cellStyle name="Total 2 5 2 9 2" xfId="12056" xr:uid="{ED10A1DC-4998-4F02-82B2-EB2530789D32}"/>
    <cellStyle name="Total 2 5 20" xfId="8871" xr:uid="{BBA2D224-61DD-4DEA-8DA9-420D0EB4C70F}"/>
    <cellStyle name="Total 2 5 21" xfId="2217" xr:uid="{44DC463E-A84F-4C41-BC4D-9EA898F4C5BA}"/>
    <cellStyle name="Total 2 5 3" xfId="2515" xr:uid="{9E5C55BD-78CE-490A-AC80-226071F62DB1}"/>
    <cellStyle name="Total 2 5 3 10" xfId="7207" xr:uid="{917441D4-B779-4C13-A6A7-28F46BD6B8FD}"/>
    <cellStyle name="Total 2 5 3 10 2" xfId="12779" xr:uid="{9E36D168-0257-422F-8C55-BB47200052F4}"/>
    <cellStyle name="Total 2 5 3 11" xfId="7266" xr:uid="{A398B954-03A2-4FC2-8233-4ABB8208502C}"/>
    <cellStyle name="Total 2 5 3 11 2" xfId="12838" xr:uid="{54CD4C50-9BA2-4DBE-AEF5-08B05D00C5D7}"/>
    <cellStyle name="Total 2 5 3 12" xfId="8729" xr:uid="{9D1D1635-0DA7-426B-8797-AA7A2054FE23}"/>
    <cellStyle name="Total 2 5 3 12 2" xfId="14085" xr:uid="{AB5F0F70-66C4-40BE-B829-C424E0583DD1}"/>
    <cellStyle name="Total 2 5 3 13" xfId="9045" xr:uid="{26D85E87-2712-4223-89FC-A50F80050974}"/>
    <cellStyle name="Total 2 5 3 2" xfId="3071" xr:uid="{07B1536A-04B6-4769-BAE1-2116BBDF2DCC}"/>
    <cellStyle name="Total 2 5 3 2 2" xfId="4011" xr:uid="{7516C5B0-DA10-4ED8-957A-DDA98A48057C}"/>
    <cellStyle name="Total 2 5 3 2 2 2" xfId="10125" xr:uid="{57AB0711-5D4D-44E8-B6DE-92E39601C7ED}"/>
    <cellStyle name="Total 2 5 3 2 3" xfId="6982" xr:uid="{30952EA1-A7C3-4611-9EA2-1D9A7AB7505F}"/>
    <cellStyle name="Total 2 5 3 2 3 2" xfId="12588" xr:uid="{EE12BA4C-D68E-4C5E-9B81-9E238262CAE3}"/>
    <cellStyle name="Total 2 5 3 2 4" xfId="7660" xr:uid="{A0FB35F8-EDA2-4385-B8C2-BF6C9B61114B}"/>
    <cellStyle name="Total 2 5 3 2 4 2" xfId="13232" xr:uid="{3C04822D-DE92-4F2B-BE12-6D48A7233CF2}"/>
    <cellStyle name="Total 2 5 3 2 5" xfId="8153" xr:uid="{C6E68814-CA03-411C-8631-36315B4615EE}"/>
    <cellStyle name="Total 2 5 3 2 5 2" xfId="13725" xr:uid="{75547BFD-CB22-4BF4-9B25-0155BDDA906B}"/>
    <cellStyle name="Total 2 5 3 2 6" xfId="9405" xr:uid="{4BCAA1B2-7FC6-4A9A-88F1-1D278A48E4FA}"/>
    <cellStyle name="Total 2 5 3 3" xfId="3531" xr:uid="{28518720-F0E6-417A-99D7-1B733525CFEB}"/>
    <cellStyle name="Total 2 5 3 3 2" xfId="9765" xr:uid="{F8E27D40-9203-470A-86E5-EE42ED4E16F9}"/>
    <cellStyle name="Total 2 5 3 4" xfId="4728" xr:uid="{4F1D79C8-011C-490E-B51E-7AFB828B174F}"/>
    <cellStyle name="Total 2 5 3 4 2" xfId="10592" xr:uid="{0772049C-C98F-407E-A4C0-F62042EDFB4C}"/>
    <cellStyle name="Total 2 5 3 5" xfId="4971" xr:uid="{52100F5E-01CB-4809-B76E-36371BA66ED2}"/>
    <cellStyle name="Total 2 5 3 5 2" xfId="10817" xr:uid="{8D2A3708-CEA9-4D11-B6FB-14208015F27D}"/>
    <cellStyle name="Total 2 5 3 6" xfId="5119" xr:uid="{22292750-E0BF-4B60-80F0-428F5A6576B0}"/>
    <cellStyle name="Total 2 5 3 6 2" xfId="10965" xr:uid="{046D16FD-B7AA-4888-BACF-7A680FD6393D}"/>
    <cellStyle name="Total 2 5 3 7" xfId="5910" xr:uid="{5320C104-7C8A-4BF6-93C7-63336D70C239}"/>
    <cellStyle name="Total 2 5 3 7 2" xfId="11638" xr:uid="{382DFD0D-85E1-400E-9DF7-363CB9700278}"/>
    <cellStyle name="Total 2 5 3 8" xfId="6240" xr:uid="{C7A1B3C1-FD7C-41EE-9270-D0D24C91D1CA}"/>
    <cellStyle name="Total 2 5 3 8 2" xfId="11944" xr:uid="{398B5896-4C6C-400E-B550-762EBAA3583C}"/>
    <cellStyle name="Total 2 5 3 9" xfId="6442" xr:uid="{7A1360AD-ACBB-4C45-B21D-548BE99BBFA5}"/>
    <cellStyle name="Total 2 5 3 9 2" xfId="12146" xr:uid="{31C3A7DF-7EAC-411A-852A-96DB4579EBBD}"/>
    <cellStyle name="Total 2 5 4" xfId="2269" xr:uid="{657524AC-9BF6-4459-BB3F-278A36ABC3E4}"/>
    <cellStyle name="Total 2 5 4 10" xfId="5302" xr:uid="{D19BD78B-B075-4A99-B8D8-614D0CB9E0A7}"/>
    <cellStyle name="Total 2 5 4 10 2" xfId="11146" xr:uid="{50DCC745-2FD4-4272-9D0E-0E1333457F0D}"/>
    <cellStyle name="Total 2 5 4 11" xfId="6314" xr:uid="{3CC2AD35-2727-4735-A419-D9B6D18FA3C7}"/>
    <cellStyle name="Total 2 5 4 11 2" xfId="12018" xr:uid="{B36A1B59-5D8A-4F87-90E4-890D24C2EA3A}"/>
    <cellStyle name="Total 2 5 4 12" xfId="8483" xr:uid="{B6FF42BE-113A-4A76-8911-4E46FC03644A}"/>
    <cellStyle name="Total 2 5 4 12 2" xfId="13963" xr:uid="{0EDBC148-FD9F-4EEB-8D97-46F0FBF7A5DE}"/>
    <cellStyle name="Total 2 5 4 13" xfId="8923" xr:uid="{ED6588DA-C377-4E60-B555-19E9CAFA426F}"/>
    <cellStyle name="Total 2 5 4 2" xfId="2949" xr:uid="{2DCFA094-1083-4150-98B5-7F69707817D6}"/>
    <cellStyle name="Total 2 5 4 2 2" xfId="3889" xr:uid="{5F653955-07AB-493F-B954-EEA19DE94DD6}"/>
    <cellStyle name="Total 2 5 4 2 2 2" xfId="10003" xr:uid="{34824DD7-08D0-40B0-8F46-5691EF416BF6}"/>
    <cellStyle name="Total 2 5 4 2 3" xfId="6860" xr:uid="{D1780794-70EE-4DFC-A184-0358B92532DE}"/>
    <cellStyle name="Total 2 5 4 2 3 2" xfId="12466" xr:uid="{E7A1D8A4-BF94-4050-85A5-C1E5766DC242}"/>
    <cellStyle name="Total 2 5 4 2 4" xfId="7538" xr:uid="{D39EA20B-2501-485A-89D4-FA51C532E460}"/>
    <cellStyle name="Total 2 5 4 2 4 2" xfId="13110" xr:uid="{BB7B23E3-54FF-4518-9098-AC96F0662FC1}"/>
    <cellStyle name="Total 2 5 4 2 5" xfId="8031" xr:uid="{29814D85-0A6B-46F7-94A5-8C497C699287}"/>
    <cellStyle name="Total 2 5 4 2 5 2" xfId="13603" xr:uid="{7EF56F21-32FA-432A-85B5-298A581E29C0}"/>
    <cellStyle name="Total 2 5 4 2 6" xfId="9283" xr:uid="{FBAB05C5-006B-4AE2-9C65-C0F51BFB3EF2}"/>
    <cellStyle name="Total 2 5 4 3" xfId="3409" xr:uid="{ECC6CA1C-0793-4CC2-8762-F4A60F188DA6}"/>
    <cellStyle name="Total 2 5 4 3 2" xfId="9643" xr:uid="{88D50B81-5314-4EE3-ACF5-5C6FB0F894AF}"/>
    <cellStyle name="Total 2 5 4 4" xfId="4576" xr:uid="{5FBCD82D-9E7A-4203-9B8B-91915008FDB4}"/>
    <cellStyle name="Total 2 5 4 4 2" xfId="10440" xr:uid="{E24E6181-7DAF-4DC9-ADD4-EB88B2E216AF}"/>
    <cellStyle name="Total 2 5 4 5" xfId="4821" xr:uid="{2C40AFEE-4BD5-4890-9D01-350C51C79FF4}"/>
    <cellStyle name="Total 2 5 4 5 2" xfId="10667" xr:uid="{E6A90314-0992-419B-A8A4-2C89AA7134B0}"/>
    <cellStyle name="Total 2 5 4 6" xfId="4610" xr:uid="{517F86CD-7FA9-4B16-BC96-E8E5554ADA4C}"/>
    <cellStyle name="Total 2 5 4 6 2" xfId="10474" xr:uid="{55AC47CB-3541-4045-80C1-AEC2C48786C2}"/>
    <cellStyle name="Total 2 5 4 7" xfId="5707" xr:uid="{B4C3B261-1E64-41FD-ADA1-B876903B253B}"/>
    <cellStyle name="Total 2 5 4 7 2" xfId="11435" xr:uid="{8F75C2AF-B832-4521-8176-B73058F5495F}"/>
    <cellStyle name="Total 2 5 4 8" xfId="5793" xr:uid="{378400F3-D07A-40E6-86B8-5AF83F4B71E1}"/>
    <cellStyle name="Total 2 5 4 8 2" xfId="11521" xr:uid="{5A38AC61-5D75-4FD2-82BF-CA35B5374C15}"/>
    <cellStyle name="Total 2 5 4 9" xfId="5172" xr:uid="{CD0F91BC-3278-4045-B19A-1A09F3FDFFBD}"/>
    <cellStyle name="Total 2 5 4 9 2" xfId="11018" xr:uid="{3C08DA4D-97BD-4A17-BD8A-B9BB4EBBF93A}"/>
    <cellStyle name="Total 2 5 5" xfId="2673" xr:uid="{4C32B303-D4A4-47B6-B142-796B333402E3}"/>
    <cellStyle name="Total 2 5 5 2" xfId="3137" xr:uid="{BCE54EE2-A634-450F-AA31-0DB3F59B92DD}"/>
    <cellStyle name="Total 2 5 5 2 2" xfId="4095" xr:uid="{E98DB3C9-9ADC-4523-9E87-19115754067C}"/>
    <cellStyle name="Total 2 5 5 2 2 2" xfId="10191" xr:uid="{23E5A8FA-A462-455A-91CC-55C207B6FF11}"/>
    <cellStyle name="Total 2 5 5 2 3" xfId="7066" xr:uid="{B7159284-0C64-4084-8A09-A9D8F87D1B27}"/>
    <cellStyle name="Total 2 5 5 2 3 2" xfId="12654" xr:uid="{A0015468-39BE-46DA-864B-0FAE407506CB}"/>
    <cellStyle name="Total 2 5 5 2 4" xfId="7727" xr:uid="{9B1A3086-2564-4250-ADA5-EB67C6970EF8}"/>
    <cellStyle name="Total 2 5 5 2 4 2" xfId="13299" xr:uid="{0872CFD7-6FFA-4D6E-B996-5ABDBF70F12D}"/>
    <cellStyle name="Total 2 5 5 2 5" xfId="8219" xr:uid="{5085F9D7-FFBB-463A-8B5C-E507BDA3F3C0}"/>
    <cellStyle name="Total 2 5 5 2 5 2" xfId="13791" xr:uid="{1CBE5DA6-38CC-4AF7-8079-849F06F7BAE6}"/>
    <cellStyle name="Total 2 5 5 2 6" xfId="9471" xr:uid="{321FB1C8-817E-4C05-B0CD-2C94E1714B85}"/>
    <cellStyle name="Total 2 5 5 3" xfId="3615" xr:uid="{B07394A3-C84F-41B4-BB78-07D7A7A00054}"/>
    <cellStyle name="Total 2 5 5 3 2" xfId="9831" xr:uid="{7DF6092F-1E85-4B18-8BE1-D580BF07ECFC}"/>
    <cellStyle name="Total 2 5 5 4" xfId="6052" xr:uid="{1BAE6442-A627-4977-B485-077CA6409087}"/>
    <cellStyle name="Total 2 5 5 4 2" xfId="11764" xr:uid="{E5C442F4-25C6-432B-A112-B75E421F7CCD}"/>
    <cellStyle name="Total 2 5 5 5" xfId="6570" xr:uid="{5A63C8BF-07CC-475F-A877-2981998448F7}"/>
    <cellStyle name="Total 2 5 5 5 2" xfId="12274" xr:uid="{7F746BF2-E3ED-4123-BD29-417D153F1FAE}"/>
    <cellStyle name="Total 2 5 5 6" xfId="7324" xr:uid="{1FB20B2A-5433-4F0E-874A-D7CDC149C315}"/>
    <cellStyle name="Total 2 5 5 6 2" xfId="12896" xr:uid="{1DBC8BC1-9455-4D6F-96CC-077883155620}"/>
    <cellStyle name="Total 2 5 5 7" xfId="7859" xr:uid="{547D9B1A-4701-4DB1-BCFF-A03E305E1FBB}"/>
    <cellStyle name="Total 2 5 5 7 2" xfId="13431" xr:uid="{1E74E7E1-3418-40EB-A045-9C53E1A5398C}"/>
    <cellStyle name="Total 2 5 5 8" xfId="9111" xr:uid="{38BD1F9F-2C77-40D4-96EC-1D099959FBC8}"/>
    <cellStyle name="Total 2 5 6" xfId="2765" xr:uid="{B9951137-6198-4664-91CE-C85AC572D525}"/>
    <cellStyle name="Total 2 5 6 2" xfId="3197" xr:uid="{ED8E9AD7-2DA8-4C7C-8EA1-326767ACEAD9}"/>
    <cellStyle name="Total 2 5 6 2 2" xfId="4155" xr:uid="{18FDDE65-353F-4C09-B673-0E0F15FAD568}"/>
    <cellStyle name="Total 2 5 6 2 2 2" xfId="10251" xr:uid="{7302D28F-1B7A-41E2-8AAF-38A5D4A0F843}"/>
    <cellStyle name="Total 2 5 6 2 3" xfId="7126" xr:uid="{6DEF01AA-37F8-45B3-9FE3-B43E1E880851}"/>
    <cellStyle name="Total 2 5 6 2 3 2" xfId="12714" xr:uid="{A6834C0D-CE25-4230-81F2-706C022D271E}"/>
    <cellStyle name="Total 2 5 6 2 4" xfId="7787" xr:uid="{94C97274-49E6-4C3B-B7E1-BA163A127B09}"/>
    <cellStyle name="Total 2 5 6 2 4 2" xfId="13359" xr:uid="{08C6E29F-B38D-4066-A7FE-B8B8CB04C8BC}"/>
    <cellStyle name="Total 2 5 6 2 5" xfId="8279" xr:uid="{D3755910-D077-4373-ABDD-CF2D0EB5498A}"/>
    <cellStyle name="Total 2 5 6 2 5 2" xfId="13851" xr:uid="{C89CE947-C785-4471-AFCB-04001B378ADE}"/>
    <cellStyle name="Total 2 5 6 2 6" xfId="9531" xr:uid="{44D44741-C724-4DD5-8E32-60A175B5CBC8}"/>
    <cellStyle name="Total 2 5 6 3" xfId="3675" xr:uid="{DB4A19A5-C1FF-451B-9571-C146F097CA96}"/>
    <cellStyle name="Total 2 5 6 3 2" xfId="9891" xr:uid="{C995846C-5FCB-43C6-8E71-2951B09D5935}"/>
    <cellStyle name="Total 2 5 6 4" xfId="6132" xr:uid="{6F538FDA-726A-4943-A470-6A8251A15568}"/>
    <cellStyle name="Total 2 5 6 4 2" xfId="11844" xr:uid="{C5056FA8-8A83-4B8A-B5B0-DED4549EF5FA}"/>
    <cellStyle name="Total 2 5 6 5" xfId="6642" xr:uid="{F0DCDC07-E16E-4A32-85D0-74A5D793F7E0}"/>
    <cellStyle name="Total 2 5 6 5 2" xfId="12346" xr:uid="{45222B28-BE4C-4443-9C15-8389A09131C2}"/>
    <cellStyle name="Total 2 5 6 6" xfId="7386" xr:uid="{71D7384F-421C-4AE2-97B1-2CEC6E8F03A5}"/>
    <cellStyle name="Total 2 5 6 6 2" xfId="12958" xr:uid="{423B6FC8-C7F8-4419-8E33-6738684344B8}"/>
    <cellStyle name="Total 2 5 6 7" xfId="7919" xr:uid="{1CF1126F-BCA4-4730-B2C1-C96978C05102}"/>
    <cellStyle name="Total 2 5 6 7 2" xfId="13491" xr:uid="{BBA31E0D-E282-4BA1-8E86-757DC46DE2CB}"/>
    <cellStyle name="Total 2 5 6 8" xfId="9171" xr:uid="{BAB7DC6A-85DF-4D98-B159-A9E1F24D6B44}"/>
    <cellStyle name="Total 2 5 7" xfId="2865" xr:uid="{26DDF031-DFB2-49FE-BADE-578B32B4A7F5}"/>
    <cellStyle name="Total 2 5 7 2" xfId="3789" xr:uid="{28B528B7-4973-4B34-8C76-8ABC9FD77C5D}"/>
    <cellStyle name="Total 2 5 7 2 2" xfId="9951" xr:uid="{CEC07CA6-D6F2-4482-BC94-B84D7D6F0325}"/>
    <cellStyle name="Total 2 5 7 3" xfId="6760" xr:uid="{A463E03E-14D4-4896-B4A9-C9D46BBD5888}"/>
    <cellStyle name="Total 2 5 7 3 2" xfId="12414" xr:uid="{178FD898-E6B6-4767-B27B-3AD9AD2D0DDC}"/>
    <cellStyle name="Total 2 5 7 4" xfId="7470" xr:uid="{5F524F2E-AA9E-417A-A1EB-A1777D77CF5D}"/>
    <cellStyle name="Total 2 5 7 4 2" xfId="13042" xr:uid="{2B968CDA-97E1-4846-83A8-C075AC8E4886}"/>
    <cellStyle name="Total 2 5 7 5" xfId="7979" xr:uid="{14144BA8-2061-48B6-8902-CB821A99A053}"/>
    <cellStyle name="Total 2 5 7 5 2" xfId="13551" xr:uid="{3C3416C3-6D10-4063-B5DC-6591D0EA500F}"/>
    <cellStyle name="Total 2 5 7 6" xfId="9231" xr:uid="{34D3FA3E-8A7E-4E98-8E45-CA8247F45D7A}"/>
    <cellStyle name="Total 2 5 8" xfId="3309" xr:uid="{665B0121-DCBD-4D70-81C1-82A335DC160B}"/>
    <cellStyle name="Total 2 5 8 2" xfId="9591" xr:uid="{F1FEB723-110D-4704-A523-B1CCEDD4CB03}"/>
    <cellStyle name="Total 2 5 9" xfId="4476" xr:uid="{90B8859D-A176-446A-B5A8-F7702BF5FD2E}"/>
    <cellStyle name="Total 2 5 9 2" xfId="10388" xr:uid="{25E14FC9-E9DD-40F3-A92A-CAFF45B5F9A7}"/>
    <cellStyle name="Total 2 6" xfId="2237" xr:uid="{81AF6CCE-FDF6-4A52-B42D-50737AC1BBC2}"/>
    <cellStyle name="Total 2 6 10" xfId="4375" xr:uid="{993E46B8-B137-4B22-BC3C-A2956E176CDC}"/>
    <cellStyle name="Total 2 6 10 2" xfId="10335" xr:uid="{B0C6EBAD-3399-4B30-89B8-7DE335E2A831}"/>
    <cellStyle name="Total 2 6 11" xfId="4798" xr:uid="{CC14EC0F-A0AE-403D-A990-CD88096EA58D}"/>
    <cellStyle name="Total 2 6 11 2" xfId="10644" xr:uid="{92AF124C-7AEC-4BC9-BB45-4B6A046AE682}"/>
    <cellStyle name="Total 2 6 12" xfId="5435" xr:uid="{B66B5DF9-2EBE-44EB-9A74-55AF22A43127}"/>
    <cellStyle name="Total 2 6 12 2" xfId="11229" xr:uid="{C33908D7-6340-4952-BAD6-5D0A796F2B7E}"/>
    <cellStyle name="Total 2 6 13" xfId="5603" xr:uid="{E51D45C9-79D7-4275-B31D-E26066D447A8}"/>
    <cellStyle name="Total 2 6 13 2" xfId="11331" xr:uid="{386A68D6-D4FF-4B12-9298-10E85CAD8D4B}"/>
    <cellStyle name="Total 2 6 14" xfId="5304" xr:uid="{DA36D817-E91A-43CD-9E61-8EB8EDA6FBE1}"/>
    <cellStyle name="Total 2 6 14 2" xfId="11148" xr:uid="{5F50D1F8-796B-413C-9E9E-4F56E1C2B138}"/>
    <cellStyle name="Total 2 6 15" xfId="5889" xr:uid="{4B5C7981-12B8-44D4-8AAB-987BE23C3BB7}"/>
    <cellStyle name="Total 2 6 15 2" xfId="11617" xr:uid="{AE6FB877-2B7F-467B-9C40-F89644762EDE}"/>
    <cellStyle name="Total 2 6 16" xfId="5757" xr:uid="{BFB350E8-221B-4D86-BAD2-F4D76914D65F}"/>
    <cellStyle name="Total 2 6 16 2" xfId="11485" xr:uid="{0A001B6F-AF4C-4F76-A515-81164200FEE6}"/>
    <cellStyle name="Total 2 6 17" xfId="6299" xr:uid="{E6308276-CF4F-421B-8F11-B18C5D6E9B2B}"/>
    <cellStyle name="Total 2 6 17 2" xfId="12003" xr:uid="{0810AA66-E0B8-4EBF-901E-CA9CDF2CCCB4}"/>
    <cellStyle name="Total 2 6 18" xfId="7285" xr:uid="{1F7C42FA-E0ED-43A9-B45D-A6741A36F613}"/>
    <cellStyle name="Total 2 6 18 2" xfId="12857" xr:uid="{1C3F3C3E-87C2-46B1-B35D-498B656F0B37}"/>
    <cellStyle name="Total 2 6 19" xfId="8451" xr:uid="{EBB06577-D0EB-4DE6-90CD-59D5A63556C5}"/>
    <cellStyle name="Total 2 6 19 2" xfId="13931" xr:uid="{96D92B97-D4ED-4CED-9193-42BBDDCF334B}"/>
    <cellStyle name="Total 2 6 2" xfId="2431" xr:uid="{009C7566-C19D-4E7D-AAD1-8A9102B10B7E}"/>
    <cellStyle name="Total 2 6 2 10" xfId="6207" xr:uid="{7D235A1F-5047-4980-86F5-96CE9955F32B}"/>
    <cellStyle name="Total 2 6 2 10 2" xfId="11911" xr:uid="{F379E2AA-EBB9-4A1D-A4E1-EF7BBC03D06E}"/>
    <cellStyle name="Total 2 6 2 11" xfId="6309" xr:uid="{A9BEFEE8-857F-4CC3-9EEF-06831811FEB0}"/>
    <cellStyle name="Total 2 6 2 11 2" xfId="12013" xr:uid="{8A297710-5185-40A6-8A84-9E17679048E8}"/>
    <cellStyle name="Total 2 6 2 12" xfId="8645" xr:uid="{E214B6D2-2D10-4006-BE40-865A04668537}"/>
    <cellStyle name="Total 2 6 2 12 2" xfId="14033" xr:uid="{91BF7BC0-5CD2-4E58-83E5-C3E4C9390AE4}"/>
    <cellStyle name="Total 2 6 2 13" xfId="8993" xr:uid="{58B9CB5A-6116-4D6A-8497-1B96952C6C94}"/>
    <cellStyle name="Total 2 6 2 2" xfId="3019" xr:uid="{78AD9616-224A-4428-A461-20C9F3998A55}"/>
    <cellStyle name="Total 2 6 2 2 2" xfId="3959" xr:uid="{4AD49519-AD9B-4EB2-A140-9BD600D85BAC}"/>
    <cellStyle name="Total 2 6 2 2 2 2" xfId="10073" xr:uid="{49EA080D-84AE-4D6E-87D8-7A08BFCD1191}"/>
    <cellStyle name="Total 2 6 2 2 3" xfId="6930" xr:uid="{32E65810-70DE-4E83-8A21-B66C2493BEF4}"/>
    <cellStyle name="Total 2 6 2 2 3 2" xfId="12536" xr:uid="{E9B77005-D87F-4DCA-838B-0D915E3D2338}"/>
    <cellStyle name="Total 2 6 2 2 4" xfId="7608" xr:uid="{F79B0957-EE01-49DE-96C1-A11C53C00E1F}"/>
    <cellStyle name="Total 2 6 2 2 4 2" xfId="13180" xr:uid="{E5ECC8A6-9D76-46E0-9497-9D6EB05B6E4E}"/>
    <cellStyle name="Total 2 6 2 2 5" xfId="8101" xr:uid="{CF819B74-24DA-4BFA-A349-9B71E0252008}"/>
    <cellStyle name="Total 2 6 2 2 5 2" xfId="13673" xr:uid="{6177C848-A416-43F7-B62D-430B376D1010}"/>
    <cellStyle name="Total 2 6 2 2 6" xfId="9353" xr:uid="{C41FF2CD-5DB5-4C11-97EE-36AA429CC58F}"/>
    <cellStyle name="Total 2 6 2 3" xfId="3479" xr:uid="{FB1308BA-C6C6-46CD-992C-7A8F2D7CAD4A}"/>
    <cellStyle name="Total 2 6 2 3 2" xfId="9713" xr:uid="{A104D892-582F-455E-8A01-2FADF7F381A0}"/>
    <cellStyle name="Total 2 6 2 4" xfId="4672" xr:uid="{4DDDDED4-E6CA-4790-A280-A0778B5A47D4}"/>
    <cellStyle name="Total 2 6 2 4 2" xfId="10536" xr:uid="{8710E781-F126-4AD4-8360-EBBA92E456C3}"/>
    <cellStyle name="Total 2 6 2 5" xfId="4911" xr:uid="{FDFF6444-E65D-4297-84DB-9D61CE7BA4D9}"/>
    <cellStyle name="Total 2 6 2 5 2" xfId="10757" xr:uid="{0AE9D6CE-0D75-48C7-8546-ACB371E7C246}"/>
    <cellStyle name="Total 2 6 2 6" xfId="5067" xr:uid="{F0E1ACE4-C283-43F9-836A-07AEE76DD32C}"/>
    <cellStyle name="Total 2 6 2 6 2" xfId="10913" xr:uid="{D9104F19-C0AE-40BB-8DFB-C0500EFB825A}"/>
    <cellStyle name="Total 2 6 2 7" xfId="5837" xr:uid="{0F46440F-08D0-4043-A0CA-8BE28601F310}"/>
    <cellStyle name="Total 2 6 2 7 2" xfId="11565" xr:uid="{87AF5927-E041-45AF-8C78-048C765345EF}"/>
    <cellStyle name="Total 2 6 2 8" xfId="5319" xr:uid="{46940DF0-025D-49E2-818B-3271ECB11568}"/>
    <cellStyle name="Total 2 6 2 8 2" xfId="11163" xr:uid="{674A3C1C-765E-4B9F-9919-0506984F962C}"/>
    <cellStyle name="Total 2 6 2 9" xfId="6374" xr:uid="{AB01EE4B-2C7C-4EAF-A9A1-E4D5020796D7}"/>
    <cellStyle name="Total 2 6 2 9 2" xfId="12078" xr:uid="{D961EEDC-5525-425F-A325-BE122F369B19}"/>
    <cellStyle name="Total 2 6 20" xfId="8891" xr:uid="{17AF84C2-6C06-421D-A836-EEADA1E079CD}"/>
    <cellStyle name="Total 2 6 3" xfId="2536" xr:uid="{18C09808-B929-4D6B-A475-40F0C5B42E90}"/>
    <cellStyle name="Total 2 6 3 10" xfId="7228" xr:uid="{629DC098-D286-477B-B1E3-EED98CB2D381}"/>
    <cellStyle name="Total 2 6 3 10 2" xfId="12800" xr:uid="{AB917FF5-776E-4284-9FC7-15C19654712E}"/>
    <cellStyle name="Total 2 6 3 11" xfId="6534" xr:uid="{CE391D99-229C-4027-B631-B2C587CF4EB2}"/>
    <cellStyle name="Total 2 6 3 11 2" xfId="12238" xr:uid="{370F43B9-FE97-48C0-B8CE-E7490B9417C2}"/>
    <cellStyle name="Total 2 6 3 12" xfId="8750" xr:uid="{563CF859-9E69-49A9-824A-6C899F5966B1}"/>
    <cellStyle name="Total 2 6 3 12 2" xfId="14106" xr:uid="{4C32EEC6-71D9-40C5-9EAA-823CB48E49A1}"/>
    <cellStyle name="Total 2 6 3 13" xfId="9066" xr:uid="{391324AB-7F14-46DB-82E3-4BC03280CCC3}"/>
    <cellStyle name="Total 2 6 3 2" xfId="3092" xr:uid="{0082B1EF-415B-4625-86F1-C3D0B09F5ECC}"/>
    <cellStyle name="Total 2 6 3 2 2" xfId="4032" xr:uid="{714A2338-867E-4193-A5CD-DF85662F2554}"/>
    <cellStyle name="Total 2 6 3 2 2 2" xfId="10146" xr:uid="{0386A25E-03BA-408D-B565-FBEF1B8E0B54}"/>
    <cellStyle name="Total 2 6 3 2 3" xfId="7003" xr:uid="{720402E4-8455-4DA5-A885-046AB57D9D69}"/>
    <cellStyle name="Total 2 6 3 2 3 2" xfId="12609" xr:uid="{022D582F-1420-4EF2-8F54-679EAAD6C4A7}"/>
    <cellStyle name="Total 2 6 3 2 4" xfId="7681" xr:uid="{EE690A7D-7EE0-4F2B-A7FA-F5C19703CB74}"/>
    <cellStyle name="Total 2 6 3 2 4 2" xfId="13253" xr:uid="{E31AB4A6-A6A7-45EA-B1B0-02BEB1FBA353}"/>
    <cellStyle name="Total 2 6 3 2 5" xfId="8174" xr:uid="{711EEDCF-0573-4B7B-B0B2-DBACD154D909}"/>
    <cellStyle name="Total 2 6 3 2 5 2" xfId="13746" xr:uid="{6F8CABA9-2946-4C84-98F3-719EC619B258}"/>
    <cellStyle name="Total 2 6 3 2 6" xfId="9426" xr:uid="{8B530FEE-63C9-4257-8E1E-FDC73B166BF3}"/>
    <cellStyle name="Total 2 6 3 3" xfId="3552" xr:uid="{EB07B55D-949B-49C4-8433-7A2B661B85FF}"/>
    <cellStyle name="Total 2 6 3 3 2" xfId="9786" xr:uid="{91510865-30AA-4BDC-9474-9F082618AD27}"/>
    <cellStyle name="Total 2 6 3 4" xfId="4749" xr:uid="{BF335108-C294-46BE-B54C-FF25C8273219}"/>
    <cellStyle name="Total 2 6 3 4 2" xfId="10613" xr:uid="{03CD6470-CB51-44E1-BF03-093C6BC9C6C8}"/>
    <cellStyle name="Total 2 6 3 5" xfId="4992" xr:uid="{638C0E0F-C908-416C-B63C-B22B5F380F2B}"/>
    <cellStyle name="Total 2 6 3 5 2" xfId="10838" xr:uid="{CAA14E04-499A-4429-A7E3-17BF9EC136D2}"/>
    <cellStyle name="Total 2 6 3 6" xfId="5140" xr:uid="{F992F540-6696-4E68-AD39-BF3DA9E9BB98}"/>
    <cellStyle name="Total 2 6 3 6 2" xfId="10986" xr:uid="{5767BE78-2275-485B-AD63-A69E3BCAEEDD}"/>
    <cellStyle name="Total 2 6 3 7" xfId="5931" xr:uid="{DD90233C-CD28-4071-A551-20AAA95389DA}"/>
    <cellStyle name="Total 2 6 3 7 2" xfId="11659" xr:uid="{2B6A4263-DDC1-4CFB-992B-99FC92372EA5}"/>
    <cellStyle name="Total 2 6 3 8" xfId="6261" xr:uid="{33B76AFD-F66F-457F-8CFC-F6268F86ECD4}"/>
    <cellStyle name="Total 2 6 3 8 2" xfId="11965" xr:uid="{9063D769-3331-4BDA-843D-10097603C1D2}"/>
    <cellStyle name="Total 2 6 3 9" xfId="6463" xr:uid="{D64B5BFB-5675-4529-993B-EE7498C3452A}"/>
    <cellStyle name="Total 2 6 3 9 2" xfId="12167" xr:uid="{14B4116C-494E-4A3A-B6F5-2945EDF5FA80}"/>
    <cellStyle name="Total 2 6 4" xfId="2388" xr:uid="{21340B64-8617-4CAD-B395-AF4FC8A0BD01}"/>
    <cellStyle name="Total 2 6 4 10" xfId="6532" xr:uid="{430E628A-78A4-4984-86F7-AB655D28BCA1}"/>
    <cellStyle name="Total 2 6 4 10 2" xfId="12236" xr:uid="{488E6799-CFCC-44DD-B3EF-5F68A1AD5D57}"/>
    <cellStyle name="Total 2 6 4 11" xfId="7526" xr:uid="{A76F579D-D134-40A4-911B-54E6F4842E55}"/>
    <cellStyle name="Total 2 6 4 11 2" xfId="13098" xr:uid="{56115510-CE22-44DE-8931-8F5C2F632F16}"/>
    <cellStyle name="Total 2 6 4 12" xfId="8602" xr:uid="{B7712A8F-E3DD-4D96-93A2-178A15587576}"/>
    <cellStyle name="Total 2 6 4 12 2" xfId="13990" xr:uid="{B9C125ED-B903-48BF-B9D7-1CE9AC434452}"/>
    <cellStyle name="Total 2 6 4 13" xfId="8950" xr:uid="{21F4EF42-0E75-48FB-A8E2-7C247784FA4D}"/>
    <cellStyle name="Total 2 6 4 2" xfId="2976" xr:uid="{1DFBE367-2815-4B49-9F13-3D5688298DC6}"/>
    <cellStyle name="Total 2 6 4 2 2" xfId="3916" xr:uid="{CA6F813A-6BBC-4F92-82F4-8CC47BC4B98E}"/>
    <cellStyle name="Total 2 6 4 2 2 2" xfId="10030" xr:uid="{FD395EA9-23C1-4537-AB0A-1326DCBE4937}"/>
    <cellStyle name="Total 2 6 4 2 3" xfId="6887" xr:uid="{22F4BB19-1306-49AD-83FE-D835C355517E}"/>
    <cellStyle name="Total 2 6 4 2 3 2" xfId="12493" xr:uid="{7B0DD7D0-84B8-487A-B4FC-900574E52C89}"/>
    <cellStyle name="Total 2 6 4 2 4" xfId="7565" xr:uid="{9234E57A-3812-470C-B4E5-B2F29558A321}"/>
    <cellStyle name="Total 2 6 4 2 4 2" xfId="13137" xr:uid="{8A128FF2-8C22-4B81-8CD7-A51F9A6AD48F}"/>
    <cellStyle name="Total 2 6 4 2 5" xfId="8058" xr:uid="{75B88199-2035-41F1-BD6C-B4A184C27751}"/>
    <cellStyle name="Total 2 6 4 2 5 2" xfId="13630" xr:uid="{B7C86076-744F-4000-BB35-43009729DC8A}"/>
    <cellStyle name="Total 2 6 4 2 6" xfId="9310" xr:uid="{5454EB15-4DBB-4451-AD9C-55046CDA1EF8}"/>
    <cellStyle name="Total 2 6 4 3" xfId="3436" xr:uid="{BF3265CE-2C6A-4895-BFCF-3A22805FBE27}"/>
    <cellStyle name="Total 2 6 4 3 2" xfId="9670" xr:uid="{DA4EDA73-48CE-47A3-9F1E-867DE644CE6B}"/>
    <cellStyle name="Total 2 6 4 4" xfId="4629" xr:uid="{788CFB18-6DD5-44F8-9695-C21FED511DC9}"/>
    <cellStyle name="Total 2 6 4 4 2" xfId="10493" xr:uid="{E675994F-84AD-4350-87AD-77E44B54DD04}"/>
    <cellStyle name="Total 2 6 4 5" xfId="4868" xr:uid="{AAFBDD90-5025-42D2-9C0F-51EB4F862C2B}"/>
    <cellStyle name="Total 2 6 4 5 2" xfId="10714" xr:uid="{70E0D55B-DCA1-460A-9A99-72D182E0E213}"/>
    <cellStyle name="Total 2 6 4 6" xfId="5024" xr:uid="{F33D9D04-51B5-4BBC-9E5A-E9E796252AD9}"/>
    <cellStyle name="Total 2 6 4 6 2" xfId="10870" xr:uid="{42EC35F8-0697-49B0-8687-2D2ABAAA8439}"/>
    <cellStyle name="Total 2 6 4 7" xfId="5794" xr:uid="{DCC25FE7-4D39-4E29-85C7-23C2F83C6D14}"/>
    <cellStyle name="Total 2 6 4 7 2" xfId="11522" xr:uid="{85E4FA41-89DC-4A90-902C-BBF65125A1DF}"/>
    <cellStyle name="Total 2 6 4 8" xfId="5542" xr:uid="{909AA6FE-55A8-488D-B08C-3321A254AC84}"/>
    <cellStyle name="Total 2 6 4 8 2" xfId="11270" xr:uid="{C1B1BC02-B9D7-4813-958F-A97DDCE6FE1D}"/>
    <cellStyle name="Total 2 6 4 9" xfId="6331" xr:uid="{73040103-63EB-4284-9B33-325DEA060B25}"/>
    <cellStyle name="Total 2 6 4 9 2" xfId="12035" xr:uid="{94B0E6BF-9602-4F31-9D8F-5052F1A49B97}"/>
    <cellStyle name="Total 2 6 5" xfId="2693" xr:uid="{E55E9E22-59C6-4DAE-9437-85199BB05107}"/>
    <cellStyle name="Total 2 6 5 2" xfId="3157" xr:uid="{41B7D79E-2B1B-4DB1-808E-BA73A19F8A10}"/>
    <cellStyle name="Total 2 6 5 2 2" xfId="4115" xr:uid="{04A138F0-6132-45F2-A04C-638042042798}"/>
    <cellStyle name="Total 2 6 5 2 2 2" xfId="10211" xr:uid="{D745D675-FB52-4849-BD85-2FEE6325D390}"/>
    <cellStyle name="Total 2 6 5 2 3" xfId="7086" xr:uid="{6B76A41C-1AB6-44FC-9125-E3C638452A23}"/>
    <cellStyle name="Total 2 6 5 2 3 2" xfId="12674" xr:uid="{0193E23D-578E-4CFC-A64D-D26D9A0E4DA2}"/>
    <cellStyle name="Total 2 6 5 2 4" xfId="7747" xr:uid="{E5577C69-1A8B-42CD-AF60-DBF4DEB0FBDC}"/>
    <cellStyle name="Total 2 6 5 2 4 2" xfId="13319" xr:uid="{0E73F5A6-F34A-46F3-88FF-5605009D1C7C}"/>
    <cellStyle name="Total 2 6 5 2 5" xfId="8239" xr:uid="{D42B6502-E356-44BE-ABFB-C05370F4B85A}"/>
    <cellStyle name="Total 2 6 5 2 5 2" xfId="13811" xr:uid="{181BF4F7-053B-4429-9009-2E5B30DDDD90}"/>
    <cellStyle name="Total 2 6 5 2 6" xfId="9491" xr:uid="{8FB3720D-4799-4B7A-BC86-54606D1B1D93}"/>
    <cellStyle name="Total 2 6 5 3" xfId="3635" xr:uid="{2099C408-BC16-490D-9A52-E92053CC91DC}"/>
    <cellStyle name="Total 2 6 5 3 2" xfId="9851" xr:uid="{41746167-DF8D-4B99-96E8-2D9D16D6CF70}"/>
    <cellStyle name="Total 2 6 5 4" xfId="6072" xr:uid="{51720F3A-326A-4C6F-8825-62D73267E9CC}"/>
    <cellStyle name="Total 2 6 5 4 2" xfId="11784" xr:uid="{34FE07CF-1098-40AD-906A-607B64053EBD}"/>
    <cellStyle name="Total 2 6 5 5" xfId="6590" xr:uid="{B81F90A4-5976-4959-AE88-03BB6D062377}"/>
    <cellStyle name="Total 2 6 5 5 2" xfId="12294" xr:uid="{38C78793-A42A-4E6F-8D47-B9725F77E8BE}"/>
    <cellStyle name="Total 2 6 5 6" xfId="7344" xr:uid="{CFB3AB09-2CD2-4CC4-8505-FF2E56CD1602}"/>
    <cellStyle name="Total 2 6 5 6 2" xfId="12916" xr:uid="{45D5AA92-26FF-41CE-89CA-37F09F56CE1D}"/>
    <cellStyle name="Total 2 6 5 7" xfId="7879" xr:uid="{96F046D9-CFC9-4CC0-84EA-70FD40B23097}"/>
    <cellStyle name="Total 2 6 5 7 2" xfId="13451" xr:uid="{DE35CF45-8A63-4A13-BD16-D10E6D3EA7AA}"/>
    <cellStyle name="Total 2 6 5 8" xfId="9131" xr:uid="{2B17E114-E662-4330-AEE1-F5B31B770FD7}"/>
    <cellStyle name="Total 2 6 6" xfId="2785" xr:uid="{5CBF5E8C-3571-431F-A740-7E131CDA492C}"/>
    <cellStyle name="Total 2 6 6 2" xfId="3217" xr:uid="{C3368A21-1195-486A-9A64-773017F593E8}"/>
    <cellStyle name="Total 2 6 6 2 2" xfId="4175" xr:uid="{9D0A08BE-45B8-4595-8546-17BDB77D91B1}"/>
    <cellStyle name="Total 2 6 6 2 2 2" xfId="10271" xr:uid="{8EABE8D5-B242-4272-BF0E-A759FA3BFA16}"/>
    <cellStyle name="Total 2 6 6 2 3" xfId="7146" xr:uid="{8769DB3A-9120-4AC5-9B73-7F7D0F26938F}"/>
    <cellStyle name="Total 2 6 6 2 3 2" xfId="12734" xr:uid="{E43E1EE5-8373-4241-8D81-CCAB838D7A87}"/>
    <cellStyle name="Total 2 6 6 2 4" xfId="7807" xr:uid="{578DE270-2B8F-4774-B681-61CCFF2D81BE}"/>
    <cellStyle name="Total 2 6 6 2 4 2" xfId="13379" xr:uid="{5B8CE62B-EEC7-4888-9991-ACA9E9127A04}"/>
    <cellStyle name="Total 2 6 6 2 5" xfId="8299" xr:uid="{FE5D1606-5CEA-446F-AF11-450FB48965C1}"/>
    <cellStyle name="Total 2 6 6 2 5 2" xfId="13871" xr:uid="{121988A5-DAC9-4552-BF17-E9E887591524}"/>
    <cellStyle name="Total 2 6 6 2 6" xfId="9551" xr:uid="{01CC2EEA-4022-416F-BD7B-8749952AAB8D}"/>
    <cellStyle name="Total 2 6 6 3" xfId="3695" xr:uid="{467EF815-E63D-469E-A127-88B573354AD0}"/>
    <cellStyle name="Total 2 6 6 3 2" xfId="9911" xr:uid="{C3D57E45-41A6-4FD3-9EAE-7E6710B7F956}"/>
    <cellStyle name="Total 2 6 6 4" xfId="6152" xr:uid="{AF55F507-4B26-4338-BC57-2C82F9E09B78}"/>
    <cellStyle name="Total 2 6 6 4 2" xfId="11864" xr:uid="{DBC4B1C8-92FB-4DDA-A8FF-3480B1783C98}"/>
    <cellStyle name="Total 2 6 6 5" xfId="6662" xr:uid="{C62D3986-E787-4FD2-8432-286CDB18A231}"/>
    <cellStyle name="Total 2 6 6 5 2" xfId="12366" xr:uid="{C895752C-0850-45F1-ABC5-DC8834E32D2F}"/>
    <cellStyle name="Total 2 6 6 6" xfId="7406" xr:uid="{C2B228DB-77A0-41E5-BC2C-9DFB33EB2F53}"/>
    <cellStyle name="Total 2 6 6 6 2" xfId="12978" xr:uid="{5D02C2D8-3E88-477A-B4B5-2B50A4258D7A}"/>
    <cellStyle name="Total 2 6 6 7" xfId="7939" xr:uid="{23790F3C-1CDB-4F51-8D79-9C136CA26A79}"/>
    <cellStyle name="Total 2 6 6 7 2" xfId="13511" xr:uid="{1B33433D-E226-4CB4-96B3-DA51AF916B47}"/>
    <cellStyle name="Total 2 6 6 8" xfId="9191" xr:uid="{AFFEF44B-F07B-4F9C-AB50-2B46FAEAC3CA}"/>
    <cellStyle name="Total 2 6 7" xfId="2885" xr:uid="{BF110E82-CB4C-423F-82C3-92043939121A}"/>
    <cellStyle name="Total 2 6 7 2" xfId="3813" xr:uid="{F03A0242-16D9-4384-AEB9-EA509B4494CF}"/>
    <cellStyle name="Total 2 6 7 2 2" xfId="9971" xr:uid="{BDA4AB74-35A7-455E-9AD9-44138B3EE531}"/>
    <cellStyle name="Total 2 6 7 3" xfId="6784" xr:uid="{7CDC4F8F-C8D6-4CD7-BC61-28F22369B8BC}"/>
    <cellStyle name="Total 2 6 7 3 2" xfId="12434" xr:uid="{6ED37BE4-9F64-471B-9048-DCBFC13E5FAD}"/>
    <cellStyle name="Total 2 6 7 4" xfId="7491" xr:uid="{5409D104-646D-4706-AFA1-A0DAE8987727}"/>
    <cellStyle name="Total 2 6 7 4 2" xfId="13063" xr:uid="{3F489865-482D-4717-9A29-C39DF267B3E0}"/>
    <cellStyle name="Total 2 6 7 5" xfId="7999" xr:uid="{BF7014F0-03DB-4B24-B966-5D0E7DEE2BAE}"/>
    <cellStyle name="Total 2 6 7 5 2" xfId="13571" xr:uid="{EE712FE1-F129-40AA-A9C8-78B81F0B9115}"/>
    <cellStyle name="Total 2 6 7 6" xfId="9251" xr:uid="{FB0FFDA1-79BB-49A6-B88B-BB7D3BCB791E}"/>
    <cellStyle name="Total 2 6 8" xfId="3333" xr:uid="{55143466-E298-43BF-91A1-C563375E5EC1}"/>
    <cellStyle name="Total 2 6 8 2" xfId="9611" xr:uid="{8119AEA3-9EE2-4084-B2B5-7CE34A7FD07B}"/>
    <cellStyle name="Total 2 6 9" xfId="4500" xr:uid="{81EAB66C-3AF6-4778-817E-28114BF320C9}"/>
    <cellStyle name="Total 2 6 9 2" xfId="10408" xr:uid="{A72FBFFF-DADC-40BE-88A6-0110F5814C7D}"/>
    <cellStyle name="Total 2 7" xfId="4273" xr:uid="{1457B7FD-7110-4CFB-87AE-52CE5B4ECDAE}"/>
    <cellStyle name="Total 2 8" xfId="8828" xr:uid="{06125033-0722-483D-B121-315D21FDBF59}"/>
    <cellStyle name="Total 2 9" xfId="1662" xr:uid="{55B1846D-10B4-4796-84D7-41799632DF38}"/>
    <cellStyle name="Total 3" xfId="4307" xr:uid="{26130BF6-FB93-45B9-9177-1802C0B64C4C}"/>
    <cellStyle name="Warning Text" xfId="426" xr:uid="{6817342C-B27A-4866-8B85-2D85E7EC5D37}"/>
    <cellStyle name="Warning Text 2" xfId="1504" xr:uid="{211185A5-B974-4068-B674-E3D383601493}"/>
    <cellStyle name="アクセント 1" xfId="1907" xr:uid="{3D98C7E8-1042-4E46-8A3F-1809179090E3}"/>
    <cellStyle name="アクセント 2" xfId="1908" xr:uid="{246FE876-36E4-4D80-855D-DB5CE57DB70D}"/>
    <cellStyle name="アクセント 3" xfId="1909" xr:uid="{03BE76F0-7447-4419-9755-BAC1DDA6959E}"/>
    <cellStyle name="アクセント 4" xfId="1910" xr:uid="{B32AB2CD-1430-4798-93EB-6E6228D72741}"/>
    <cellStyle name="アクセント 5" xfId="1911" xr:uid="{3815A4BF-011E-4F02-9FF5-A1836A829F15}"/>
    <cellStyle name="アクセント 6" xfId="1912" xr:uid="{54B73A7C-941C-4439-BD21-56FA75FE372C}"/>
    <cellStyle name="タイトル" xfId="1913" xr:uid="{E25CD4E3-5C6E-4655-8A06-07A01B513444}"/>
    <cellStyle name="チェック セル" xfId="1914" xr:uid="{406E2288-FE89-499C-9050-331332C78B3E}"/>
    <cellStyle name="チェック セル 2" xfId="1985" xr:uid="{2BC33C25-FDB1-455D-95C4-5B96E7C5BB9A}"/>
    <cellStyle name="どちらでもない" xfId="1915" xr:uid="{1E7E6CC7-974E-4A6E-8492-97C55A8BACF4}"/>
    <cellStyle name="メモ" xfId="1916" xr:uid="{CA039CB4-FB93-4FE3-AF51-E0545F27016F}"/>
    <cellStyle name="メモ 2" xfId="1986" xr:uid="{B1AB50A3-200B-4F0C-810F-DFBF4221F77C}"/>
    <cellStyle name="リンク セル" xfId="1917" xr:uid="{0E869466-7F8B-4E01-B14A-16C1C86C017A}"/>
    <cellStyle name="リンク セル 2" xfId="1987" xr:uid="{43EEC93C-D465-44C4-85DD-5DC6709D349C}"/>
    <cellStyle name="入力" xfId="1918" xr:uid="{B864EFB5-A484-4EFB-8BA8-DBAA901FD558}"/>
    <cellStyle name="入力 2" xfId="1988" xr:uid="{F7EFEAB0-F8B9-44BE-B216-CACB8E0E7F72}"/>
    <cellStyle name="出力" xfId="1919" xr:uid="{4A781920-D0CF-4789-A509-D800443E5152}"/>
    <cellStyle name="出力 2" xfId="1989" xr:uid="{DB109527-E513-46E2-B966-3865C71FC86C}"/>
    <cellStyle name="悪い" xfId="1920" xr:uid="{26F0887F-0A28-4835-AD1E-D21D1A66580B}"/>
    <cellStyle name="標準_~0013010" xfId="1921" xr:uid="{48BB081B-1846-4FC8-A7BA-48CA9EC17169}"/>
    <cellStyle name="良い" xfId="1922" xr:uid="{BD9D3706-08EC-4591-86F8-76BDE90D3F40}"/>
    <cellStyle name="見出し 1" xfId="1923" xr:uid="{91D2DDA3-A99E-49AF-9523-376CD1EC48B0}"/>
    <cellStyle name="見出し 2" xfId="1924" xr:uid="{7BBD9190-58DD-446B-AEFD-A4903188D37C}"/>
    <cellStyle name="見出し 3" xfId="1925" xr:uid="{5EE69779-3F2B-46EA-8F2F-456830D14A2A}"/>
    <cellStyle name="見出し 4" xfId="1926" xr:uid="{8E9274F6-0D35-4A8A-AC56-4A1AA4A0CDDF}"/>
    <cellStyle name="計算" xfId="1927" xr:uid="{5B2AB935-49D3-47F5-B1F0-AE5C46502682}"/>
    <cellStyle name="計算 2" xfId="1990" xr:uid="{A10F6DD7-FFC4-4DB5-9BC2-DA32AC8A0B6B}"/>
    <cellStyle name="説明文" xfId="1928" xr:uid="{309A6372-B5B4-427B-A4D0-2C183EE1D79A}"/>
    <cellStyle name="警告文" xfId="1929" xr:uid="{1F1B5346-A748-4F6C-8915-9BA0216FDCB3}"/>
    <cellStyle name="集計" xfId="1930" xr:uid="{8F0B5DB5-66A9-4F9E-9910-3A1D2BCA8F46}"/>
    <cellStyle name="集計 2" xfId="1991" xr:uid="{7F545803-AA16-479F-9048-90444F206254}"/>
  </cellStyles>
  <dxfs count="16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14996795556505021"/>
      </font>
    </dxf>
    <dxf>
      <fill>
        <patternFill>
          <bgColor theme="0" tint="-0.24994659260841701"/>
        </patternFill>
      </fill>
    </dxf>
    <dxf>
      <font>
        <color theme="0" tint="-0.14996795556505021"/>
      </font>
    </dxf>
    <dxf>
      <fill>
        <patternFill>
          <bgColor theme="0" tint="-0.24994659260841701"/>
        </patternFill>
      </fill>
    </dxf>
    <dxf>
      <font>
        <color theme="0" tint="-0.14996795556505021"/>
      </font>
    </dxf>
    <dxf>
      <fill>
        <patternFill>
          <bgColor theme="0" tint="-0.24994659260841701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ill>
        <patternFill>
          <bgColor theme="0" tint="-0.24994659260841701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ill>
        <patternFill>
          <bgColor theme="0" tint="-0.24994659260841701"/>
        </patternFill>
      </fill>
    </dxf>
    <dxf>
      <font>
        <color theme="0" tint="-0.14996795556505021"/>
      </font>
    </dxf>
    <dxf>
      <fill>
        <patternFill>
          <bgColor theme="0" tint="-0.24994659260841701"/>
        </patternFill>
      </fill>
    </dxf>
    <dxf>
      <font>
        <color theme="0" tint="-0.14996795556505021"/>
      </font>
    </dxf>
    <dxf>
      <fill>
        <patternFill>
          <bgColor theme="0" tint="-0.24994659260841701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ill>
        <patternFill>
          <bgColor theme="0" tint="-0.24994659260841701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6795556505021"/>
      </font>
    </dxf>
    <dxf>
      <fill>
        <patternFill>
          <bgColor theme="0" tint="-0.24994659260841701"/>
        </patternFill>
      </fill>
    </dxf>
    <dxf>
      <font>
        <color theme="0" tint="-0.14996795556505021"/>
      </font>
    </dxf>
    <dxf>
      <fill>
        <patternFill>
          <bgColor theme="0" tint="-0.24994659260841701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ill>
        <patternFill>
          <bgColor theme="0" tint="-0.24994659260841701"/>
        </patternFill>
      </fill>
    </dxf>
    <dxf>
      <font>
        <color theme="0" tint="-0.14996795556505021"/>
      </font>
    </dxf>
    <dxf>
      <fill>
        <patternFill>
          <bgColor theme="0" tint="-0.24994659260841701"/>
        </patternFill>
      </fill>
    </dxf>
    <dxf>
      <font>
        <color theme="0" tint="-0.14996795556505021"/>
      </font>
    </dxf>
    <dxf>
      <fill>
        <patternFill>
          <bgColor theme="0" tint="-0.24994659260841701"/>
        </patternFill>
      </fill>
    </dxf>
    <dxf>
      <font>
        <color theme="0" tint="-0.14996795556505021"/>
      </font>
    </dxf>
    <dxf>
      <fill>
        <patternFill>
          <bgColor theme="0" tint="-0.24994659260841701"/>
        </patternFill>
      </fill>
    </dxf>
    <dxf>
      <font>
        <color theme="0" tint="-0.14996795556505021"/>
      </font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ont>
        <color rgb="FFD9D9D9"/>
      </font>
    </dxf>
    <dxf>
      <fill>
        <patternFill>
          <bgColor rgb="FFBFBFBF"/>
        </patternFill>
      </fill>
    </dxf>
    <dxf>
      <fill>
        <patternFill>
          <bgColor theme="0" tint="-0.24994659260841701"/>
        </patternFill>
      </fill>
    </dxf>
    <dxf>
      <font>
        <color theme="0" tint="-0.14996795556505021"/>
      </font>
    </dxf>
    <dxf>
      <font>
        <color theme="0" tint="-0.14996795556505021"/>
      </font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14996795556505021"/>
      </font>
    </dxf>
    <dxf>
      <fill>
        <patternFill>
          <bgColor theme="0" tint="-0.24994659260841701"/>
        </patternFill>
      </fill>
    </dxf>
    <dxf>
      <font>
        <color theme="0" tint="-0.14996795556505021"/>
      </font>
    </dxf>
    <dxf>
      <font>
        <color rgb="FFD9D9D9"/>
      </font>
    </dxf>
    <dxf>
      <font>
        <color rgb="FFD9D9D9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ont>
        <color rgb="FFD9D9D9"/>
      </font>
    </dxf>
    <dxf>
      <font>
        <color rgb="FFD9D9D9"/>
      </font>
    </dxf>
    <dxf>
      <font>
        <color rgb="FFD9D9D9"/>
      </font>
    </dxf>
    <dxf>
      <font>
        <color rgb="FFD9D9D9"/>
      </font>
    </dxf>
    <dxf>
      <font>
        <color rgb="FFD9D9D9"/>
      </font>
    </dxf>
    <dxf>
      <fill>
        <patternFill>
          <bgColor rgb="FFBFBFBF"/>
        </patternFill>
      </fill>
    </dxf>
    <dxf>
      <font>
        <color rgb="FFD9D9D9"/>
      </font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ont>
        <color rgb="FFD9D9D9"/>
      </font>
    </dxf>
    <dxf>
      <font>
        <color rgb="FFD9D9D9"/>
      </font>
    </dxf>
    <dxf>
      <font>
        <color rgb="FFD9D9D9"/>
      </font>
    </dxf>
    <dxf>
      <font>
        <color rgb="FFD9D9D9"/>
      </font>
    </dxf>
    <dxf>
      <font>
        <color rgb="FFD9D9D9"/>
      </font>
    </dxf>
    <dxf>
      <font>
        <color rgb="FFD9D9D9"/>
      </font>
    </dxf>
    <dxf>
      <font>
        <color rgb="FFD9D9D9"/>
      </font>
    </dxf>
    <dxf>
      <font>
        <color rgb="FFD9D9D9"/>
      </font>
    </dxf>
    <dxf>
      <font>
        <color rgb="FFD9D9D9"/>
      </font>
    </dxf>
    <dxf>
      <font>
        <color rgb="FFD9D9D9"/>
      </font>
    </dxf>
    <dxf>
      <font>
        <color rgb="FFD9D9D9"/>
      </font>
    </dxf>
    <dxf>
      <font>
        <color rgb="FFD9D9D9"/>
      </font>
    </dxf>
    <dxf>
      <font>
        <color rgb="FFD9D9D9"/>
      </font>
    </dxf>
    <dxf>
      <font>
        <color rgb="FFD9D9D9"/>
      </font>
    </dxf>
    <dxf>
      <font>
        <color theme="0" tint="-0.14996795556505021"/>
      </font>
    </dxf>
    <dxf>
      <fill>
        <patternFill>
          <bgColor theme="0" tint="-0.24994659260841701"/>
        </patternFill>
      </fill>
    </dxf>
    <dxf>
      <font>
        <color theme="0" tint="-0.14996795556505021"/>
      </font>
    </dxf>
    <dxf>
      <fill>
        <patternFill>
          <bgColor theme="0" tint="-0.24994659260841701"/>
        </patternFill>
      </fill>
    </dxf>
    <dxf>
      <font>
        <color theme="0" tint="-0.14996795556505021"/>
      </font>
    </dxf>
    <dxf>
      <fill>
        <patternFill>
          <bgColor theme="0" tint="-0.24994659260841701"/>
        </patternFill>
      </fill>
    </dxf>
    <dxf>
      <font>
        <color theme="0" tint="-0.14996795556505021"/>
      </font>
    </dxf>
    <dxf>
      <fill>
        <patternFill>
          <bgColor theme="0" tint="-0.24994659260841701"/>
        </patternFill>
      </fill>
    </dxf>
    <dxf>
      <font>
        <color theme="0" tint="-0.14996795556505021"/>
      </font>
    </dxf>
    <dxf>
      <fill>
        <patternFill>
          <bgColor theme="0" tint="-0.24994659260841701"/>
        </patternFill>
      </fill>
    </dxf>
    <dxf>
      <font>
        <color theme="0" tint="-0.14996795556505021"/>
      </font>
    </dxf>
    <dxf>
      <fill>
        <patternFill>
          <bgColor theme="0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C8C6AE"/>
      <color rgb="FF5ED4BE"/>
      <color rgb="FF994010"/>
      <color rgb="FF80350E"/>
      <color rgb="FFF2AA84"/>
      <color rgb="FF476475"/>
      <color rgb="FF595959"/>
      <color rgb="FFDEFEF4"/>
      <color rgb="FFFFFFFF"/>
      <color rgb="FF46EC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externalLink" Target="externalLinks/externalLink6.xml"/><Relationship Id="rId79" Type="http://schemas.openxmlformats.org/officeDocument/2006/relationships/sheetMetadata" Target="metadata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microsoft.com/office/2017/06/relationships/rdRichValueTypes" Target="richData/rdRichValueTyp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externalLink" Target="externalLinks/externalLink1.xml"/><Relationship Id="rId77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4.xml"/><Relationship Id="rId80" Type="http://schemas.microsoft.com/office/2017/06/relationships/rdRichValue" Target="richData/rdrichvalue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externalLink" Target="externalLinks/externalLink2.xml"/><Relationship Id="rId75" Type="http://schemas.openxmlformats.org/officeDocument/2006/relationships/externalLink" Target="externalLinks/externalLink7.xml"/><Relationship Id="rId83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externalLink" Target="externalLinks/externalLink5.xml"/><Relationship Id="rId78" Type="http://schemas.openxmlformats.org/officeDocument/2006/relationships/sharedStrings" Target="sharedStrings.xml"/><Relationship Id="rId81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9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1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3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4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5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6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7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1.xml"/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5.xml"/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21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126.xml.rels><?xml version="1.0" encoding="UTF-8" standalone="yes"?>
<Relationships xmlns="http://schemas.openxmlformats.org/package/2006/relationships"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_rels/chart127.xml.rels><?xml version="1.0" encoding="UTF-8" standalone="yes"?>
<Relationships xmlns="http://schemas.openxmlformats.org/package/2006/relationships"><Relationship Id="rId2" Type="http://schemas.microsoft.com/office/2011/relationships/chartColorStyle" Target="colors129.xml"/><Relationship Id="rId1" Type="http://schemas.microsoft.com/office/2011/relationships/chartStyle" Target="style129.xml"/></Relationships>
</file>

<file path=xl/charts/_rels/chart128.xml.rels><?xml version="1.0" encoding="UTF-8" standalone="yes"?>
<Relationships xmlns="http://schemas.openxmlformats.org/package/2006/relationships"><Relationship Id="rId2" Type="http://schemas.microsoft.com/office/2011/relationships/chartColorStyle" Target="colors130.xml"/><Relationship Id="rId1" Type="http://schemas.microsoft.com/office/2011/relationships/chartStyle" Target="style130.xml"/></Relationships>
</file>

<file path=xl/charts/_rels/chart129.xml.rels><?xml version="1.0" encoding="UTF-8" standalone="yes"?>
<Relationships xmlns="http://schemas.openxmlformats.org/package/2006/relationships"><Relationship Id="rId2" Type="http://schemas.microsoft.com/office/2011/relationships/chartColorStyle" Target="colors131.xml"/><Relationship Id="rId1" Type="http://schemas.microsoft.com/office/2011/relationships/chartStyle" Target="style131.xml"/></Relationships>
</file>

<file path=xl/charts/_rels/chart130.xml.rels><?xml version="1.0" encoding="UTF-8" standalone="yes"?>
<Relationships xmlns="http://schemas.openxmlformats.org/package/2006/relationships"><Relationship Id="rId2" Type="http://schemas.microsoft.com/office/2011/relationships/chartColorStyle" Target="colors132.xml"/><Relationship Id="rId1" Type="http://schemas.microsoft.com/office/2011/relationships/chartStyle" Target="style132.xml"/></Relationships>
</file>

<file path=xl/charts/_rels/chart131.xml.rels><?xml version="1.0" encoding="UTF-8" standalone="yes"?>
<Relationships xmlns="http://schemas.openxmlformats.org/package/2006/relationships"><Relationship Id="rId2" Type="http://schemas.microsoft.com/office/2011/relationships/chartColorStyle" Target="colors133.xml"/><Relationship Id="rId1" Type="http://schemas.microsoft.com/office/2011/relationships/chartStyle" Target="style133.xml"/></Relationships>
</file>

<file path=xl/charts/_rels/chart132.xml.rels><?xml version="1.0" encoding="UTF-8" standalone="yes"?>
<Relationships xmlns="http://schemas.openxmlformats.org/package/2006/relationships"><Relationship Id="rId2" Type="http://schemas.microsoft.com/office/2011/relationships/chartColorStyle" Target="colors134.xml"/><Relationship Id="rId1" Type="http://schemas.microsoft.com/office/2011/relationships/chartStyle" Target="style134.xml"/></Relationships>
</file>

<file path=xl/charts/_rels/chart133.xml.rels><?xml version="1.0" encoding="UTF-8" standalone="yes"?>
<Relationships xmlns="http://schemas.openxmlformats.org/package/2006/relationships"><Relationship Id="rId2" Type="http://schemas.microsoft.com/office/2011/relationships/chartColorStyle" Target="colors135.xml"/><Relationship Id="rId1" Type="http://schemas.microsoft.com/office/2011/relationships/chartStyle" Target="style135.xml"/></Relationships>
</file>

<file path=xl/charts/_rels/chart134.xml.rels><?xml version="1.0" encoding="UTF-8" standalone="yes"?>
<Relationships xmlns="http://schemas.openxmlformats.org/package/2006/relationships"><Relationship Id="rId2" Type="http://schemas.microsoft.com/office/2011/relationships/chartColorStyle" Target="colors136.xml"/><Relationship Id="rId1" Type="http://schemas.microsoft.com/office/2011/relationships/chartStyle" Target="style136.xml"/></Relationships>
</file>

<file path=xl/charts/_rels/chart135.xml.rels><?xml version="1.0" encoding="UTF-8" standalone="yes"?>
<Relationships xmlns="http://schemas.openxmlformats.org/package/2006/relationships"><Relationship Id="rId2" Type="http://schemas.microsoft.com/office/2011/relationships/chartColorStyle" Target="colors137.xml"/><Relationship Id="rId1" Type="http://schemas.microsoft.com/office/2011/relationships/chartStyle" Target="style137.xml"/></Relationships>
</file>

<file path=xl/charts/_rels/chart136.xml.rels><?xml version="1.0" encoding="UTF-8" standalone="yes"?>
<Relationships xmlns="http://schemas.openxmlformats.org/package/2006/relationships"><Relationship Id="rId2" Type="http://schemas.microsoft.com/office/2011/relationships/chartColorStyle" Target="colors138.xml"/><Relationship Id="rId1" Type="http://schemas.microsoft.com/office/2011/relationships/chartStyle" Target="style138.xml"/></Relationships>
</file>

<file path=xl/charts/_rels/chart137.xml.rels><?xml version="1.0" encoding="UTF-8" standalone="yes"?>
<Relationships xmlns="http://schemas.openxmlformats.org/package/2006/relationships"><Relationship Id="rId2" Type="http://schemas.microsoft.com/office/2011/relationships/chartColorStyle" Target="colors139.xml"/><Relationship Id="rId1" Type="http://schemas.microsoft.com/office/2011/relationships/chartStyle" Target="style139.xml"/></Relationships>
</file>

<file path=xl/charts/_rels/chart138.xml.rels><?xml version="1.0" encoding="UTF-8" standalone="yes"?>
<Relationships xmlns="http://schemas.openxmlformats.org/package/2006/relationships"><Relationship Id="rId2" Type="http://schemas.microsoft.com/office/2011/relationships/chartColorStyle" Target="colors140.xml"/><Relationship Id="rId1" Type="http://schemas.microsoft.com/office/2011/relationships/chartStyle" Target="style140.xml"/></Relationships>
</file>

<file path=xl/charts/_rels/chart139.xml.rels><?xml version="1.0" encoding="UTF-8" standalone="yes"?>
<Relationships xmlns="http://schemas.openxmlformats.org/package/2006/relationships"><Relationship Id="rId2" Type="http://schemas.microsoft.com/office/2011/relationships/chartColorStyle" Target="colors141.xml"/><Relationship Id="rId1" Type="http://schemas.microsoft.com/office/2011/relationships/chartStyle" Target="style141.xml"/></Relationships>
</file>

<file path=xl/charts/_rels/chart140.xml.rels><?xml version="1.0" encoding="UTF-8" standalone="yes"?>
<Relationships xmlns="http://schemas.openxmlformats.org/package/2006/relationships"><Relationship Id="rId2" Type="http://schemas.microsoft.com/office/2011/relationships/chartColorStyle" Target="colors142.xml"/><Relationship Id="rId1" Type="http://schemas.microsoft.com/office/2011/relationships/chartStyle" Target="style142.xml"/></Relationships>
</file>

<file path=xl/charts/_rels/chart141.xml.rels><?xml version="1.0" encoding="UTF-8" standalone="yes"?>
<Relationships xmlns="http://schemas.openxmlformats.org/package/2006/relationships"><Relationship Id="rId2" Type="http://schemas.microsoft.com/office/2011/relationships/chartColorStyle" Target="colors143.xml"/><Relationship Id="rId1" Type="http://schemas.microsoft.com/office/2011/relationships/chartStyle" Target="style143.xml"/></Relationships>
</file>

<file path=xl/charts/_rels/chart142.xml.rels><?xml version="1.0" encoding="UTF-8" standalone="yes"?>
<Relationships xmlns="http://schemas.openxmlformats.org/package/2006/relationships"><Relationship Id="rId2" Type="http://schemas.microsoft.com/office/2011/relationships/chartColorStyle" Target="colors144.xml"/><Relationship Id="rId1" Type="http://schemas.microsoft.com/office/2011/relationships/chartStyle" Target="style144.xml"/></Relationships>
</file>

<file path=xl/charts/_rels/chart143.xml.rels><?xml version="1.0" encoding="UTF-8" standalone="yes"?>
<Relationships xmlns="http://schemas.openxmlformats.org/package/2006/relationships"><Relationship Id="rId2" Type="http://schemas.microsoft.com/office/2011/relationships/chartColorStyle" Target="colors145.xml"/><Relationship Id="rId1" Type="http://schemas.microsoft.com/office/2011/relationships/chartStyle" Target="style145.xml"/></Relationships>
</file>

<file path=xl/charts/_rels/chart144.xml.rels><?xml version="1.0" encoding="UTF-8" standalone="yes"?>
<Relationships xmlns="http://schemas.openxmlformats.org/package/2006/relationships"><Relationship Id="rId2" Type="http://schemas.microsoft.com/office/2011/relationships/chartColorStyle" Target="colors146.xml"/><Relationship Id="rId1" Type="http://schemas.microsoft.com/office/2011/relationships/chartStyle" Target="style146.xml"/></Relationships>
</file>

<file path=xl/charts/_rels/chart145.xml.rels><?xml version="1.0" encoding="UTF-8" standalone="yes"?>
<Relationships xmlns="http://schemas.openxmlformats.org/package/2006/relationships"><Relationship Id="rId2" Type="http://schemas.microsoft.com/office/2011/relationships/chartColorStyle" Target="colors147.xml"/><Relationship Id="rId1" Type="http://schemas.microsoft.com/office/2011/relationships/chartStyle" Target="style147.xml"/></Relationships>
</file>

<file path=xl/charts/_rels/chart146.xml.rels><?xml version="1.0" encoding="UTF-8" standalone="yes"?>
<Relationships xmlns="http://schemas.openxmlformats.org/package/2006/relationships"><Relationship Id="rId2" Type="http://schemas.microsoft.com/office/2011/relationships/chartColorStyle" Target="colors148.xml"/><Relationship Id="rId1" Type="http://schemas.microsoft.com/office/2011/relationships/chartStyle" Target="style148.xml"/></Relationships>
</file>

<file path=xl/charts/_rels/chart147.xml.rels><?xml version="1.0" encoding="UTF-8" standalone="yes"?>
<Relationships xmlns="http://schemas.openxmlformats.org/package/2006/relationships"><Relationship Id="rId2" Type="http://schemas.microsoft.com/office/2011/relationships/chartColorStyle" Target="colors149.xml"/><Relationship Id="rId1" Type="http://schemas.microsoft.com/office/2011/relationships/chartStyle" Target="style149.xml"/></Relationships>
</file>

<file path=xl/charts/_rels/chart148.xml.rels><?xml version="1.0" encoding="UTF-8" standalone="yes"?>
<Relationships xmlns="http://schemas.openxmlformats.org/package/2006/relationships"><Relationship Id="rId2" Type="http://schemas.microsoft.com/office/2011/relationships/chartColorStyle" Target="colors150.xml"/><Relationship Id="rId1" Type="http://schemas.microsoft.com/office/2011/relationships/chartStyle" Target="style150.xml"/></Relationships>
</file>

<file path=xl/charts/_rels/chart149.xml.rels><?xml version="1.0" encoding="UTF-8" standalone="yes"?>
<Relationships xmlns="http://schemas.openxmlformats.org/package/2006/relationships"><Relationship Id="rId2" Type="http://schemas.microsoft.com/office/2011/relationships/chartColorStyle" Target="colors151.xml"/><Relationship Id="rId1" Type="http://schemas.microsoft.com/office/2011/relationships/chartStyle" Target="style15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rgbClr val="595959"/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r>
              <a:rPr lang="es-CL"/>
              <a:t>Cu Calculado</a:t>
            </a:r>
            <a:r>
              <a:rPr lang="es-CL" baseline="0"/>
              <a:t> vs Analizado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rgbClr val="595959"/>
              </a:solidFill>
              <a:latin typeface="Source Sans Pro" panose="020B0503030403020204" pitchFamily="34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A20-4296-8A89-7E565220326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A20-4296-8A89-7E56522032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rgbClr val="595959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 Compósito'!$F$8:$F$9</c:f>
              <c:strCache>
                <c:ptCount val="2"/>
                <c:pt idx="0">
                  <c:v>Cu Calculado</c:v>
                </c:pt>
                <c:pt idx="1">
                  <c:v>Cu Analizado</c:v>
                </c:pt>
              </c:strCache>
            </c:strRef>
          </c:cat>
          <c:val>
            <c:numRef>
              <c:f>'1. Compósito'!$G$8:$G$9</c:f>
              <c:numCache>
                <c:formatCode>0.000</c:formatCode>
                <c:ptCount val="2"/>
                <c:pt idx="0">
                  <c:v>0.69669999999999999</c:v>
                </c:pt>
                <c:pt idx="1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0-4296-8A89-7E56522032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9362511"/>
        <c:axId val="879366831"/>
      </c:barChart>
      <c:catAx>
        <c:axId val="879362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595959"/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endParaRPr lang="es-CL"/>
          </a:p>
        </c:txPr>
        <c:crossAx val="879366831"/>
        <c:crosses val="autoZero"/>
        <c:auto val="1"/>
        <c:lblAlgn val="ctr"/>
        <c:lblOffset val="100"/>
        <c:noMultiLvlLbl val="0"/>
      </c:catAx>
      <c:valAx>
        <c:axId val="87936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595959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r>
                  <a:rPr lang="es-CL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rgbClr val="595959"/>
                  </a:solidFill>
                  <a:latin typeface="Source Sans Pro" panose="020B0503030403020204" pitchFamily="34" charset="0"/>
                  <a:ea typeface="+mn-ea"/>
                  <a:cs typeface="+mn-cs"/>
                </a:defRPr>
              </a:pPr>
              <a:endParaRPr lang="es-CL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595959"/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endParaRPr lang="es-CL"/>
          </a:p>
        </c:txPr>
        <c:crossAx val="879362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rgbClr val="595959"/>
          </a:solidFill>
          <a:latin typeface="Source Sans Pro" panose="020B0503030403020204" pitchFamily="34" charset="0"/>
          <a:ea typeface="+mn-ea"/>
          <a:cs typeface="+mn-cs"/>
        </a:defRPr>
      </a:pPr>
      <a:endParaRPr lang="es-CL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L"/>
              <a:t>Distribución de Tamaño</a:t>
            </a:r>
          </a:p>
        </c:rich>
      </c:tx>
      <c:layout>
        <c:manualLayout>
          <c:xMode val="edge"/>
          <c:yMode val="edge"/>
          <c:x val="0.41901681186471723"/>
          <c:y val="1.516322366899246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242347336184779"/>
          <c:y val="0.11494414352165437"/>
          <c:w val="0.80973530449940945"/>
          <c:h val="0.7617049886284873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'3. Cinética Molienda'!$D$3</c:f>
              <c:strCache>
                <c:ptCount val="1"/>
                <c:pt idx="0">
                  <c:v>10 min</c:v>
                </c:pt>
              </c:strCache>
            </c:strRef>
          </c:tx>
          <c:spPr>
            <a:ln w="19050">
              <a:solidFill>
                <a:schemeClr val="bg1">
                  <a:lumMod val="50000"/>
                </a:schemeClr>
              </a:solidFill>
            </a:ln>
          </c:spPr>
          <c:marker>
            <c:symbol val="none"/>
          </c:marker>
          <c:xVal>
            <c:numRef>
              <c:f>'3. Cinética Molienda'!$C$7:$C$17</c:f>
              <c:numCache>
                <c:formatCode>0</c:formatCode>
                <c:ptCount val="11"/>
                <c:pt idx="0">
                  <c:v>1180</c:v>
                </c:pt>
                <c:pt idx="1">
                  <c:v>850</c:v>
                </c:pt>
                <c:pt idx="2">
                  <c:v>600</c:v>
                </c:pt>
                <c:pt idx="3">
                  <c:v>425</c:v>
                </c:pt>
                <c:pt idx="4">
                  <c:v>300</c:v>
                </c:pt>
                <c:pt idx="5">
                  <c:v>212</c:v>
                </c:pt>
                <c:pt idx="6">
                  <c:v>150</c:v>
                </c:pt>
                <c:pt idx="7">
                  <c:v>106</c:v>
                </c:pt>
                <c:pt idx="8">
                  <c:v>75</c:v>
                </c:pt>
                <c:pt idx="9">
                  <c:v>53</c:v>
                </c:pt>
                <c:pt idx="10">
                  <c:v>45</c:v>
                </c:pt>
              </c:numCache>
            </c:numRef>
          </c:xVal>
          <c:yVal>
            <c:numRef>
              <c:f>'3. Cinética Molienda'!$G$7:$G$17</c:f>
              <c:numCache>
                <c:formatCode>0.0</c:formatCode>
                <c:ptCount val="1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98.216289909213089</c:v>
                </c:pt>
                <c:pt idx="4">
                  <c:v>88.392635405380034</c:v>
                </c:pt>
                <c:pt idx="5">
                  <c:v>76.664454531663978</c:v>
                </c:pt>
                <c:pt idx="6">
                  <c:v>65.668972916917184</c:v>
                </c:pt>
                <c:pt idx="7">
                  <c:v>56.140271869695432</c:v>
                </c:pt>
                <c:pt idx="8">
                  <c:v>48.225284665198544</c:v>
                </c:pt>
                <c:pt idx="9">
                  <c:v>41.686560052113819</c:v>
                </c:pt>
                <c:pt idx="10">
                  <c:v>39.024153341118947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81-4F7A-A666-782124898EB4}"/>
            </c:ext>
          </c:extLst>
        </c:ser>
        <c:ser>
          <c:idx val="1"/>
          <c:order val="1"/>
          <c:tx>
            <c:strRef>
              <c:f>'3. Cinética Molienda'!$D$26</c:f>
              <c:strCache>
                <c:ptCount val="1"/>
                <c:pt idx="0">
                  <c:v>20 min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triangle"/>
            <c:size val="7"/>
            <c:spPr>
              <a:solidFill>
                <a:schemeClr val="bg1"/>
              </a:solidFill>
              <a:ln w="19050">
                <a:solidFill>
                  <a:srgbClr val="FF0000"/>
                </a:solidFill>
              </a:ln>
            </c:spPr>
          </c:marker>
          <c:xVal>
            <c:numRef>
              <c:f>'3. Cinética Molienda'!$C$30:$C$40</c:f>
              <c:numCache>
                <c:formatCode>0</c:formatCode>
                <c:ptCount val="11"/>
                <c:pt idx="0">
                  <c:v>1180</c:v>
                </c:pt>
                <c:pt idx="1">
                  <c:v>850</c:v>
                </c:pt>
                <c:pt idx="2">
                  <c:v>600</c:v>
                </c:pt>
                <c:pt idx="3">
                  <c:v>425</c:v>
                </c:pt>
                <c:pt idx="4">
                  <c:v>300</c:v>
                </c:pt>
                <c:pt idx="5">
                  <c:v>212</c:v>
                </c:pt>
                <c:pt idx="6">
                  <c:v>150</c:v>
                </c:pt>
                <c:pt idx="7">
                  <c:v>106</c:v>
                </c:pt>
                <c:pt idx="8">
                  <c:v>75</c:v>
                </c:pt>
                <c:pt idx="9">
                  <c:v>53</c:v>
                </c:pt>
                <c:pt idx="10">
                  <c:v>45</c:v>
                </c:pt>
              </c:numCache>
            </c:numRef>
          </c:xVal>
          <c:yVal>
            <c:numRef>
              <c:f>'3. Cinética Molienda'!$G$30:$G$40</c:f>
              <c:numCache>
                <c:formatCode>0.0</c:formatCode>
                <c:ptCount val="1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99.125840973194485</c:v>
                </c:pt>
                <c:pt idx="6">
                  <c:v>87.972330359276199</c:v>
                </c:pt>
                <c:pt idx="7">
                  <c:v>74.723177903986269</c:v>
                </c:pt>
                <c:pt idx="8">
                  <c:v>62.906411477339816</c:v>
                </c:pt>
                <c:pt idx="9">
                  <c:v>53.098876335888157</c:v>
                </c:pt>
                <c:pt idx="10">
                  <c:v>49.156341901332709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081-4F7A-A666-782124898EB4}"/>
            </c:ext>
          </c:extLst>
        </c:ser>
        <c:ser>
          <c:idx val="2"/>
          <c:order val="2"/>
          <c:tx>
            <c:strRef>
              <c:f>'3. Cinética Molienda'!$D$49</c:f>
              <c:strCache>
                <c:ptCount val="1"/>
                <c:pt idx="0">
                  <c:v>30 min</c:v>
                </c:pt>
              </c:strCache>
            </c:strRef>
          </c:tx>
          <c:spPr>
            <a:ln w="19050">
              <a:solidFill>
                <a:srgbClr val="0078BF"/>
              </a:solidFill>
            </a:ln>
          </c:spPr>
          <c:marker>
            <c:symbol val="square"/>
            <c:size val="6"/>
            <c:spPr>
              <a:solidFill>
                <a:schemeClr val="bg1"/>
              </a:solidFill>
              <a:ln w="19050">
                <a:solidFill>
                  <a:srgbClr val="0078BF"/>
                </a:solidFill>
              </a:ln>
            </c:spPr>
          </c:marker>
          <c:xVal>
            <c:numRef>
              <c:f>'3. Cinética Molienda'!$C$53:$C$63</c:f>
              <c:numCache>
                <c:formatCode>0</c:formatCode>
                <c:ptCount val="11"/>
                <c:pt idx="0">
                  <c:v>1180</c:v>
                </c:pt>
                <c:pt idx="1">
                  <c:v>850</c:v>
                </c:pt>
                <c:pt idx="2">
                  <c:v>600</c:v>
                </c:pt>
                <c:pt idx="3">
                  <c:v>425</c:v>
                </c:pt>
                <c:pt idx="4">
                  <c:v>300</c:v>
                </c:pt>
                <c:pt idx="5">
                  <c:v>212</c:v>
                </c:pt>
                <c:pt idx="6">
                  <c:v>150</c:v>
                </c:pt>
                <c:pt idx="7">
                  <c:v>106</c:v>
                </c:pt>
                <c:pt idx="8">
                  <c:v>75</c:v>
                </c:pt>
                <c:pt idx="9">
                  <c:v>53</c:v>
                </c:pt>
                <c:pt idx="10">
                  <c:v>45</c:v>
                </c:pt>
              </c:numCache>
            </c:numRef>
          </c:xVal>
          <c:yVal>
            <c:numRef>
              <c:f>'3. Cinética Molienda'!$G$53:$G$63</c:f>
              <c:numCache>
                <c:formatCode>0.0</c:formatCode>
                <c:ptCount val="1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98.208607630719229</c:v>
                </c:pt>
                <c:pt idx="7">
                  <c:v>85.045040123044572</c:v>
                </c:pt>
                <c:pt idx="8">
                  <c:v>71.812991924342967</c:v>
                </c:pt>
                <c:pt idx="9">
                  <c:v>60.661604421034724</c:v>
                </c:pt>
                <c:pt idx="10">
                  <c:v>56.182438745964248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081-4F7A-A666-782124898EB4}"/>
            </c:ext>
          </c:extLst>
        </c:ser>
        <c:ser>
          <c:idx val="3"/>
          <c:order val="3"/>
          <c:tx>
            <c:strRef>
              <c:f>'3. Cinética Molienda'!$D$3</c:f>
              <c:strCache>
                <c:ptCount val="1"/>
                <c:pt idx="0">
                  <c:v>10 min</c:v>
                </c:pt>
              </c:strCache>
            </c:strRef>
          </c:tx>
          <c:spPr>
            <a:ln>
              <a:noFill/>
            </a:ln>
          </c:spPr>
          <c:xVal>
            <c:numRef>
              <c:f>'3. Cinética Molienda'!$C$7:$C$17</c:f>
              <c:numCache>
                <c:formatCode>0</c:formatCode>
                <c:ptCount val="11"/>
                <c:pt idx="0">
                  <c:v>1180</c:v>
                </c:pt>
                <c:pt idx="1">
                  <c:v>850</c:v>
                </c:pt>
                <c:pt idx="2">
                  <c:v>600</c:v>
                </c:pt>
                <c:pt idx="3">
                  <c:v>425</c:v>
                </c:pt>
                <c:pt idx="4">
                  <c:v>300</c:v>
                </c:pt>
                <c:pt idx="5">
                  <c:v>212</c:v>
                </c:pt>
                <c:pt idx="6">
                  <c:v>150</c:v>
                </c:pt>
                <c:pt idx="7">
                  <c:v>106</c:v>
                </c:pt>
                <c:pt idx="8">
                  <c:v>75</c:v>
                </c:pt>
                <c:pt idx="9">
                  <c:v>53</c:v>
                </c:pt>
                <c:pt idx="10">
                  <c:v>45</c:v>
                </c:pt>
              </c:numCache>
            </c:numRef>
          </c:xVal>
          <c:yVal>
            <c:numRef>
              <c:f>'3. Cinética Molienda'!$F$7:$F$17</c:f>
              <c:numCache>
                <c:formatCode>0.0</c:formatCode>
                <c:ptCount val="11"/>
                <c:pt idx="0">
                  <c:v>100.00000000000001</c:v>
                </c:pt>
                <c:pt idx="1">
                  <c:v>100.00000000000001</c:v>
                </c:pt>
                <c:pt idx="2">
                  <c:v>99.586606035551895</c:v>
                </c:pt>
                <c:pt idx="3">
                  <c:v>96.940884663083935</c:v>
                </c:pt>
                <c:pt idx="4">
                  <c:v>89.623811492352232</c:v>
                </c:pt>
                <c:pt idx="5">
                  <c:v>77.676725919801584</c:v>
                </c:pt>
                <c:pt idx="6">
                  <c:v>64.034725093013648</c:v>
                </c:pt>
                <c:pt idx="7">
                  <c:v>55.601488218272017</c:v>
                </c:pt>
                <c:pt idx="8">
                  <c:v>47.912360479537</c:v>
                </c:pt>
                <c:pt idx="9">
                  <c:v>42.248863166597772</c:v>
                </c:pt>
                <c:pt idx="10">
                  <c:v>39.685820587019435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3A-476C-8A2C-728BAB2D7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382080"/>
        <c:axId val="148384000"/>
      </c:scatterChart>
      <c:valAx>
        <c:axId val="148382080"/>
        <c:scaling>
          <c:logBase val="30"/>
          <c:orientation val="minMax"/>
          <c:max val="10000"/>
          <c:min val="10"/>
        </c:scaling>
        <c:delete val="0"/>
        <c:axPos val="b"/>
        <c:majorGridlines>
          <c:spPr>
            <a:ln>
              <a:solidFill>
                <a:schemeClr val="bg1">
                  <a:lumMod val="75000"/>
                  <a:alpha val="91000"/>
                </a:schemeClr>
              </a:solidFill>
            </a:ln>
          </c:spPr>
        </c:majorGridlines>
        <c:minorGridlines>
          <c:spPr>
            <a:ln>
              <a:solidFill>
                <a:schemeClr val="bg1">
                  <a:lumMod val="75000"/>
                  <a:alpha val="45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s-CL"/>
                  <a:t>Size, microns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spPr>
          <a:ln>
            <a:solidFill>
              <a:schemeClr val="bg1">
                <a:lumMod val="50000"/>
              </a:schemeClr>
            </a:solidFill>
          </a:ln>
        </c:spPr>
        <c:crossAx val="148384000"/>
        <c:crosses val="autoZero"/>
        <c:crossBetween val="midCat"/>
        <c:majorUnit val="10"/>
      </c:valAx>
      <c:valAx>
        <c:axId val="148384000"/>
        <c:scaling>
          <c:orientation val="minMax"/>
          <c:max val="100"/>
          <c:min val="10"/>
        </c:scaling>
        <c:delete val="0"/>
        <c:axPos val="l"/>
        <c:majorGridlines>
          <c:spPr>
            <a:ln>
              <a:solidFill>
                <a:schemeClr val="bg1">
                  <a:lumMod val="75000"/>
                  <a:alpha val="44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CL"/>
                  <a:t>Pasante Acumulado, %</a:t>
                </a:r>
              </a:p>
            </c:rich>
          </c:tx>
          <c:overlay val="0"/>
        </c:title>
        <c:numFmt formatCode="0" sourceLinked="0"/>
        <c:majorTickMark val="out"/>
        <c:minorTickMark val="in"/>
        <c:tickLblPos val="nextTo"/>
        <c:spPr>
          <a:ln>
            <a:solidFill>
              <a:schemeClr val="bg1">
                <a:lumMod val="50000"/>
              </a:schemeClr>
            </a:solidFill>
          </a:ln>
        </c:spPr>
        <c:crossAx val="148382080"/>
        <c:crosses val="autoZero"/>
        <c:crossBetween val="midCat"/>
      </c:valAx>
      <c:spPr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3314687499999998"/>
          <c:y val="0.4826180132251528"/>
          <c:w val="0.12554684278497269"/>
          <c:h val="0.22386266356927639"/>
        </c:manualLayout>
      </c:layout>
      <c:overlay val="0"/>
      <c:spPr>
        <a:solidFill>
          <a:schemeClr val="bg1"/>
        </a:solidFill>
        <a:ln>
          <a:noFill/>
        </a:ln>
      </c:spPr>
    </c:legend>
    <c:plotVisOnly val="1"/>
    <c:dispBlanksAs val="gap"/>
    <c:showDLblsOverMax val="0"/>
  </c:chart>
  <c:spPr>
    <a:ln>
      <a:noFill/>
    </a:ln>
  </c:spPr>
  <c:txPr>
    <a:bodyPr/>
    <a:lstStyle/>
    <a:p>
      <a:pPr>
        <a:defRPr>
          <a:solidFill>
            <a:srgbClr val="252223"/>
          </a:solidFill>
          <a:latin typeface="Source Sans Pro" panose="020B0503030403020204" pitchFamily="34" charset="0"/>
          <a:ea typeface="Source Sans Pro" panose="020B0503030403020204" pitchFamily="34" charset="0"/>
          <a:cs typeface="Open Sans" panose="020B0606030504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US"/>
              <a:t>Cinética Molienda</a:t>
            </a:r>
          </a:p>
        </c:rich>
      </c:tx>
      <c:layout>
        <c:manualLayout>
          <c:xMode val="edge"/>
          <c:yMode val="edge"/>
          <c:x val="0.40605134676409455"/>
          <c:y val="2.363069555583436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135408858111897"/>
          <c:y val="0.15050865492189153"/>
          <c:w val="0.81636201289907717"/>
          <c:h val="0.693175942679129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'3. Cinética Molienda'!$F$73</c:f>
              <c:strCache>
                <c:ptCount val="1"/>
                <c:pt idx="0">
                  <c:v>Cinética Molienda</c:v>
                </c:pt>
              </c:strCache>
            </c:strRef>
          </c:tx>
          <c:spPr>
            <a:ln w="22225">
              <a:noFill/>
            </a:ln>
          </c:spPr>
          <c:marker>
            <c:symbol val="circle"/>
            <c:size val="9"/>
            <c:spPr>
              <a:solidFill>
                <a:schemeClr val="bg1">
                  <a:lumMod val="65000"/>
                </a:schemeClr>
              </a:solidFill>
              <a:ln w="15875">
                <a:solidFill>
                  <a:srgbClr val="252223"/>
                </a:solidFill>
              </a:ln>
            </c:spPr>
          </c:marker>
          <c:trendline>
            <c:spPr>
              <a:ln w="9525" cmpd="sng">
                <a:solidFill>
                  <a:srgbClr val="252223"/>
                </a:solidFill>
                <a:prstDash val="sysDash"/>
              </a:ln>
            </c:spPr>
            <c:trendlineType val="power"/>
            <c:forward val="1"/>
            <c:backward val="1"/>
            <c:dispRSqr val="1"/>
            <c:dispEq val="1"/>
            <c:trendlineLbl>
              <c:layout>
                <c:manualLayout>
                  <c:x val="0.71878484701125811"/>
                  <c:y val="-0.59830791825591445"/>
                </c:manualLayout>
              </c:layout>
              <c:numFmt formatCode="General" sourceLinked="0"/>
            </c:trendlineLbl>
          </c:trendline>
          <c:xVal>
            <c:numRef>
              <c:f>'3. Cinética Molienda'!$B$76:$B$78</c:f>
              <c:numCache>
                <c:formatCode>0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30</c:v>
                </c:pt>
              </c:numCache>
            </c:numRef>
          </c:xVal>
          <c:yVal>
            <c:numRef>
              <c:f>'3. Cinética Molienda'!$D$76:$D$78</c:f>
              <c:numCache>
                <c:formatCode>0</c:formatCode>
                <c:ptCount val="3"/>
                <c:pt idx="0">
                  <c:v>234.02928030667971</c:v>
                </c:pt>
                <c:pt idx="1">
                  <c:v>121.95433362612498</c:v>
                </c:pt>
                <c:pt idx="2">
                  <c:v>93.3739997448005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724-4F43-BF3A-25028EDD7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417536"/>
        <c:axId val="148420096"/>
      </c:scatterChart>
      <c:scatterChart>
        <c:scatterStyle val="lineMarker"/>
        <c:varyColors val="0"/>
        <c:ser>
          <c:idx val="1"/>
          <c:order val="1"/>
          <c:spPr>
            <a:ln>
              <a:solidFill>
                <a:srgbClr val="FF0000">
                  <a:alpha val="44000"/>
                </a:srgbClr>
              </a:solidFill>
            </a:ln>
          </c:spPr>
          <c:marker>
            <c:symbol val="none"/>
          </c:marker>
          <c:xVal>
            <c:numRef>
              <c:f>'[3]Compósito Global'!$T$29:$T$30</c:f>
              <c:numCache>
                <c:formatCode>General</c:formatCode>
                <c:ptCount val="2"/>
              </c:numCache>
            </c:numRef>
          </c:xVal>
          <c:yVal>
            <c:numRef>
              <c:f>'[3]Compósito Global'!$U$29:$U$30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24-4F43-BF3A-25028EDD7FA7}"/>
            </c:ext>
          </c:extLst>
        </c:ser>
        <c:ser>
          <c:idx val="2"/>
          <c:order val="2"/>
          <c:spPr>
            <a:ln>
              <a:solidFill>
                <a:srgbClr val="FF0000">
                  <a:alpha val="44000"/>
                </a:srgbClr>
              </a:solidFill>
            </a:ln>
          </c:spPr>
          <c:marker>
            <c:symbol val="none"/>
          </c:marker>
          <c:xVal>
            <c:numRef>
              <c:f>'[3]Compósito Global'!$T$31:$T$32</c:f>
              <c:numCache>
                <c:formatCode>General</c:formatCode>
                <c:ptCount val="2"/>
              </c:numCache>
            </c:numRef>
          </c:xVal>
          <c:yVal>
            <c:numRef>
              <c:f>'[3]Compósito Global'!$U$31:$U$32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24-4F43-BF3A-25028EDD7FA7}"/>
            </c:ext>
          </c:extLst>
        </c:ser>
        <c:ser>
          <c:idx val="3"/>
          <c:order val="3"/>
          <c:spPr>
            <a:ln>
              <a:noFill/>
            </a:ln>
          </c:spPr>
          <c:marker>
            <c:symbol val="circle"/>
            <c:size val="9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'3. Cinética Molienda'!$D$82</c:f>
              <c:numCache>
                <c:formatCode>0.00</c:formatCode>
                <c:ptCount val="1"/>
                <c:pt idx="0">
                  <c:v>14.79798037301437</c:v>
                </c:pt>
              </c:numCache>
            </c:numRef>
          </c:xVal>
          <c:yVal>
            <c:numRef>
              <c:f>'3. Cinética Molienda'!$D$83</c:f>
              <c:numCache>
                <c:formatCode>0</c:formatCode>
                <c:ptCount val="1"/>
                <c:pt idx="0">
                  <c:v>165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24-4F43-BF3A-25028EDD7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417536"/>
        <c:axId val="148420096"/>
      </c:scatterChart>
      <c:valAx>
        <c:axId val="148417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L"/>
                  <a:t>Tiempo Molienda, min</a:t>
                </a:r>
              </a:p>
            </c:rich>
          </c:tx>
          <c:layout>
            <c:manualLayout>
              <c:xMode val="edge"/>
              <c:yMode val="edge"/>
              <c:x val="0.43232045365135885"/>
              <c:y val="0.91926605863865052"/>
            </c:manualLayout>
          </c:layout>
          <c:overlay val="0"/>
        </c:title>
        <c:numFmt formatCode="#,##0" sourceLinked="0"/>
        <c:majorTickMark val="out"/>
        <c:minorTickMark val="in"/>
        <c:tickLblPos val="nextTo"/>
        <c:spPr>
          <a:ln/>
        </c:spPr>
        <c:crossAx val="148420096"/>
        <c:crosses val="autoZero"/>
        <c:crossBetween val="midCat"/>
      </c:valAx>
      <c:valAx>
        <c:axId val="1484200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P80, micrones</a:t>
                </a:r>
              </a:p>
            </c:rich>
          </c:tx>
          <c:layout>
            <c:manualLayout>
              <c:xMode val="edge"/>
              <c:yMode val="edge"/>
              <c:x val="8.9901960784313621E-4"/>
              <c:y val="0.33259413580246916"/>
            </c:manualLayout>
          </c:layout>
          <c:overlay val="0"/>
        </c:title>
        <c:numFmt formatCode="0" sourceLinked="0"/>
        <c:majorTickMark val="out"/>
        <c:minorTickMark val="in"/>
        <c:tickLblPos val="nextTo"/>
        <c:spPr>
          <a:ln/>
        </c:spPr>
        <c:crossAx val="148417536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Source Sans Pro" panose="020B0503030403020204" pitchFamily="34" charset="0"/>
          <a:ea typeface="Source Sans Pro" panose="020B0503030403020204" pitchFamily="34" charset="0"/>
          <a:cs typeface="Open Sans" panose="020B0606030504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CL">
                <a:latin typeface="Arial" panose="020B0604020202020204" pitchFamily="34" charset="0"/>
                <a:cs typeface="Arial" panose="020B0604020202020204" pitchFamily="34" charset="0"/>
              </a:rPr>
              <a:t>P80 Nominal</a:t>
            </a:r>
            <a:r>
              <a:rPr lang="es-CL" baseline="0">
                <a:latin typeface="Arial" panose="020B0604020202020204" pitchFamily="34" charset="0"/>
                <a:cs typeface="Arial" panose="020B0604020202020204" pitchFamily="34" charset="0"/>
              </a:rPr>
              <a:t> vs Rec. Experimental de Cu</a:t>
            </a:r>
            <a:endParaRPr lang="es-CL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4240516302574988"/>
          <c:y val="0.12781312074723883"/>
          <c:w val="0.82955149726743049"/>
          <c:h val="0.6710327595724426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'4. SKT Mineral actual y futuro '!$B$115:$B$117</c:f>
              <c:numCache>
                <c:formatCode>General</c:formatCode>
                <c:ptCount val="3"/>
                <c:pt idx="0">
                  <c:v>45</c:v>
                </c:pt>
                <c:pt idx="1">
                  <c:v>35</c:v>
                </c:pt>
                <c:pt idx="2">
                  <c:v>25</c:v>
                </c:pt>
              </c:numCache>
            </c:numRef>
          </c:cat>
          <c:val>
            <c:numRef>
              <c:f>'4. SKT Mineral actual y futuro '!$C$115:$C$117</c:f>
              <c:numCache>
                <c:formatCode>0.00</c:formatCode>
                <c:ptCount val="3"/>
                <c:pt idx="0">
                  <c:v>93.295887152511241</c:v>
                </c:pt>
                <c:pt idx="1">
                  <c:v>99.087393329221939</c:v>
                </c:pt>
                <c:pt idx="2">
                  <c:v>98.93489098203294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D5-4A1C-BC80-AE0CFA173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998224"/>
        <c:axId val="127999184"/>
      </c:barChart>
      <c:catAx>
        <c:axId val="127998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L" sz="1200">
                    <a:latin typeface="Arial" panose="020B0604020202020204" pitchFamily="34" charset="0"/>
                    <a:cs typeface="Arial" panose="020B0604020202020204" pitchFamily="34" charset="0"/>
                  </a:rPr>
                  <a:t>P80 Nominal Remolienda, µm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27999184"/>
        <c:crosses val="autoZero"/>
        <c:auto val="1"/>
        <c:lblAlgn val="ctr"/>
        <c:lblOffset val="100"/>
        <c:noMultiLvlLbl val="0"/>
      </c:catAx>
      <c:valAx>
        <c:axId val="12799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L" sz="1200">
                    <a:latin typeface="Arial" panose="020B0604020202020204" pitchFamily="34" charset="0"/>
                    <a:cs typeface="Arial" panose="020B0604020202020204" pitchFamily="34" charset="0"/>
                  </a:rPr>
                  <a:t>Recuperación, % Cu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27998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CL" sz="1400">
                <a:latin typeface="Arial" panose="020B0604020202020204" pitchFamily="34" charset="0"/>
                <a:cs typeface="Arial" panose="020B0604020202020204" pitchFamily="34" charset="0"/>
              </a:rPr>
              <a:t>P80 Nominal Rem. vs Constante</a:t>
            </a:r>
            <a:r>
              <a:rPr lang="es-CL" sz="1400" baseline="0">
                <a:latin typeface="Arial" panose="020B0604020202020204" pitchFamily="34" charset="0"/>
                <a:cs typeface="Arial" panose="020B0604020202020204" pitchFamily="34" charset="0"/>
              </a:rPr>
              <a:t> de Flotación (k)</a:t>
            </a:r>
            <a:endParaRPr lang="es-CL" sz="14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0.12507924104906742"/>
                  <c:y val="0.4821162414310739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CL"/>
                </a:p>
              </c:txPr>
            </c:trendlineLbl>
          </c:trendline>
          <c:xVal>
            <c:numRef>
              <c:f>'4. SKT Mineral actual y futuro '!$B$115:$B$117</c:f>
              <c:numCache>
                <c:formatCode>General</c:formatCode>
                <c:ptCount val="3"/>
                <c:pt idx="0">
                  <c:v>45</c:v>
                </c:pt>
                <c:pt idx="1">
                  <c:v>35</c:v>
                </c:pt>
                <c:pt idx="2">
                  <c:v>25</c:v>
                </c:pt>
              </c:numCache>
            </c:numRef>
          </c:xVal>
          <c:yVal>
            <c:numRef>
              <c:f>'4. SKT Mineral actual y futuro '!$E$115:$E$117</c:f>
              <c:numCache>
                <c:formatCode>0.00</c:formatCode>
                <c:ptCount val="3"/>
                <c:pt idx="0">
                  <c:v>3.2105681710821194</c:v>
                </c:pt>
                <c:pt idx="1">
                  <c:v>2.499176432564004</c:v>
                </c:pt>
                <c:pt idx="2">
                  <c:v>2.1056917079795414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FE9-4756-A304-A9EFF8CB4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424000"/>
        <c:axId val="550923248"/>
      </c:scatterChart>
      <c:valAx>
        <c:axId val="55942400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L" sz="1200">
                    <a:latin typeface="Arial" panose="020B0604020202020204" pitchFamily="34" charset="0"/>
                    <a:cs typeface="Arial" panose="020B0604020202020204" pitchFamily="34" charset="0"/>
                  </a:rPr>
                  <a:t>P80 Nominal de Remolienda, µm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550923248"/>
        <c:crosses val="autoZero"/>
        <c:crossBetween val="midCat"/>
      </c:valAx>
      <c:valAx>
        <c:axId val="55092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L" sz="1200">
                    <a:latin typeface="Arial" panose="020B0604020202020204" pitchFamily="34" charset="0"/>
                    <a:cs typeface="Arial" panose="020B0604020202020204" pitchFamily="34" charset="0"/>
                  </a:rPr>
                  <a:t>k sulf. Cu, 1/seg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55942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CL" sz="1400">
                <a:latin typeface="Arial" panose="020B0604020202020204" pitchFamily="34" charset="0"/>
                <a:cs typeface="Arial" panose="020B0604020202020204" pitchFamily="34" charset="0"/>
              </a:rPr>
              <a:t>P80 Nominal Rem. vs Constante</a:t>
            </a:r>
            <a:r>
              <a:rPr lang="es-CL" sz="1400" baseline="0">
                <a:latin typeface="Arial" panose="020B0604020202020204" pitchFamily="34" charset="0"/>
                <a:cs typeface="Arial" panose="020B0604020202020204" pitchFamily="34" charset="0"/>
              </a:rPr>
              <a:t> de Flotación (Rmáx)</a:t>
            </a:r>
            <a:endParaRPr lang="es-CL" sz="14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0491623356601838"/>
                  <c:y val="6.1159001405164978E-4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CL"/>
                </a:p>
              </c:txPr>
            </c:trendlineLbl>
          </c:trendline>
          <c:xVal>
            <c:numRef>
              <c:f>'4. SKT Mineral actual y futuro '!$B$115:$B$117</c:f>
              <c:numCache>
                <c:formatCode>General</c:formatCode>
                <c:ptCount val="3"/>
                <c:pt idx="0">
                  <c:v>45</c:v>
                </c:pt>
                <c:pt idx="1">
                  <c:v>35</c:v>
                </c:pt>
                <c:pt idx="2">
                  <c:v>25</c:v>
                </c:pt>
              </c:numCache>
            </c:numRef>
          </c:xVal>
          <c:yVal>
            <c:numRef>
              <c:f>'4. SKT Mineral actual y futuro '!$D$115:$D$117</c:f>
              <c:numCache>
                <c:formatCode>0.00</c:formatCode>
                <c:ptCount val="3"/>
                <c:pt idx="0">
                  <c:v>85.88746474183732</c:v>
                </c:pt>
                <c:pt idx="1">
                  <c:v>96.26766999221438</c:v>
                </c:pt>
                <c:pt idx="2">
                  <c:v>95.92863014631007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C55-43FD-B2E5-77266C811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424000"/>
        <c:axId val="550923248"/>
      </c:scatterChart>
      <c:valAx>
        <c:axId val="55942400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L" sz="1200">
                    <a:latin typeface="Arial" panose="020B0604020202020204" pitchFamily="34" charset="0"/>
                    <a:cs typeface="Arial" panose="020B0604020202020204" pitchFamily="34" charset="0"/>
                  </a:rPr>
                  <a:t>P80 Nominal de Remolienda, µm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550923248"/>
        <c:crosses val="autoZero"/>
        <c:crossBetween val="midCat"/>
      </c:valAx>
      <c:valAx>
        <c:axId val="55092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L" sz="1200">
                    <a:latin typeface="Arial" panose="020B0604020202020204" pitchFamily="34" charset="0"/>
                    <a:cs typeface="Arial" panose="020B0604020202020204" pitchFamily="34" charset="0"/>
                  </a:rPr>
                  <a:t>Rmáx sulf. Cu,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55942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sz="1800" b="1"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s-CL" sz="1800" b="1">
                <a:latin typeface="Arial" panose="020B0604020202020204" pitchFamily="34" charset="0"/>
                <a:cs typeface="Arial" panose="020B0604020202020204" pitchFamily="34" charset="0"/>
              </a:rPr>
              <a:t>Simulación Rendimiento</a:t>
            </a:r>
            <a:r>
              <a:rPr lang="es-CL" sz="1800" b="1" baseline="0">
                <a:latin typeface="Arial" panose="020B0604020202020204" pitchFamily="34" charset="0"/>
                <a:cs typeface="Arial" panose="020B0604020202020204" pitchFamily="34" charset="0"/>
              </a:rPr>
              <a:t> Rougher</a:t>
            </a:r>
            <a:endParaRPr lang="es-CL" sz="18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499011070205949"/>
          <c:y val="0.1283548484289348"/>
          <c:w val="0.82782807571147565"/>
          <c:h val="0.7157209289289476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'4. SKT Mineral actual y futuro '!$R$120</c:f>
              <c:strCache>
                <c:ptCount val="1"/>
                <c:pt idx="0">
                  <c:v>Muestra Futuro</c:v>
                </c:pt>
              </c:strCache>
            </c:strRef>
          </c:tx>
          <c:marker>
            <c:symbol val="circle"/>
            <c:size val="8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>
                <a:outerShdw sx="97000" sy="97000" algn="ctr" rotWithShape="0">
                  <a:srgbClr val="FFFFFF"/>
                </a:outerShdw>
              </a:effectLst>
            </c:spPr>
          </c:marker>
          <c:xVal>
            <c:numRef>
              <c:f>'4. SKT Mineral actual y futuro '!$T$120:$X$120</c:f>
              <c:numCache>
                <c:formatCode>0.00</c:formatCode>
                <c:ptCount val="5"/>
                <c:pt idx="0">
                  <c:v>49.782475782667277</c:v>
                </c:pt>
                <c:pt idx="1">
                  <c:v>74.28277814496829</c:v>
                </c:pt>
                <c:pt idx="2">
                  <c:v>83.905819257399926</c:v>
                </c:pt>
                <c:pt idx="3">
                  <c:v>87.61639532378625</c:v>
                </c:pt>
                <c:pt idx="4">
                  <c:v>88.652192596160901</c:v>
                </c:pt>
              </c:numCache>
            </c:numRef>
          </c:xVal>
          <c:yVal>
            <c:numRef>
              <c:f>'4. SKT Mineral actual y futuro '!$T$121:$X$121</c:f>
              <c:numCache>
                <c:formatCode>0.00</c:formatCode>
                <c:ptCount val="5"/>
                <c:pt idx="0">
                  <c:v>10.70588549996965</c:v>
                </c:pt>
                <c:pt idx="1">
                  <c:v>8.8740701834190947</c:v>
                </c:pt>
                <c:pt idx="2">
                  <c:v>7.1944425950077724</c:v>
                </c:pt>
                <c:pt idx="3">
                  <c:v>5.4481610267702623</c:v>
                </c:pt>
                <c:pt idx="4">
                  <c:v>3.5089494351063832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4B-440D-9E1A-F9D4CE368C8B}"/>
            </c:ext>
          </c:extLst>
        </c:ser>
        <c:ser>
          <c:idx val="1"/>
          <c:order val="1"/>
          <c:tx>
            <c:strRef>
              <c:f>'4. SKT Mineral actual y futuro '!$R$127</c:f>
              <c:strCache>
                <c:ptCount val="1"/>
                <c:pt idx="0">
                  <c:v>Muestra Actual LS2</c:v>
                </c:pt>
              </c:strCache>
            </c:strRef>
          </c:tx>
          <c:marker>
            <c:symbol val="square"/>
            <c:size val="8"/>
          </c:marker>
          <c:xVal>
            <c:numRef>
              <c:f>'4. SKT Mineral actual y futuro '!$T$127:$X$127</c:f>
              <c:numCache>
                <c:formatCode>0.00</c:formatCode>
                <c:ptCount val="5"/>
                <c:pt idx="0">
                  <c:v>60.801308110634032</c:v>
                </c:pt>
                <c:pt idx="1">
                  <c:v>78.339213433824298</c:v>
                </c:pt>
                <c:pt idx="2">
                  <c:v>86.598307732386843</c:v>
                </c:pt>
                <c:pt idx="3">
                  <c:v>90.36383085712086</c:v>
                </c:pt>
                <c:pt idx="4">
                  <c:v>91.91455677063577</c:v>
                </c:pt>
              </c:numCache>
            </c:numRef>
          </c:xVal>
          <c:yVal>
            <c:numRef>
              <c:f>'4. SKT Mineral actual y futuro '!$T$128:$X$128</c:f>
              <c:numCache>
                <c:formatCode>0.00</c:formatCode>
                <c:ptCount val="5"/>
                <c:pt idx="0">
                  <c:v>6.0625684594797455</c:v>
                </c:pt>
                <c:pt idx="1">
                  <c:v>5.7691589076616934</c:v>
                </c:pt>
                <c:pt idx="2">
                  <c:v>5.174932550894356</c:v>
                </c:pt>
                <c:pt idx="3">
                  <c:v>4.4037438763153309</c:v>
                </c:pt>
                <c:pt idx="4">
                  <c:v>3.3856363029669212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4B-440D-9E1A-F9D4CE368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1599616"/>
        <c:axId val="261601536"/>
      </c:scatterChart>
      <c:valAx>
        <c:axId val="261599616"/>
        <c:scaling>
          <c:orientation val="minMax"/>
          <c:min val="40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400" b="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s-CL" sz="1400" b="0">
                    <a:latin typeface="Arial" panose="020B0604020202020204" pitchFamily="34" charset="0"/>
                    <a:cs typeface="Arial" panose="020B0604020202020204" pitchFamily="34" charset="0"/>
                  </a:rPr>
                  <a:t>Recuperación, [% Cu]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2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s-CL"/>
          </a:p>
        </c:txPr>
        <c:crossAx val="261601536"/>
        <c:crosses val="autoZero"/>
        <c:crossBetween val="midCat"/>
      </c:valAx>
      <c:valAx>
        <c:axId val="261601536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400" b="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s-CL" sz="1400" b="0">
                    <a:latin typeface="Arial" panose="020B0604020202020204" pitchFamily="34" charset="0"/>
                    <a:cs typeface="Arial" panose="020B0604020202020204" pitchFamily="34" charset="0"/>
                  </a:rPr>
                  <a:t>Ley</a:t>
                </a:r>
                <a:r>
                  <a:rPr lang="es-CL" sz="1400" b="0" baseline="0">
                    <a:latin typeface="Arial" panose="020B0604020202020204" pitchFamily="34" charset="0"/>
                    <a:cs typeface="Arial" panose="020B0604020202020204" pitchFamily="34" charset="0"/>
                  </a:rPr>
                  <a:t> Conc. Rougher,[</a:t>
                </a:r>
                <a:r>
                  <a:rPr lang="es-CL" sz="1400" b="0">
                    <a:latin typeface="Arial" panose="020B0604020202020204" pitchFamily="34" charset="0"/>
                    <a:cs typeface="Arial" panose="020B0604020202020204" pitchFamily="34" charset="0"/>
                  </a:rPr>
                  <a:t> % Cu]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sz="12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s-CL"/>
          </a:p>
        </c:txPr>
        <c:crossAx val="261599616"/>
        <c:crosses val="autoZero"/>
        <c:crossBetween val="midCat"/>
      </c:valAx>
      <c:spPr>
        <a:ln>
          <a:solidFill>
            <a:schemeClr val="bg1">
              <a:lumMod val="9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4661632404724148"/>
          <c:y val="0.67087647962179109"/>
          <c:w val="0.28789968541821981"/>
          <c:h val="0.13990139700396617"/>
        </c:manualLayout>
      </c:layout>
      <c:overlay val="0"/>
      <c:spPr>
        <a:solidFill>
          <a:schemeClr val="bg1"/>
        </a:solidFill>
      </c:spPr>
      <c:txPr>
        <a:bodyPr/>
        <a:lstStyle/>
        <a:p>
          <a:pPr>
            <a:defRPr sz="1400">
              <a:latin typeface="Arial" panose="020B0604020202020204" pitchFamily="34" charset="0"/>
              <a:cs typeface="Arial" panose="020B0604020202020204" pitchFamily="34" charset="0"/>
            </a:defRPr>
          </a:pPr>
          <a:endParaRPr lang="es-CL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sz="1800" b="1"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s-CL" sz="1800" b="1">
                <a:latin typeface="Arial" panose="020B0604020202020204" pitchFamily="34" charset="0"/>
                <a:cs typeface="Arial" panose="020B0604020202020204" pitchFamily="34" charset="0"/>
              </a:rPr>
              <a:t>Simulación Rendimiento</a:t>
            </a:r>
            <a:r>
              <a:rPr lang="es-CL" sz="1800" b="1" baseline="0">
                <a:latin typeface="Arial" panose="020B0604020202020204" pitchFamily="34" charset="0"/>
                <a:cs typeface="Arial" panose="020B0604020202020204" pitchFamily="34" charset="0"/>
              </a:rPr>
              <a:t> Rougher</a:t>
            </a:r>
            <a:endParaRPr lang="es-CL" sz="18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389874964086187"/>
          <c:y val="0.12835483343455933"/>
          <c:w val="0.81270270825523727"/>
          <c:h val="0.7157209289289476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'4. SKT Mineral actual y futuro '!$R$120</c:f>
              <c:strCache>
                <c:ptCount val="1"/>
                <c:pt idx="0">
                  <c:v>Muestra Futuro</c:v>
                </c:pt>
              </c:strCache>
            </c:strRef>
          </c:tx>
          <c:marker>
            <c:symbol val="circle"/>
            <c:size val="8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>
                <a:outerShdw sx="97000" sy="97000" algn="ctr" rotWithShape="0">
                  <a:srgbClr val="FFFFFF"/>
                </a:outerShdw>
              </a:effectLst>
            </c:spPr>
          </c:marker>
          <c:xVal>
            <c:numRef>
              <c:f>'4. SKT Mineral actual y futuro '!$T$120:$X$120</c:f>
              <c:numCache>
                <c:formatCode>0.00</c:formatCode>
                <c:ptCount val="5"/>
                <c:pt idx="0">
                  <c:v>49.782475782667277</c:v>
                </c:pt>
                <c:pt idx="1">
                  <c:v>74.28277814496829</c:v>
                </c:pt>
                <c:pt idx="2">
                  <c:v>83.905819257399926</c:v>
                </c:pt>
                <c:pt idx="3">
                  <c:v>87.61639532378625</c:v>
                </c:pt>
                <c:pt idx="4">
                  <c:v>88.652192596160901</c:v>
                </c:pt>
              </c:numCache>
            </c:numRef>
          </c:xVal>
          <c:yVal>
            <c:numRef>
              <c:f>'4. SKT Mineral actual y futuro '!$T$122:$X$122</c:f>
              <c:numCache>
                <c:formatCode>0.00</c:formatCode>
                <c:ptCount val="5"/>
                <c:pt idx="0">
                  <c:v>3.069006670831063</c:v>
                </c:pt>
                <c:pt idx="1">
                  <c:v>5.5247065396534385</c:v>
                </c:pt>
                <c:pt idx="2">
                  <c:v>7.6973080233221483</c:v>
                </c:pt>
                <c:pt idx="3">
                  <c:v>10.614007300731229</c:v>
                </c:pt>
                <c:pt idx="4">
                  <c:v>16.674633874196108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B6-4709-9D6F-FCF4F14B0B86}"/>
            </c:ext>
          </c:extLst>
        </c:ser>
        <c:ser>
          <c:idx val="1"/>
          <c:order val="1"/>
          <c:tx>
            <c:strRef>
              <c:f>'4. SKT Mineral actual y futuro '!$R$127</c:f>
              <c:strCache>
                <c:ptCount val="1"/>
                <c:pt idx="0">
                  <c:v>Muestra Actual LS2</c:v>
                </c:pt>
              </c:strCache>
            </c:strRef>
          </c:tx>
          <c:marker>
            <c:symbol val="square"/>
            <c:size val="8"/>
          </c:marker>
          <c:xVal>
            <c:numRef>
              <c:f>'4. SKT Mineral actual y futuro '!$T$127:$X$127</c:f>
              <c:numCache>
                <c:formatCode>0.00</c:formatCode>
                <c:ptCount val="5"/>
                <c:pt idx="0">
                  <c:v>60.801308110634032</c:v>
                </c:pt>
                <c:pt idx="1">
                  <c:v>78.339213433824298</c:v>
                </c:pt>
                <c:pt idx="2">
                  <c:v>86.598307732386843</c:v>
                </c:pt>
                <c:pt idx="3">
                  <c:v>90.36383085712086</c:v>
                </c:pt>
                <c:pt idx="4">
                  <c:v>91.91455677063577</c:v>
                </c:pt>
              </c:numCache>
            </c:numRef>
          </c:xVal>
          <c:yVal>
            <c:numRef>
              <c:f>'4. SKT Mineral actual y futuro '!$T$129:$X$129</c:f>
              <c:numCache>
                <c:formatCode>0.00</c:formatCode>
                <c:ptCount val="5"/>
                <c:pt idx="0">
                  <c:v>4.8139048801122808</c:v>
                </c:pt>
                <c:pt idx="1">
                  <c:v>6.5179037447378132</c:v>
                </c:pt>
                <c:pt idx="2">
                  <c:v>8.0324114957521235</c:v>
                </c:pt>
                <c:pt idx="3">
                  <c:v>9.8494917119726164</c:v>
                </c:pt>
                <c:pt idx="4">
                  <c:v>13.031224650811593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0B6-4709-9D6F-FCF4F14B0B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1599616"/>
        <c:axId val="261601536"/>
      </c:scatterChart>
      <c:valAx>
        <c:axId val="261599616"/>
        <c:scaling>
          <c:orientation val="minMax"/>
          <c:min val="40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400" b="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s-CL" sz="1400" b="0">
                    <a:latin typeface="Arial" panose="020B0604020202020204" pitchFamily="34" charset="0"/>
                    <a:cs typeface="Arial" panose="020B0604020202020204" pitchFamily="34" charset="0"/>
                  </a:rPr>
                  <a:t>Recuperación, [% Cu]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2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s-CL"/>
          </a:p>
        </c:txPr>
        <c:crossAx val="261601536"/>
        <c:crosses val="autoZero"/>
        <c:crossBetween val="midCat"/>
      </c:valAx>
      <c:valAx>
        <c:axId val="261601536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400" b="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s-CL" sz="1400" b="0">
                    <a:latin typeface="Arial" panose="020B0604020202020204" pitchFamily="34" charset="0"/>
                    <a:cs typeface="Arial" panose="020B0604020202020204" pitchFamily="34" charset="0"/>
                  </a:rPr>
                  <a:t>Recuperación Masa, [%]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sz="12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s-CL"/>
          </a:p>
        </c:txPr>
        <c:crossAx val="261599616"/>
        <c:crosses val="autoZero"/>
        <c:crossBetween val="midCat"/>
        <c:majorUnit val="3"/>
      </c:valAx>
      <c:spPr>
        <a:ln>
          <a:solidFill>
            <a:schemeClr val="bg1">
              <a:lumMod val="9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4661629621777997"/>
          <c:y val="0.15968429607562126"/>
          <c:w val="0.28789968541821981"/>
          <c:h val="0.13990139700396617"/>
        </c:manualLayout>
      </c:layout>
      <c:overlay val="0"/>
      <c:spPr>
        <a:solidFill>
          <a:schemeClr val="bg1"/>
        </a:solidFill>
      </c:spPr>
      <c:txPr>
        <a:bodyPr/>
        <a:lstStyle/>
        <a:p>
          <a:pPr>
            <a:defRPr sz="1400">
              <a:latin typeface="Arial" panose="020B0604020202020204" pitchFamily="34" charset="0"/>
              <a:cs typeface="Arial" panose="020B0604020202020204" pitchFamily="34" charset="0"/>
            </a:defRPr>
          </a:pPr>
          <a:endParaRPr lang="es-CL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r>
              <a:rPr lang="es-CL" sz="1800" b="1">
                <a:latin typeface="Source Sans Pro" panose="020B0503030403020204" pitchFamily="34" charset="0"/>
                <a:cs typeface="Arial" panose="020B0604020202020204" pitchFamily="34" charset="0"/>
              </a:rPr>
              <a:t>Comparación</a:t>
            </a:r>
            <a:r>
              <a:rPr lang="es-CL" sz="1800" b="1" baseline="0">
                <a:latin typeface="Source Sans Pro" panose="020B0503030403020204" pitchFamily="34" charset="0"/>
                <a:cs typeface="Arial" panose="020B0604020202020204" pitchFamily="34" charset="0"/>
              </a:rPr>
              <a:t> LS2 vs Lab</a:t>
            </a:r>
            <a:endParaRPr lang="es-CL" sz="1800" b="1">
              <a:latin typeface="Source Sans Pro" panose="020B0503030403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ource Sans Pro" panose="020B0503030403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9.7908685483082528E-2"/>
          <c:y val="0.10347322013353276"/>
          <c:w val="0.84100564793297683"/>
          <c:h val="0.772886551998163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'5. Análisis Granulométrico'!$B$4</c:f>
              <c:strCache>
                <c:ptCount val="1"/>
                <c:pt idx="0">
                  <c:v>Granulometría Planta Laguna Seca 2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'5. Análisis Granulométrico'!$C$6:$C$13</c:f>
              <c:numCache>
                <c:formatCode>0</c:formatCode>
                <c:ptCount val="8"/>
                <c:pt idx="0">
                  <c:v>600</c:v>
                </c:pt>
                <c:pt idx="1">
                  <c:v>425</c:v>
                </c:pt>
                <c:pt idx="2">
                  <c:v>300</c:v>
                </c:pt>
                <c:pt idx="3">
                  <c:v>212</c:v>
                </c:pt>
                <c:pt idx="4">
                  <c:v>150</c:v>
                </c:pt>
                <c:pt idx="5">
                  <c:v>106</c:v>
                </c:pt>
                <c:pt idx="6">
                  <c:v>75</c:v>
                </c:pt>
                <c:pt idx="7">
                  <c:v>53</c:v>
                </c:pt>
              </c:numCache>
            </c:numRef>
          </c:xVal>
          <c:yVal>
            <c:numRef>
              <c:f>'5. Análisis Granulométrico'!$D$6:$D$13</c:f>
              <c:numCache>
                <c:formatCode>0.0</c:formatCode>
                <c:ptCount val="8"/>
                <c:pt idx="0">
                  <c:v>100</c:v>
                </c:pt>
                <c:pt idx="1">
                  <c:v>99.770965110039057</c:v>
                </c:pt>
                <c:pt idx="2">
                  <c:v>95.978405248408549</c:v>
                </c:pt>
                <c:pt idx="3">
                  <c:v>87.593976715218815</c:v>
                </c:pt>
                <c:pt idx="4">
                  <c:v>77.099629635315722</c:v>
                </c:pt>
                <c:pt idx="5">
                  <c:v>67.82927052928315</c:v>
                </c:pt>
                <c:pt idx="6">
                  <c:v>59.522313951892841</c:v>
                </c:pt>
                <c:pt idx="7">
                  <c:v>52.457381748604682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CC-4799-926A-29A6A65A8382}"/>
            </c:ext>
          </c:extLst>
        </c:ser>
        <c:ser>
          <c:idx val="1"/>
          <c:order val="1"/>
          <c:tx>
            <c:strRef>
              <c:f>'5. Análisis Granulométrico'!$B$27</c:f>
              <c:strCache>
                <c:ptCount val="1"/>
                <c:pt idx="0">
                  <c:v>Granulometría Lab Aminpro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8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'5. Análisis Granulométrico'!$C$29:$C$37</c:f>
              <c:numCache>
                <c:formatCode>General</c:formatCode>
                <c:ptCount val="9"/>
                <c:pt idx="0">
                  <c:v>850</c:v>
                </c:pt>
                <c:pt idx="1">
                  <c:v>600</c:v>
                </c:pt>
                <c:pt idx="2">
                  <c:v>425</c:v>
                </c:pt>
                <c:pt idx="3">
                  <c:v>300</c:v>
                </c:pt>
                <c:pt idx="4">
                  <c:v>212</c:v>
                </c:pt>
                <c:pt idx="5">
                  <c:v>150</c:v>
                </c:pt>
                <c:pt idx="6">
                  <c:v>106</c:v>
                </c:pt>
                <c:pt idx="7">
                  <c:v>75</c:v>
                </c:pt>
                <c:pt idx="8">
                  <c:v>53</c:v>
                </c:pt>
              </c:numCache>
            </c:numRef>
          </c:xVal>
          <c:yVal>
            <c:numRef>
              <c:f>'5. Análisis Granulométrico'!$D$29:$D$37</c:f>
              <c:numCache>
                <c:formatCode>0.0</c:formatCode>
                <c:ptCount val="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99.160906043471968</c:v>
                </c:pt>
                <c:pt idx="4">
                  <c:v>89.221288612871604</c:v>
                </c:pt>
                <c:pt idx="5">
                  <c:v>76.901561373466151</c:v>
                </c:pt>
                <c:pt idx="6">
                  <c:v>65.389051844532446</c:v>
                </c:pt>
                <c:pt idx="7">
                  <c:v>55.627128595334639</c:v>
                </c:pt>
                <c:pt idx="8">
                  <c:v>47.565687839370185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CC-4799-926A-29A6A65A8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1824240"/>
        <c:axId val="1281815600"/>
      </c:scatterChart>
      <c:valAx>
        <c:axId val="1281824240"/>
        <c:scaling>
          <c:logBase val="10"/>
          <c:orientation val="minMax"/>
          <c:max val="100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ource Sans Pro" panose="020B0503030403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400">
                    <a:latin typeface="Source Sans Pro" panose="020B0503030403020204" pitchFamily="34" charset="0"/>
                    <a:cs typeface="Arial" panose="020B0604020202020204" pitchFamily="34" charset="0"/>
                  </a:rPr>
                  <a:t>Tamaño, µm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ource Sans Pro" panose="020B0503030403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281815600"/>
        <c:crosses val="autoZero"/>
        <c:crossBetween val="midCat"/>
      </c:valAx>
      <c:valAx>
        <c:axId val="1281815600"/>
        <c:scaling>
          <c:orientation val="minMax"/>
          <c:max val="110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ource Sans Pro" panose="020B0503030403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400">
                    <a:latin typeface="Source Sans Pro" panose="020B0503030403020204" pitchFamily="34" charset="0"/>
                    <a:cs typeface="Arial" panose="020B0604020202020204" pitchFamily="34" charset="0"/>
                  </a:rPr>
                  <a:t>Pasante</a:t>
                </a:r>
                <a:r>
                  <a:rPr lang="en-US" sz="1400" baseline="0">
                    <a:latin typeface="Source Sans Pro" panose="020B0503030403020204" pitchFamily="34" charset="0"/>
                    <a:cs typeface="Arial" panose="020B0604020202020204" pitchFamily="34" charset="0"/>
                  </a:rPr>
                  <a:t> Acumulado</a:t>
                </a:r>
                <a:r>
                  <a:rPr lang="en-US" sz="1400">
                    <a:latin typeface="Source Sans Pro" panose="020B0503030403020204" pitchFamily="34" charset="0"/>
                    <a:cs typeface="Arial" panose="020B0604020202020204" pitchFamily="34" charset="0"/>
                  </a:rPr>
                  <a:t>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ource Sans Pro" panose="020B0503030403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281824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0340781726608499"/>
          <c:y val="0.12525937746547181"/>
          <c:w val="0.45236025395474216"/>
          <c:h val="0.15009190122400651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ource Sans Pro" panose="020B0503030403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r>
              <a:rPr lang="en-US"/>
              <a:t>Compósito Global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ource Sans Pro" panose="020B0503030403020204" pitchFamily="34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'6. Análisis Químico Cabeza'!$C$7</c:f>
              <c:strCache>
                <c:ptCount val="1"/>
                <c:pt idx="0">
                  <c:v>Alimentación Compósito Global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530-498C-BC39-575B6D443252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530-498C-BC39-575B6D44325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530-498C-BC39-575B6D443252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530-498C-BC39-575B6D44325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'6. Análisis Químico Cabeza'!$D$4:$I$5</c15:sqref>
                  </c15:fullRef>
                </c:ext>
              </c:extLst>
              <c:f>'6. Análisis Químico Cabeza'!$D$4:$I$5</c:f>
              <c:multiLvlStrCache>
                <c:ptCount val="4"/>
                <c:lvl>
                  <c:pt idx="0">
                    <c:v>%</c:v>
                  </c:pt>
                  <c:pt idx="1">
                    <c:v>%</c:v>
                  </c:pt>
                  <c:pt idx="2">
                    <c:v>%</c:v>
                  </c:pt>
                  <c:pt idx="3">
                    <c:v>%</c:v>
                  </c:pt>
                </c:lvl>
                <c:lvl>
                  <c:pt idx="0">
                    <c:v>Cu</c:v>
                  </c:pt>
                  <c:pt idx="1">
                    <c:v>Fe</c:v>
                  </c:pt>
                  <c:pt idx="2">
                    <c:v>Cu sol</c:v>
                  </c:pt>
                  <c:pt idx="3">
                    <c:v>S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'6. Análisis Químico Cabeza'!$D$7:$I$7</c15:sqref>
                  </c15:fullRef>
                </c:ext>
              </c:extLst>
              <c:f>('6. Análisis Químico Cabeza'!$D$7:$E$7,'6. Análisis Químico Cabeza'!$G$7:$H$7)</c:f>
              <c:numCache>
                <c:formatCode>0.00</c:formatCode>
                <c:ptCount val="4"/>
                <c:pt idx="0">
                  <c:v>0.66</c:v>
                </c:pt>
                <c:pt idx="1">
                  <c:v>2.2400000000000002</c:v>
                </c:pt>
                <c:pt idx="2" formatCode="General">
                  <c:v>5.3999999999999999E-2</c:v>
                </c:pt>
                <c:pt idx="3" formatCode="General">
                  <c:v>2.13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30-498C-BC39-575B6D443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0034095"/>
        <c:axId val="1180036495"/>
      </c:barChart>
      <c:catAx>
        <c:axId val="11800340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r>
                  <a:rPr lang="es-CL" sz="800"/>
                  <a:t>Químicos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ource Sans Pro" panose="020B0503030403020204" pitchFamily="34" charset="0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endParaRPr lang="es-CL"/>
          </a:p>
        </c:txPr>
        <c:crossAx val="1180036495"/>
        <c:crosses val="autoZero"/>
        <c:auto val="1"/>
        <c:lblAlgn val="ctr"/>
        <c:lblOffset val="100"/>
        <c:noMultiLvlLbl val="0"/>
      </c:catAx>
      <c:valAx>
        <c:axId val="118003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r>
                  <a:rPr lang="es-CL" sz="800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ource Sans Pro" panose="020B0503030403020204" pitchFamily="34" charset="0"/>
                  <a:ea typeface="+mn-ea"/>
                  <a:cs typeface="+mn-cs"/>
                </a:defRPr>
              </a:pPr>
              <a:endParaRPr lang="es-C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endParaRPr lang="es-CL"/>
          </a:p>
        </c:txPr>
        <c:crossAx val="1180034095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ource Sans Pro" panose="020B0503030403020204" pitchFamily="34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Source Sans Pro" panose="020B0503030403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r>
              <a:rPr lang="en-US" sz="1200"/>
              <a:t>Compósito Global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ource Sans Pro" panose="020B0503030403020204" pitchFamily="34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'6. Análisis Químico Cabeza'!$C$7</c:f>
              <c:strCache>
                <c:ptCount val="1"/>
                <c:pt idx="0">
                  <c:v>Alimentación Compósito Global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'6. Análisis Químico Cabeza'!$D$4:$I$5</c15:sqref>
                  </c15:fullRef>
                </c:ext>
              </c:extLst>
              <c:f>'6. Análisis Químico Cabeza'!$F$4:$F$5</c:f>
              <c:multiLvlStrCache>
                <c:ptCount val="1"/>
                <c:lvl>
                  <c:pt idx="0">
                    <c:v>G/T</c:v>
                  </c:pt>
                </c:lvl>
                <c:lvl>
                  <c:pt idx="0">
                    <c:v>Mo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'6. Análisis Químico Cabeza'!$D$7:$I$7</c15:sqref>
                  </c15:fullRef>
                </c:ext>
              </c:extLst>
              <c:f>'6. Análisis Químico Cabeza'!$F$7</c:f>
              <c:numCache>
                <c:formatCode>0.00</c:formatCode>
                <c:ptCount val="1"/>
                <c:pt idx="0" formatCode="0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AC-4D18-8B8E-92002AF755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0034095"/>
        <c:axId val="1180036495"/>
      </c:barChart>
      <c:catAx>
        <c:axId val="11800340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r>
                  <a:rPr lang="es-CL"/>
                  <a:t>Químicos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ource Sans Pro" panose="020B0503030403020204" pitchFamily="34" charset="0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endParaRPr lang="es-CL"/>
          </a:p>
        </c:txPr>
        <c:crossAx val="1180036495"/>
        <c:crosses val="autoZero"/>
        <c:auto val="1"/>
        <c:lblAlgn val="ctr"/>
        <c:lblOffset val="100"/>
        <c:noMultiLvlLbl val="0"/>
      </c:catAx>
      <c:valAx>
        <c:axId val="118003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r>
                  <a:rPr lang="es-CL"/>
                  <a:t>g/t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ource Sans Pro" panose="020B0503030403020204" pitchFamily="34" charset="0"/>
                  <a:ea typeface="+mn-ea"/>
                  <a:cs typeface="+mn-cs"/>
                </a:defRPr>
              </a:pPr>
              <a:endParaRPr lang="es-C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endParaRPr lang="es-CL"/>
          </a:p>
        </c:txPr>
        <c:crossAx val="1180034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ource Sans Pro" panose="020B0503030403020204" pitchFamily="34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sz="700" b="0" i="0" u="none" strike="noStrike" kern="1200" baseline="0">
          <a:solidFill>
            <a:schemeClr val="tx1">
              <a:lumMod val="65000"/>
              <a:lumOff val="35000"/>
            </a:schemeClr>
          </a:solidFill>
          <a:latin typeface="Source Sans Pro" panose="020B0503030403020204" pitchFamily="34" charset="0"/>
          <a:ea typeface="+mn-ea"/>
          <a:cs typeface="+mn-cs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spc="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r>
              <a:rPr lang="es-CL"/>
              <a:t>Ocurrencia Cu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spc="0" baseline="0">
              <a:solidFill>
                <a:sysClr val="windowText" lastClr="000000"/>
              </a:solidFill>
              <a:latin typeface="Source Sans Pro" panose="020B0503030403020204" pitchFamily="34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3224110144126724"/>
          <c:y val="9.3506645040557862E-2"/>
          <c:w val="0.6125131463830179"/>
          <c:h val="0.84117702858333843"/>
        </c:manualLayout>
      </c:layout>
      <c:barChart>
        <c:barDir val="col"/>
        <c:grouping val="percentStacked"/>
        <c:varyColors val="0"/>
        <c:ser>
          <c:idx val="2"/>
          <c:order val="0"/>
          <c:tx>
            <c:strRef>
              <c:f>'7. Mineralogía Modal Comp'!$B$41</c:f>
              <c:strCache>
                <c:ptCount val="1"/>
                <c:pt idx="0">
                  <c:v>Calcopirita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 Mineralogía Modal Comp'!$C$40:$C$40</c:f>
              <c:strCache>
                <c:ptCount val="1"/>
                <c:pt idx="0">
                  <c:v>COMPÓSITO GLOBAL</c:v>
                </c:pt>
              </c:strCache>
            </c:strRef>
          </c:cat>
          <c:val>
            <c:numRef>
              <c:f>'7. Mineralogía Modal Comp'!$C$41:$C$41</c:f>
              <c:numCache>
                <c:formatCode>0.0</c:formatCode>
                <c:ptCount val="1"/>
                <c:pt idx="0">
                  <c:v>67.243099999999998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6B-45E9-9DC2-402A6F6C3DEE}"/>
            </c:ext>
          </c:extLst>
        </c:ser>
        <c:ser>
          <c:idx val="0"/>
          <c:order val="1"/>
          <c:tx>
            <c:strRef>
              <c:f>'7. Mineralogía Modal Comp'!$B$42</c:f>
              <c:strCache>
                <c:ptCount val="1"/>
                <c:pt idx="0">
                  <c:v>Calcosina/digenita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 Mineralogía Modal Comp'!$C$40:$C$40</c:f>
              <c:strCache>
                <c:ptCount val="1"/>
                <c:pt idx="0">
                  <c:v>COMPÓSITO GLOBAL</c:v>
                </c:pt>
              </c:strCache>
            </c:strRef>
          </c:cat>
          <c:val>
            <c:numRef>
              <c:f>'7. Mineralogía Modal Comp'!$C$42:$C$42</c:f>
              <c:numCache>
                <c:formatCode>0.0</c:formatCode>
                <c:ptCount val="1"/>
                <c:pt idx="0">
                  <c:v>12.9536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6B-45E9-9DC2-402A6F6C3DEE}"/>
            </c:ext>
          </c:extLst>
        </c:ser>
        <c:ser>
          <c:idx val="1"/>
          <c:order val="2"/>
          <c:tx>
            <c:strRef>
              <c:f>'7. Mineralogía Modal Comp'!$B$43</c:f>
              <c:strCache>
                <c:ptCount val="1"/>
                <c:pt idx="0">
                  <c:v>Covelina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 Mineralogía Modal Comp'!$C$40:$C$40</c:f>
              <c:strCache>
                <c:ptCount val="1"/>
                <c:pt idx="0">
                  <c:v>COMPÓSITO GLOBAL</c:v>
                </c:pt>
              </c:strCache>
            </c:strRef>
          </c:cat>
          <c:val>
            <c:numRef>
              <c:f>'7. Mineralogía Modal Comp'!$C$43:$C$43</c:f>
              <c:numCache>
                <c:formatCode>0.0</c:formatCode>
                <c:ptCount val="1"/>
                <c:pt idx="0">
                  <c:v>9.9657999999999998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6B-45E9-9DC2-402A6F6C3DEE}"/>
            </c:ext>
          </c:extLst>
        </c:ser>
        <c:ser>
          <c:idx val="3"/>
          <c:order val="3"/>
          <c:tx>
            <c:strRef>
              <c:f>'7. Mineralogía Modal Comp'!$B$44</c:f>
              <c:strCache>
                <c:ptCount val="1"/>
                <c:pt idx="0">
                  <c:v>Bornita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 Mineralogía Modal Comp'!$C$40:$C$40</c:f>
              <c:strCache>
                <c:ptCount val="1"/>
                <c:pt idx="0">
                  <c:v>COMPÓSITO GLOBAL</c:v>
                </c:pt>
              </c:strCache>
            </c:strRef>
          </c:cat>
          <c:val>
            <c:numRef>
              <c:f>'7. Mineralogía Modal Comp'!$C$44:$C$44</c:f>
              <c:numCache>
                <c:formatCode>0.0</c:formatCode>
                <c:ptCount val="1"/>
                <c:pt idx="0">
                  <c:v>9.0528999999999993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6B-45E9-9DC2-402A6F6C3DEE}"/>
            </c:ext>
          </c:extLst>
        </c:ser>
        <c:ser>
          <c:idx val="6"/>
          <c:order val="4"/>
          <c:tx>
            <c:strRef>
              <c:f>'7. Mineralogía Modal Comp'!$B$45</c:f>
              <c:strCache>
                <c:ptCount val="1"/>
                <c:pt idx="0">
                  <c:v>Enargita/Tennantita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 Mineralogía Modal Comp'!$C$40:$C$40</c:f>
              <c:strCache>
                <c:ptCount val="1"/>
                <c:pt idx="0">
                  <c:v>COMPÓSITO GLOBAL</c:v>
                </c:pt>
              </c:strCache>
            </c:strRef>
          </c:cat>
          <c:val>
            <c:numRef>
              <c:f>'7. Mineralogía Modal Comp'!$C$45:$C$45</c:f>
              <c:numCache>
                <c:formatCode>0.0</c:formatCode>
                <c:ptCount val="1"/>
                <c:pt idx="0">
                  <c:v>0.75009999999999999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6B-45E9-9DC2-402A6F6C3DEE}"/>
            </c:ext>
          </c:extLst>
        </c:ser>
        <c:ser>
          <c:idx val="7"/>
          <c:order val="5"/>
          <c:tx>
            <c:strRef>
              <c:f>'7. Mineralogía Modal Comp'!$B$46</c:f>
              <c:strCache>
                <c:ptCount val="1"/>
                <c:pt idx="0">
                  <c:v>Atacamita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'7. Mineralogía Modal Comp'!$C$40:$C$40</c:f>
              <c:strCache>
                <c:ptCount val="1"/>
                <c:pt idx="0">
                  <c:v>COMPÓSITO GLOBAL</c:v>
                </c:pt>
              </c:strCache>
            </c:strRef>
          </c:cat>
          <c:val>
            <c:numRef>
              <c:f>'7. Mineralogía Modal Comp'!$C$46:$C$46</c:f>
              <c:numCache>
                <c:formatCode>0.0</c:formatCode>
                <c:ptCount val="1"/>
                <c:pt idx="0">
                  <c:v>3.4099999999999998E-2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26B-45E9-9DC2-402A6F6C3DEE}"/>
            </c:ext>
          </c:extLst>
        </c:ser>
        <c:ser>
          <c:idx val="4"/>
          <c:order val="6"/>
          <c:tx>
            <c:strRef>
              <c:f>'7. Mineralogía Modal Comp'!$B$47</c:f>
              <c:strCache>
                <c:ptCount val="1"/>
                <c:pt idx="0">
                  <c:v>Otros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'7. Mineralogía Modal Comp'!$C$40:$C$40</c:f>
              <c:strCache>
                <c:ptCount val="1"/>
                <c:pt idx="0">
                  <c:v>COMPÓSITO GLOBAL</c:v>
                </c:pt>
              </c:strCache>
            </c:strRef>
          </c:cat>
          <c:val>
            <c:numRef>
              <c:f>'7. Mineralogía Modal Comp'!$C$47:$C$47</c:f>
              <c:numCache>
                <c:formatCode>0.0</c:formatCode>
                <c:ptCount val="1"/>
                <c:pt idx="0">
                  <c:v>4.0000000000000002E-4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6B-45E9-9DC2-402A6F6C3DE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29666160"/>
        <c:axId val="1329666640"/>
      </c:barChart>
      <c:catAx>
        <c:axId val="132966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endParaRPr lang="es-CL"/>
          </a:p>
        </c:txPr>
        <c:crossAx val="1329666640"/>
        <c:crosses val="autoZero"/>
        <c:auto val="1"/>
        <c:lblAlgn val="ctr"/>
        <c:lblOffset val="100"/>
        <c:noMultiLvlLbl val="0"/>
      </c:catAx>
      <c:valAx>
        <c:axId val="132966664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r>
                  <a:rPr lang="es-CL"/>
                  <a:t>Masa Mineral 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ysClr val="windowText" lastClr="000000"/>
                  </a:solidFill>
                  <a:latin typeface="Source Sans Pro" panose="020B0503030403020204" pitchFamily="34" charset="0"/>
                  <a:ea typeface="+mn-ea"/>
                  <a:cs typeface="+mn-cs"/>
                </a:defRPr>
              </a:pPr>
              <a:endParaRPr lang="es-CL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endParaRPr lang="es-CL"/>
          </a:p>
        </c:txPr>
        <c:crossAx val="132966616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ysClr val="windowText" lastClr="000000"/>
              </a:solidFill>
              <a:latin typeface="Source Sans Pro" panose="020B0503030403020204" pitchFamily="34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1" i="0" u="none" strike="noStrike" kern="1200" baseline="0">
          <a:solidFill>
            <a:sysClr val="windowText" lastClr="000000"/>
          </a:solidFill>
          <a:latin typeface="Source Sans Pro" panose="020B0503030403020204" pitchFamily="34" charset="0"/>
          <a:ea typeface="+mn-ea"/>
          <a:cs typeface="+mn-cs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r>
              <a:rPr lang="es-CL"/>
              <a:t>Mineralogía Modal Compósito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Source Sans Pro" panose="020B0503030403020204" pitchFamily="34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'7. Mineralogía Modal Comp'!$B$5</c:f>
              <c:strCache>
                <c:ptCount val="1"/>
                <c:pt idx="0">
                  <c:v>Cuarzo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 Mineralogía Modal Comp'!$C$4</c:f>
              <c:strCache>
                <c:ptCount val="1"/>
                <c:pt idx="0">
                  <c:v>COMPÓSITO GLOBAL</c:v>
                </c:pt>
              </c:strCache>
            </c:strRef>
          </c:cat>
          <c:val>
            <c:numRef>
              <c:f>'7. Mineralogía Modal Comp'!$C$5</c:f>
              <c:numCache>
                <c:formatCode>0.0</c:formatCode>
                <c:ptCount val="1"/>
                <c:pt idx="0">
                  <c:v>56.12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11-4C0D-9F59-511E6C24460E}"/>
            </c:ext>
          </c:extLst>
        </c:ser>
        <c:ser>
          <c:idx val="1"/>
          <c:order val="1"/>
          <c:tx>
            <c:strRef>
              <c:f>'7. Mineralogía Modal Comp'!$B$6</c:f>
              <c:strCache>
                <c:ptCount val="1"/>
                <c:pt idx="0">
                  <c:v>Muscovita/illita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 Mineralogía Modal Comp'!$C$4</c:f>
              <c:strCache>
                <c:ptCount val="1"/>
                <c:pt idx="0">
                  <c:v>COMPÓSITO GLOBAL</c:v>
                </c:pt>
              </c:strCache>
            </c:strRef>
          </c:cat>
          <c:val>
            <c:numRef>
              <c:f>'7. Mineralogía Modal Comp'!$C$6</c:f>
              <c:numCache>
                <c:formatCode>0.0</c:formatCode>
                <c:ptCount val="1"/>
                <c:pt idx="0">
                  <c:v>32.207999999999998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11-4C0D-9F59-511E6C24460E}"/>
            </c:ext>
          </c:extLst>
        </c:ser>
        <c:ser>
          <c:idx val="2"/>
          <c:order val="2"/>
          <c:tx>
            <c:strRef>
              <c:f>'7. Mineralogía Modal Comp'!$B$7</c:f>
              <c:strCache>
                <c:ptCount val="1"/>
                <c:pt idx="0">
                  <c:v>Plagioclasa</c:v>
                </c:pt>
              </c:strCache>
            </c:strRef>
          </c:tx>
          <c:spPr>
            <a:solidFill>
              <a:schemeClr val="tx2">
                <a:lumMod val="10000"/>
                <a:lumOff val="9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 Mineralogía Modal Comp'!$C$4</c:f>
              <c:strCache>
                <c:ptCount val="1"/>
                <c:pt idx="0">
                  <c:v>COMPÓSITO GLOBAL</c:v>
                </c:pt>
              </c:strCache>
            </c:strRef>
          </c:cat>
          <c:val>
            <c:numRef>
              <c:f>'7. Mineralogía Modal Comp'!$C$7</c:f>
              <c:numCache>
                <c:formatCode>0.0</c:formatCode>
                <c:ptCount val="1"/>
                <c:pt idx="0">
                  <c:v>3.6320000000000001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11-4C0D-9F59-511E6C24460E}"/>
            </c:ext>
          </c:extLst>
        </c:ser>
        <c:ser>
          <c:idx val="3"/>
          <c:order val="3"/>
          <c:tx>
            <c:strRef>
              <c:f>'7. Mineralogía Modal Comp'!$B$8</c:f>
              <c:strCache>
                <c:ptCount val="1"/>
                <c:pt idx="0">
                  <c:v>Pirita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 Mineralogía Modal Comp'!$C$4</c:f>
              <c:strCache>
                <c:ptCount val="1"/>
                <c:pt idx="0">
                  <c:v>COMPÓSITO GLOBAL</c:v>
                </c:pt>
              </c:strCache>
            </c:strRef>
          </c:cat>
          <c:val>
            <c:numRef>
              <c:f>'7. Mineralogía Modal Comp'!$C$8</c:f>
              <c:numCache>
                <c:formatCode>0.0</c:formatCode>
                <c:ptCount val="1"/>
                <c:pt idx="0">
                  <c:v>2.69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11-4C0D-9F59-511E6C24460E}"/>
            </c:ext>
          </c:extLst>
        </c:ser>
        <c:ser>
          <c:idx val="4"/>
          <c:order val="4"/>
          <c:tx>
            <c:strRef>
              <c:f>'7. Mineralogía Modal Comp'!$B$9</c:f>
              <c:strCache>
                <c:ptCount val="1"/>
                <c:pt idx="0">
                  <c:v>Arcillas 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 Mineralogía Modal Comp'!$C$4</c:f>
              <c:strCache>
                <c:ptCount val="1"/>
                <c:pt idx="0">
                  <c:v>COMPÓSITO GLOBAL</c:v>
                </c:pt>
              </c:strCache>
            </c:strRef>
          </c:cat>
          <c:val>
            <c:numRef>
              <c:f>'7. Mineralogía Modal Comp'!$C$9</c:f>
              <c:numCache>
                <c:formatCode>0.0</c:formatCode>
                <c:ptCount val="1"/>
                <c:pt idx="0">
                  <c:v>1.3540000000000001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11-4C0D-9F59-511E6C24460E}"/>
            </c:ext>
          </c:extLst>
        </c:ser>
        <c:ser>
          <c:idx val="5"/>
          <c:order val="5"/>
          <c:tx>
            <c:strRef>
              <c:f>'7. Mineralogía Modal Comp'!$B$10</c:f>
              <c:strCache>
                <c:ptCount val="1"/>
                <c:pt idx="0">
                  <c:v>Clorita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 Mineralogía Modal Comp'!$C$4</c:f>
              <c:strCache>
                <c:ptCount val="1"/>
                <c:pt idx="0">
                  <c:v>COMPÓSITO GLOBAL</c:v>
                </c:pt>
              </c:strCache>
            </c:strRef>
          </c:cat>
          <c:val>
            <c:numRef>
              <c:f>'7. Mineralogía Modal Comp'!$C$10</c:f>
              <c:numCache>
                <c:formatCode>0.0</c:formatCode>
                <c:ptCount val="1"/>
                <c:pt idx="0">
                  <c:v>1.3109999999999999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B11-4C0D-9F59-511E6C24460E}"/>
            </c:ext>
          </c:extLst>
        </c:ser>
        <c:ser>
          <c:idx val="6"/>
          <c:order val="6"/>
          <c:tx>
            <c:strRef>
              <c:f>'7. Mineralogía Modal Comp'!$B$11</c:f>
              <c:strCache>
                <c:ptCount val="1"/>
                <c:pt idx="0">
                  <c:v>Calcopirita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 Mineralogía Modal Comp'!$C$4</c:f>
              <c:strCache>
                <c:ptCount val="1"/>
                <c:pt idx="0">
                  <c:v>COMPÓSITO GLOBAL</c:v>
                </c:pt>
              </c:strCache>
            </c:strRef>
          </c:cat>
          <c:val>
            <c:numRef>
              <c:f>'7. Mineralogía Modal Comp'!$C$11</c:f>
              <c:numCache>
                <c:formatCode>0.0</c:formatCode>
                <c:ptCount val="1"/>
                <c:pt idx="0">
                  <c:v>1.2390000000000001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11-4C0D-9F59-511E6C24460E}"/>
            </c:ext>
          </c:extLst>
        </c:ser>
        <c:ser>
          <c:idx val="7"/>
          <c:order val="7"/>
          <c:tx>
            <c:strRef>
              <c:f>'7. Mineralogía Modal Comp'!$B$12</c:f>
              <c:strCache>
                <c:ptCount val="1"/>
                <c:pt idx="0">
                  <c:v>Hematita/Magnetita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 Mineralogía Modal Comp'!$C$4</c:f>
              <c:strCache>
                <c:ptCount val="1"/>
                <c:pt idx="0">
                  <c:v>COMPÓSITO GLOBAL</c:v>
                </c:pt>
              </c:strCache>
            </c:strRef>
          </c:cat>
          <c:val>
            <c:numRef>
              <c:f>'7. Mineralogía Modal Comp'!$C$12</c:f>
              <c:numCache>
                <c:formatCode>0.0</c:formatCode>
                <c:ptCount val="1"/>
                <c:pt idx="0">
                  <c:v>0.28199999999999997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B11-4C0D-9F59-511E6C24460E}"/>
            </c:ext>
          </c:extLst>
        </c:ser>
        <c:ser>
          <c:idx val="8"/>
          <c:order val="8"/>
          <c:tx>
            <c:strRef>
              <c:f>'7. Mineralogía Modal Comp'!$B$13</c:f>
              <c:strCache>
                <c:ptCount val="1"/>
                <c:pt idx="0">
                  <c:v>Alunita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 Mineralogía Modal Comp'!$C$4</c:f>
              <c:strCache>
                <c:ptCount val="1"/>
                <c:pt idx="0">
                  <c:v>COMPÓSITO GLOBAL</c:v>
                </c:pt>
              </c:strCache>
            </c:strRef>
          </c:cat>
          <c:val>
            <c:numRef>
              <c:f>'7. Mineralogía Modal Comp'!$C$13</c:f>
              <c:numCache>
                <c:formatCode>0.0</c:formatCode>
                <c:ptCount val="1"/>
                <c:pt idx="0">
                  <c:v>0.19600000000000001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B11-4C0D-9F59-511E6C24460E}"/>
            </c:ext>
          </c:extLst>
        </c:ser>
        <c:ser>
          <c:idx val="9"/>
          <c:order val="9"/>
          <c:tx>
            <c:strRef>
              <c:f>'7. Mineralogía Modal Comp'!$B$14</c:f>
              <c:strCache>
                <c:ptCount val="1"/>
                <c:pt idx="0">
                  <c:v>Biotita/flogopita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 Mineralogía Modal Comp'!$C$4</c:f>
              <c:strCache>
                <c:ptCount val="1"/>
                <c:pt idx="0">
                  <c:v>COMPÓSITO GLOBAL</c:v>
                </c:pt>
              </c:strCache>
            </c:strRef>
          </c:cat>
          <c:val>
            <c:numRef>
              <c:f>'7. Mineralogía Modal Comp'!$C$14</c:f>
              <c:numCache>
                <c:formatCode>0.0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B11-4C0D-9F59-511E6C24460E}"/>
            </c:ext>
          </c:extLst>
        </c:ser>
        <c:ser>
          <c:idx val="10"/>
          <c:order val="10"/>
          <c:tx>
            <c:strRef>
              <c:f>'7. Mineralogía Modal Comp'!$B$15</c:f>
              <c:strCache>
                <c:ptCount val="1"/>
                <c:pt idx="0">
                  <c:v>Ilmenita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 Mineralogía Modal Comp'!$C$4</c:f>
              <c:strCache>
                <c:ptCount val="1"/>
                <c:pt idx="0">
                  <c:v>COMPÓSITO GLOBAL</c:v>
                </c:pt>
              </c:strCache>
            </c:strRef>
          </c:cat>
          <c:val>
            <c:numRef>
              <c:f>'7. Mineralogía Modal Comp'!$C$15</c:f>
              <c:numCache>
                <c:formatCode>0.0</c:formatCode>
                <c:ptCount val="1"/>
                <c:pt idx="0">
                  <c:v>0.122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B11-4C0D-9F59-511E6C24460E}"/>
            </c:ext>
          </c:extLst>
        </c:ser>
        <c:ser>
          <c:idx val="11"/>
          <c:order val="11"/>
          <c:tx>
            <c:strRef>
              <c:f>'7. Mineralogía Modal Comp'!$B$16</c:f>
              <c:strCache>
                <c:ptCount val="1"/>
                <c:pt idx="0">
                  <c:v>Rutilo/anatase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 Mineralogía Modal Comp'!$C$4</c:f>
              <c:strCache>
                <c:ptCount val="1"/>
                <c:pt idx="0">
                  <c:v>COMPÓSITO GLOBAL</c:v>
                </c:pt>
              </c:strCache>
            </c:strRef>
          </c:cat>
          <c:val>
            <c:numRef>
              <c:f>'7. Mineralogía Modal Comp'!$C$16</c:f>
              <c:numCache>
                <c:formatCode>0.0</c:formatCode>
                <c:ptCount val="1"/>
                <c:pt idx="0">
                  <c:v>0.121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B11-4C0D-9F59-511E6C24460E}"/>
            </c:ext>
          </c:extLst>
        </c:ser>
        <c:ser>
          <c:idx val="12"/>
          <c:order val="12"/>
          <c:tx>
            <c:strRef>
              <c:f>'7. Mineralogía Modal Comp'!$B$17</c:f>
              <c:strCache>
                <c:ptCount val="1"/>
                <c:pt idx="0">
                  <c:v>Calcosina/digenita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 Mineralogía Modal Comp'!$C$4</c:f>
              <c:strCache>
                <c:ptCount val="1"/>
                <c:pt idx="0">
                  <c:v>COMPÓSITO GLOBAL</c:v>
                </c:pt>
              </c:strCache>
            </c:strRef>
          </c:cat>
          <c:val>
            <c:numRef>
              <c:f>'7. Mineralogía Modal Comp'!$C$17</c:f>
              <c:numCache>
                <c:formatCode>0.0</c:formatCode>
                <c:ptCount val="1"/>
                <c:pt idx="0">
                  <c:v>0.10299999999999999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B11-4C0D-9F59-511E6C24460E}"/>
            </c:ext>
          </c:extLst>
        </c:ser>
        <c:ser>
          <c:idx val="13"/>
          <c:order val="13"/>
          <c:tx>
            <c:strRef>
              <c:f>'7. Mineralogía Modal Comp'!$B$18</c:f>
              <c:strCache>
                <c:ptCount val="1"/>
                <c:pt idx="0">
                  <c:v>Covelina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 Mineralogía Modal Comp'!$C$4</c:f>
              <c:strCache>
                <c:ptCount val="1"/>
                <c:pt idx="0">
                  <c:v>COMPÓSITO GLOBAL</c:v>
                </c:pt>
              </c:strCache>
            </c:strRef>
          </c:cat>
          <c:val>
            <c:numRef>
              <c:f>'7. Mineralogía Modal Comp'!$C$18</c:f>
              <c:numCache>
                <c:formatCode>0.0</c:formatCode>
                <c:ptCount val="1"/>
                <c:pt idx="0">
                  <c:v>9.6000000000000002E-2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B11-4C0D-9F59-511E6C24460E}"/>
            </c:ext>
          </c:extLst>
        </c:ser>
        <c:ser>
          <c:idx val="14"/>
          <c:order val="14"/>
          <c:tx>
            <c:strRef>
              <c:f>'7. Mineralogía Modal Comp'!$B$19</c:f>
              <c:strCache>
                <c:ptCount val="1"/>
                <c:pt idx="0">
                  <c:v>Bornita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 Mineralogía Modal Comp'!$C$4</c:f>
              <c:strCache>
                <c:ptCount val="1"/>
                <c:pt idx="0">
                  <c:v>COMPÓSITO GLOBAL</c:v>
                </c:pt>
              </c:strCache>
            </c:strRef>
          </c:cat>
          <c:val>
            <c:numRef>
              <c:f>'7. Mineralogía Modal Comp'!$C$19</c:f>
              <c:numCache>
                <c:formatCode>0.0</c:formatCode>
                <c:ptCount val="1"/>
                <c:pt idx="0">
                  <c:v>9.0999999999999998E-2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B11-4C0D-9F59-511E6C24460E}"/>
            </c:ext>
          </c:extLst>
        </c:ser>
        <c:ser>
          <c:idx val="15"/>
          <c:order val="15"/>
          <c:tx>
            <c:strRef>
              <c:f>'7. Mineralogía Modal Comp'!$B$20</c:f>
              <c:strCache>
                <c:ptCount val="1"/>
                <c:pt idx="0">
                  <c:v>Feldespato K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 Mineralogía Modal Comp'!$C$4</c:f>
              <c:strCache>
                <c:ptCount val="1"/>
                <c:pt idx="0">
                  <c:v>COMPÓSITO GLOBAL</c:v>
                </c:pt>
              </c:strCache>
            </c:strRef>
          </c:cat>
          <c:val>
            <c:numRef>
              <c:f>'7. Mineralogía Modal Comp'!$C$20</c:f>
              <c:numCache>
                <c:formatCode>0.0</c:formatCode>
                <c:ptCount val="1"/>
                <c:pt idx="0">
                  <c:v>7.6999999999999999E-2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B11-4C0D-9F59-511E6C24460E}"/>
            </c:ext>
          </c:extLst>
        </c:ser>
        <c:ser>
          <c:idx val="16"/>
          <c:order val="16"/>
          <c:tx>
            <c:strRef>
              <c:f>'7. Mineralogía Modal Comp'!$B$21</c:f>
              <c:strCache>
                <c:ptCount val="1"/>
                <c:pt idx="0">
                  <c:v>Piroxeno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'7. Mineralogía Modal Comp'!$C$4</c:f>
              <c:strCache>
                <c:ptCount val="1"/>
                <c:pt idx="0">
                  <c:v>COMPÓSITO GLOBAL</c:v>
                </c:pt>
              </c:strCache>
            </c:strRef>
          </c:cat>
          <c:val>
            <c:numRef>
              <c:f>'7. Mineralogía Modal Comp'!$C$21</c:f>
              <c:numCache>
                <c:formatCode>0.0</c:formatCode>
                <c:ptCount val="1"/>
                <c:pt idx="0">
                  <c:v>6.7000000000000004E-2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B11-4C0D-9F59-511E6C24460E}"/>
            </c:ext>
          </c:extLst>
        </c:ser>
        <c:ser>
          <c:idx val="17"/>
          <c:order val="17"/>
          <c:tx>
            <c:strRef>
              <c:f>'7. Mineralogía Modal Comp'!$B$22</c:f>
              <c:strCache>
                <c:ptCount val="1"/>
                <c:pt idx="0">
                  <c:v>Apatito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'7. Mineralogía Modal Comp'!$C$4</c:f>
              <c:strCache>
                <c:ptCount val="1"/>
                <c:pt idx="0">
                  <c:v>COMPÓSITO GLOBAL</c:v>
                </c:pt>
              </c:strCache>
            </c:strRef>
          </c:cat>
          <c:val>
            <c:numRef>
              <c:f>'7. Mineralogía Modal Comp'!$C$22</c:f>
              <c:numCache>
                <c:formatCode>0.0</c:formatCode>
                <c:ptCount val="1"/>
                <c:pt idx="0">
                  <c:v>4.4999999999999998E-2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B11-4C0D-9F59-511E6C24460E}"/>
            </c:ext>
          </c:extLst>
        </c:ser>
        <c:ser>
          <c:idx val="18"/>
          <c:order val="18"/>
          <c:tx>
            <c:strRef>
              <c:f>'7. Mineralogía Modal Comp'!$B$23</c:f>
              <c:strCache>
                <c:ptCount val="1"/>
                <c:pt idx="0">
                  <c:v>Anfibol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'7. Mineralogía Modal Comp'!$C$4</c:f>
              <c:strCache>
                <c:ptCount val="1"/>
                <c:pt idx="0">
                  <c:v>COMPÓSITO GLOBAL</c:v>
                </c:pt>
              </c:strCache>
            </c:strRef>
          </c:cat>
          <c:val>
            <c:numRef>
              <c:f>'7. Mineralogía Modal Comp'!$C$23</c:f>
              <c:numCache>
                <c:formatCode>0.0</c:formatCode>
                <c:ptCount val="1"/>
                <c:pt idx="0">
                  <c:v>2.7E-2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B11-4C0D-9F59-511E6C24460E}"/>
            </c:ext>
          </c:extLst>
        </c:ser>
        <c:ser>
          <c:idx val="19"/>
          <c:order val="19"/>
          <c:tx>
            <c:strRef>
              <c:f>'7. Mineralogía Modal Comp'!$B$24</c:f>
              <c:strCache>
                <c:ptCount val="1"/>
                <c:pt idx="0">
                  <c:v>Arcillas Cu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'7. Mineralogía Modal Comp'!$C$4</c:f>
              <c:strCache>
                <c:ptCount val="1"/>
                <c:pt idx="0">
                  <c:v>COMPÓSITO GLOBAL</c:v>
                </c:pt>
              </c:strCache>
            </c:strRef>
          </c:cat>
          <c:val>
            <c:numRef>
              <c:f>'7. Mineralogía Modal Comp'!$C$24</c:f>
              <c:numCache>
                <c:formatCode>0.0</c:formatCode>
                <c:ptCount val="1"/>
                <c:pt idx="0">
                  <c:v>1.4999999999999999E-2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B11-4C0D-9F59-511E6C24460E}"/>
            </c:ext>
          </c:extLst>
        </c:ser>
        <c:ser>
          <c:idx val="20"/>
          <c:order val="20"/>
          <c:tx>
            <c:strRef>
              <c:f>'7. Mineralogía Modal Comp'!$B$25</c:f>
              <c:strCache>
                <c:ptCount val="1"/>
                <c:pt idx="0">
                  <c:v>Molibdenita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'7. Mineralogía Modal Comp'!$C$4</c:f>
              <c:strCache>
                <c:ptCount val="1"/>
                <c:pt idx="0">
                  <c:v>COMPÓSITO GLOBAL</c:v>
                </c:pt>
              </c:strCache>
            </c:strRef>
          </c:cat>
          <c:val>
            <c:numRef>
              <c:f>'7. Mineralogía Modal Comp'!$C$25</c:f>
              <c:numCache>
                <c:formatCode>0.0</c:formatCode>
                <c:ptCount val="1"/>
                <c:pt idx="0">
                  <c:v>1.2E-2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B11-4C0D-9F59-511E6C24460E}"/>
            </c:ext>
          </c:extLst>
        </c:ser>
        <c:ser>
          <c:idx val="21"/>
          <c:order val="21"/>
          <c:tx>
            <c:strRef>
              <c:f>'7. Mineralogía Modal Comp'!$B$26</c:f>
              <c:strCache>
                <c:ptCount val="1"/>
                <c:pt idx="0">
                  <c:v>Enargita/Tennantita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'7. Mineralogía Modal Comp'!$C$4</c:f>
              <c:strCache>
                <c:ptCount val="1"/>
                <c:pt idx="0">
                  <c:v>COMPÓSITO GLOBAL</c:v>
                </c:pt>
              </c:strCache>
            </c:strRef>
          </c:cat>
          <c:val>
            <c:numRef>
              <c:f>'7. Mineralogía Modal Comp'!$C$26</c:f>
              <c:numCache>
                <c:formatCode>0.0</c:formatCode>
                <c:ptCount val="1"/>
                <c:pt idx="0">
                  <c:v>1.0999999999999999E-2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B11-4C0D-9F59-511E6C24460E}"/>
            </c:ext>
          </c:extLst>
        </c:ser>
        <c:ser>
          <c:idx val="22"/>
          <c:order val="22"/>
          <c:tx>
            <c:strRef>
              <c:f>'7. Mineralogía Modal Comp'!$B$27</c:f>
              <c:strCache>
                <c:ptCount val="1"/>
                <c:pt idx="0">
                  <c:v>Anhidrita/Yeso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'7. Mineralogía Modal Comp'!$C$4</c:f>
              <c:strCache>
                <c:ptCount val="1"/>
                <c:pt idx="0">
                  <c:v>COMPÓSITO GLOBAL</c:v>
                </c:pt>
              </c:strCache>
            </c:strRef>
          </c:cat>
          <c:val>
            <c:numRef>
              <c:f>'7. Mineralogía Modal Comp'!$C$27</c:f>
              <c:numCache>
                <c:formatCode>0.0</c:formatCode>
                <c:ptCount val="1"/>
                <c:pt idx="0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B11-4C0D-9F59-511E6C24460E}"/>
            </c:ext>
          </c:extLst>
        </c:ser>
        <c:ser>
          <c:idx val="23"/>
          <c:order val="23"/>
          <c:tx>
            <c:strRef>
              <c:f>'7. Mineralogía Modal Comp'!$B$28</c:f>
              <c:strCache>
                <c:ptCount val="1"/>
                <c:pt idx="0">
                  <c:v>Circon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'7. Mineralogía Modal Comp'!$C$4</c:f>
              <c:strCache>
                <c:ptCount val="1"/>
                <c:pt idx="0">
                  <c:v>COMPÓSITO GLOBAL</c:v>
                </c:pt>
              </c:strCache>
            </c:strRef>
          </c:cat>
          <c:val>
            <c:numRef>
              <c:f>'7. Mineralogía Modal Comp'!$C$28</c:f>
              <c:numCache>
                <c:formatCode>0.0</c:formatCode>
                <c:ptCount val="1"/>
                <c:pt idx="0">
                  <c:v>6.0000000000000001E-3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B11-4C0D-9F59-511E6C24460E}"/>
            </c:ext>
          </c:extLst>
        </c:ser>
        <c:ser>
          <c:idx val="24"/>
          <c:order val="24"/>
          <c:tx>
            <c:strRef>
              <c:f>'7. Mineralogía Modal Comp'!$B$29</c:f>
              <c:strCache>
                <c:ptCount val="1"/>
                <c:pt idx="0">
                  <c:v>Epidota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'7. Mineralogía Modal Comp'!$C$4</c:f>
              <c:strCache>
                <c:ptCount val="1"/>
                <c:pt idx="0">
                  <c:v>COMPÓSITO GLOBAL</c:v>
                </c:pt>
              </c:strCache>
            </c:strRef>
          </c:cat>
          <c:val>
            <c:numRef>
              <c:f>'7. Mineralogía Modal Comp'!$C$29</c:f>
              <c:numCache>
                <c:formatCode>0.0</c:formatCode>
                <c:ptCount val="1"/>
                <c:pt idx="0">
                  <c:v>4.0000000000000001E-3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B11-4C0D-9F59-511E6C24460E}"/>
            </c:ext>
          </c:extLst>
        </c:ser>
        <c:ser>
          <c:idx val="25"/>
          <c:order val="25"/>
          <c:tx>
            <c:strRef>
              <c:f>'7. Mineralogía Modal Comp'!$B$30</c:f>
              <c:strCache>
                <c:ptCount val="1"/>
                <c:pt idx="0">
                  <c:v>Ankerita/Siderita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'7. Mineralogía Modal Comp'!$C$4</c:f>
              <c:strCache>
                <c:ptCount val="1"/>
                <c:pt idx="0">
                  <c:v>COMPÓSITO GLOBAL</c:v>
                </c:pt>
              </c:strCache>
            </c:strRef>
          </c:cat>
          <c:val>
            <c:numRef>
              <c:f>'7. Mineralogía Modal Comp'!$C$30</c:f>
              <c:numCache>
                <c:formatCode>0.0</c:formatCode>
                <c:ptCount val="1"/>
                <c:pt idx="0">
                  <c:v>4.0000000000000001E-3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B11-4C0D-9F59-511E6C24460E}"/>
            </c:ext>
          </c:extLst>
        </c:ser>
        <c:ser>
          <c:idx val="26"/>
          <c:order val="26"/>
          <c:tx>
            <c:strRef>
              <c:f>'7. Mineralogía Modal Comp'!$B$31</c:f>
              <c:strCache>
                <c:ptCount val="1"/>
                <c:pt idx="0">
                  <c:v>Biotita/flogopita Cu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'7. Mineralogía Modal Comp'!$C$4</c:f>
              <c:strCache>
                <c:ptCount val="1"/>
                <c:pt idx="0">
                  <c:v>COMPÓSITO GLOBAL</c:v>
                </c:pt>
              </c:strCache>
            </c:strRef>
          </c:cat>
          <c:val>
            <c:numRef>
              <c:f>'7. Mineralogía Modal Comp'!$C$31</c:f>
              <c:numCache>
                <c:formatCode>0.0</c:formatCode>
                <c:ptCount val="1"/>
                <c:pt idx="0">
                  <c:v>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2B11-4C0D-9F59-511E6C24460E}"/>
            </c:ext>
          </c:extLst>
        </c:ser>
        <c:ser>
          <c:idx val="27"/>
          <c:order val="27"/>
          <c:tx>
            <c:strRef>
              <c:f>'7. Mineralogía Modal Comp'!$B$32</c:f>
              <c:strCache>
                <c:ptCount val="1"/>
                <c:pt idx="0">
                  <c:v>Otros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'7. Mineralogía Modal Comp'!$C$4</c:f>
              <c:strCache>
                <c:ptCount val="1"/>
                <c:pt idx="0">
                  <c:v>COMPÓSITO GLOBAL</c:v>
                </c:pt>
              </c:strCache>
            </c:strRef>
          </c:cat>
          <c:val>
            <c:numRef>
              <c:f>'7. Mineralogía Modal Comp'!$C$32</c:f>
              <c:numCache>
                <c:formatCode>0.0</c:formatCode>
                <c:ptCount val="1"/>
                <c:pt idx="0">
                  <c:v>3.0000000000000001E-3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2B11-4C0D-9F59-511E6C24460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87077775"/>
        <c:axId val="687089295"/>
      </c:barChart>
      <c:catAx>
        <c:axId val="687077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endParaRPr lang="es-CL"/>
          </a:p>
        </c:txPr>
        <c:crossAx val="687089295"/>
        <c:crosses val="autoZero"/>
        <c:auto val="1"/>
        <c:lblAlgn val="ctr"/>
        <c:lblOffset val="100"/>
        <c:noMultiLvlLbl val="0"/>
      </c:catAx>
      <c:valAx>
        <c:axId val="68708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r>
                  <a:rPr lang="es-CL"/>
                  <a:t>Masa Mineral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Source Sans Pro" panose="020B0503030403020204" pitchFamily="34" charset="0"/>
                  <a:ea typeface="+mn-ea"/>
                  <a:cs typeface="+mn-cs"/>
                </a:defRPr>
              </a:pPr>
              <a:endParaRPr lang="es-CL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endParaRPr lang="es-CL"/>
          </a:p>
        </c:txPr>
        <c:crossAx val="687077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Source Sans Pro" panose="020B0503030403020204" pitchFamily="34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Source Sans Pro" panose="020B0503030403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r>
              <a:rPr lang="es-CL"/>
              <a:t>Liberación por especie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Source Sans Pro" panose="020B0503030403020204" pitchFamily="34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'8. Liberación Comp'!$B$7</c:f>
              <c:strCache>
                <c:ptCount val="1"/>
                <c:pt idx="0">
                  <c:v>&gt;90%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'8. Liberación Comp'!$C$5:$I$6</c15:sqref>
                  </c15:fullRef>
                </c:ext>
              </c:extLst>
              <c:f>'8. Liberación Comp'!$C$5:$I$6</c:f>
              <c:multiLvlStrCache>
                <c:ptCount val="7"/>
                <c:lvl>
                  <c:pt idx="0">
                    <c:v>Calcopirita</c:v>
                  </c:pt>
                  <c:pt idx="1">
                    <c:v>Calcosina/digenita</c:v>
                  </c:pt>
                  <c:pt idx="2">
                    <c:v>Covelina</c:v>
                  </c:pt>
                  <c:pt idx="3">
                    <c:v>Bornita</c:v>
                  </c:pt>
                  <c:pt idx="4">
                    <c:v>Enargita/Tennantita</c:v>
                  </c:pt>
                  <c:pt idx="5">
                    <c:v>Molibdenita</c:v>
                  </c:pt>
                  <c:pt idx="6">
                    <c:v>Pirita</c:v>
                  </c:pt>
                </c:lvl>
                <c:lvl>
                  <c:pt idx="0">
                    <c:v>COMPÓSITO GLOBAL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 Liberación Comp'!$C$7:$I$7</c15:sqref>
                  </c15:fullRef>
                </c:ext>
              </c:extLst>
              <c:f>'8. Liberación Comp'!$C$7:$I$7</c:f>
              <c:numCache>
                <c:formatCode>0.0</c:formatCode>
                <c:ptCount val="7"/>
                <c:pt idx="0">
                  <c:v>41.243099999999998</c:v>
                </c:pt>
                <c:pt idx="1">
                  <c:v>69.747900000000001</c:v>
                </c:pt>
                <c:pt idx="2">
                  <c:v>52.291400000000003</c:v>
                </c:pt>
                <c:pt idx="3">
                  <c:v>30.662199999999999</c:v>
                </c:pt>
                <c:pt idx="4">
                  <c:v>22.803899999999999</c:v>
                </c:pt>
                <c:pt idx="5">
                  <c:v>100</c:v>
                </c:pt>
                <c:pt idx="6">
                  <c:v>63.515799999999999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F2-4711-A3AE-E1017C375E99}"/>
            </c:ext>
          </c:extLst>
        </c:ser>
        <c:ser>
          <c:idx val="1"/>
          <c:order val="1"/>
          <c:tx>
            <c:strRef>
              <c:f>'8. Liberación Comp'!$B$8</c:f>
              <c:strCache>
                <c:ptCount val="1"/>
                <c:pt idx="0">
                  <c:v>80%-90%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18F-49CD-963A-B5ABB2B5A88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0F2-4711-A3AE-E1017C375E9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18F-49CD-963A-B5ABB2B5A88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18F-49CD-963A-B5ABB2B5A88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0F2-4711-A3AE-E1017C375E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'8. Liberación Comp'!$C$5:$I$6</c15:sqref>
                  </c15:fullRef>
                </c:ext>
              </c:extLst>
              <c:f>'8. Liberación Comp'!$C$5:$I$6</c:f>
              <c:multiLvlStrCache>
                <c:ptCount val="7"/>
                <c:lvl>
                  <c:pt idx="0">
                    <c:v>Calcopirita</c:v>
                  </c:pt>
                  <c:pt idx="1">
                    <c:v>Calcosina/digenita</c:v>
                  </c:pt>
                  <c:pt idx="2">
                    <c:v>Covelina</c:v>
                  </c:pt>
                  <c:pt idx="3">
                    <c:v>Bornita</c:v>
                  </c:pt>
                  <c:pt idx="4">
                    <c:v>Enargita/Tennantita</c:v>
                  </c:pt>
                  <c:pt idx="5">
                    <c:v>Molibdenita</c:v>
                  </c:pt>
                  <c:pt idx="6">
                    <c:v>Pirita</c:v>
                  </c:pt>
                </c:lvl>
                <c:lvl>
                  <c:pt idx="0">
                    <c:v>COMPÓSITO GLOBAL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 Liberación Comp'!$C$8:$I$8</c15:sqref>
                  </c15:fullRef>
                </c:ext>
              </c:extLst>
              <c:f>'8. Liberación Comp'!$C$8:$I$8</c:f>
              <c:numCache>
                <c:formatCode>0.0</c:formatCode>
                <c:ptCount val="7"/>
                <c:pt idx="0">
                  <c:v>3.0790999999999999</c:v>
                </c:pt>
                <c:pt idx="1">
                  <c:v>0</c:v>
                </c:pt>
                <c:pt idx="2">
                  <c:v>14.2186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17.1462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F2-4711-A3AE-E1017C375E99}"/>
            </c:ext>
          </c:extLst>
        </c:ser>
        <c:ser>
          <c:idx val="2"/>
          <c:order val="2"/>
          <c:tx>
            <c:strRef>
              <c:f>'8. Liberación Comp'!$B$9</c:f>
              <c:strCache>
                <c:ptCount val="1"/>
                <c:pt idx="0">
                  <c:v>70%-80%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18F-49CD-963A-B5ABB2B5A88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0F2-4711-A3AE-E1017C375E9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0F2-4711-A3AE-E1017C375E9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18F-49CD-963A-B5ABB2B5A88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0F2-4711-A3AE-E1017C375E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'8. Liberación Comp'!$C$5:$I$6</c15:sqref>
                  </c15:fullRef>
                </c:ext>
              </c:extLst>
              <c:f>'8. Liberación Comp'!$C$5:$I$6</c:f>
              <c:multiLvlStrCache>
                <c:ptCount val="7"/>
                <c:lvl>
                  <c:pt idx="0">
                    <c:v>Calcopirita</c:v>
                  </c:pt>
                  <c:pt idx="1">
                    <c:v>Calcosina/digenita</c:v>
                  </c:pt>
                  <c:pt idx="2">
                    <c:v>Covelina</c:v>
                  </c:pt>
                  <c:pt idx="3">
                    <c:v>Bornita</c:v>
                  </c:pt>
                  <c:pt idx="4">
                    <c:v>Enargita/Tennantita</c:v>
                  </c:pt>
                  <c:pt idx="5">
                    <c:v>Molibdenita</c:v>
                  </c:pt>
                  <c:pt idx="6">
                    <c:v>Pirita</c:v>
                  </c:pt>
                </c:lvl>
                <c:lvl>
                  <c:pt idx="0">
                    <c:v>COMPÓSITO GLOBAL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 Liberación Comp'!$C$9:$I$9</c15:sqref>
                  </c15:fullRef>
                </c:ext>
              </c:extLst>
              <c:f>'8. Liberación Comp'!$C$9:$I$9</c:f>
              <c:numCache>
                <c:formatCode>0.0</c:formatCode>
                <c:ptCount val="7"/>
                <c:pt idx="0">
                  <c:v>9.6372999999999998</c:v>
                </c:pt>
                <c:pt idx="1">
                  <c:v>0</c:v>
                </c:pt>
                <c:pt idx="2">
                  <c:v>9.2832000000000008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5.3361999999999998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0F2-4711-A3AE-E1017C375E99}"/>
            </c:ext>
          </c:extLst>
        </c:ser>
        <c:ser>
          <c:idx val="3"/>
          <c:order val="3"/>
          <c:tx>
            <c:strRef>
              <c:f>'8. Liberación Comp'!$B$10</c:f>
              <c:strCache>
                <c:ptCount val="1"/>
                <c:pt idx="0">
                  <c:v>60%-70%</c:v>
                </c:pt>
              </c:strCache>
            </c:strRef>
          </c:tx>
          <c:spPr>
            <a:solidFill>
              <a:srgbClr val="CCFF66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0F2-4711-A3AE-E1017C375E9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18F-49CD-963A-B5ABB2B5A88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0F2-4711-A3AE-E1017C375E9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0F2-4711-A3AE-E1017C375E9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0F2-4711-A3AE-E1017C375E9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18F-49CD-963A-B5ABB2B5A8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'8. Liberación Comp'!$C$5:$I$6</c15:sqref>
                  </c15:fullRef>
                </c:ext>
              </c:extLst>
              <c:f>'8. Liberación Comp'!$C$5:$I$6</c:f>
              <c:multiLvlStrCache>
                <c:ptCount val="7"/>
                <c:lvl>
                  <c:pt idx="0">
                    <c:v>Calcopirita</c:v>
                  </c:pt>
                  <c:pt idx="1">
                    <c:v>Calcosina/digenita</c:v>
                  </c:pt>
                  <c:pt idx="2">
                    <c:v>Covelina</c:v>
                  </c:pt>
                  <c:pt idx="3">
                    <c:v>Bornita</c:v>
                  </c:pt>
                  <c:pt idx="4">
                    <c:v>Enargita/Tennantita</c:v>
                  </c:pt>
                  <c:pt idx="5">
                    <c:v>Molibdenita</c:v>
                  </c:pt>
                  <c:pt idx="6">
                    <c:v>Pirita</c:v>
                  </c:pt>
                </c:lvl>
                <c:lvl>
                  <c:pt idx="0">
                    <c:v>COMPÓSITO GLOBAL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 Liberación Comp'!$C$10:$I$10</c15:sqref>
                  </c15:fullRef>
                </c:ext>
              </c:extLst>
              <c:f>'8. Liberación Comp'!$C$10:$I$10</c:f>
              <c:numCache>
                <c:formatCode>0.0</c:formatCode>
                <c:ptCount val="7"/>
                <c:pt idx="0">
                  <c:v>0.53169999999999995</c:v>
                </c:pt>
                <c:pt idx="1">
                  <c:v>0</c:v>
                </c:pt>
                <c:pt idx="2">
                  <c:v>3.8778000000000001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1.4242999999999999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0F2-4711-A3AE-E1017C375E99}"/>
            </c:ext>
          </c:extLst>
        </c:ser>
        <c:ser>
          <c:idx val="4"/>
          <c:order val="4"/>
          <c:tx>
            <c:strRef>
              <c:f>'8. Liberación Comp'!$B$11</c:f>
              <c:strCache>
                <c:ptCount val="1"/>
                <c:pt idx="0">
                  <c:v>50%-60%</c:v>
                </c:pt>
              </c:strCache>
            </c:strRef>
          </c:tx>
          <c:spPr>
            <a:solidFill>
              <a:srgbClr val="FFFF66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0F2-4711-A3AE-E1017C375E9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0F2-4711-A3AE-E1017C375E9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0F2-4711-A3AE-E1017C375E9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18F-49CD-963A-B5ABB2B5A88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0F2-4711-A3AE-E1017C375E9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0F2-4711-A3AE-E1017C375E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'8. Liberación Comp'!$C$5:$I$6</c15:sqref>
                  </c15:fullRef>
                </c:ext>
              </c:extLst>
              <c:f>'8. Liberación Comp'!$C$5:$I$6</c:f>
              <c:multiLvlStrCache>
                <c:ptCount val="7"/>
                <c:lvl>
                  <c:pt idx="0">
                    <c:v>Calcopirita</c:v>
                  </c:pt>
                  <c:pt idx="1">
                    <c:v>Calcosina/digenita</c:v>
                  </c:pt>
                  <c:pt idx="2">
                    <c:v>Covelina</c:v>
                  </c:pt>
                  <c:pt idx="3">
                    <c:v>Bornita</c:v>
                  </c:pt>
                  <c:pt idx="4">
                    <c:v>Enargita/Tennantita</c:v>
                  </c:pt>
                  <c:pt idx="5">
                    <c:v>Molibdenita</c:v>
                  </c:pt>
                  <c:pt idx="6">
                    <c:v>Pirita</c:v>
                  </c:pt>
                </c:lvl>
                <c:lvl>
                  <c:pt idx="0">
                    <c:v>COMPÓSITO GLOBAL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 Liberación Comp'!$C$11:$I$11</c15:sqref>
                  </c15:fullRef>
                </c:ext>
              </c:extLst>
              <c:f>'8. Liberación Comp'!$C$11:$I$11</c:f>
              <c:numCache>
                <c:formatCode>0.0</c:formatCode>
                <c:ptCount val="7"/>
                <c:pt idx="0">
                  <c:v>1.2065999999999999</c:v>
                </c:pt>
                <c:pt idx="1">
                  <c:v>2.8010999999999999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1.6492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0F2-4711-A3AE-E1017C375E99}"/>
            </c:ext>
          </c:extLst>
        </c:ser>
        <c:ser>
          <c:idx val="5"/>
          <c:order val="5"/>
          <c:tx>
            <c:strRef>
              <c:f>'8. Liberación Comp'!$B$12</c:f>
              <c:strCache>
                <c:ptCount val="1"/>
                <c:pt idx="0">
                  <c:v>40%-50%</c:v>
                </c:pt>
              </c:strCache>
            </c:strRef>
          </c:tx>
          <c:spPr>
            <a:solidFill>
              <a:srgbClr val="F8E708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0F2-4711-A3AE-E1017C375E9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60F2-4711-A3AE-E1017C375E9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0F2-4711-A3AE-E1017C375E9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60F2-4711-A3AE-E1017C375E9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0F2-4711-A3AE-E1017C375E9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60F2-4711-A3AE-E1017C375E9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60F2-4711-A3AE-E1017C375E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'8. Liberación Comp'!$C$5:$I$6</c15:sqref>
                  </c15:fullRef>
                </c:ext>
              </c:extLst>
              <c:f>'8. Liberación Comp'!$C$5:$I$6</c:f>
              <c:multiLvlStrCache>
                <c:ptCount val="7"/>
                <c:lvl>
                  <c:pt idx="0">
                    <c:v>Calcopirita</c:v>
                  </c:pt>
                  <c:pt idx="1">
                    <c:v>Calcosina/digenita</c:v>
                  </c:pt>
                  <c:pt idx="2">
                    <c:v>Covelina</c:v>
                  </c:pt>
                  <c:pt idx="3">
                    <c:v>Bornita</c:v>
                  </c:pt>
                  <c:pt idx="4">
                    <c:v>Enargita/Tennantita</c:v>
                  </c:pt>
                  <c:pt idx="5">
                    <c:v>Molibdenita</c:v>
                  </c:pt>
                  <c:pt idx="6">
                    <c:v>Pirita</c:v>
                  </c:pt>
                </c:lvl>
                <c:lvl>
                  <c:pt idx="0">
                    <c:v>COMPÓSITO GLOBAL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 Liberación Comp'!$C$12:$I$12</c15:sqref>
                  </c15:fullRef>
                </c:ext>
              </c:extLst>
              <c:f>'8. Liberación Comp'!$C$12:$I$12</c:f>
              <c:numCache>
                <c:formatCode>0.0</c:formatCode>
                <c:ptCount val="7"/>
                <c:pt idx="0">
                  <c:v>4.2967000000000004</c:v>
                </c:pt>
                <c:pt idx="1">
                  <c:v>0.98040000000000005</c:v>
                </c:pt>
                <c:pt idx="2">
                  <c:v>9.1656999999999993</c:v>
                </c:pt>
                <c:pt idx="3">
                  <c:v>8.7108000000000008</c:v>
                </c:pt>
                <c:pt idx="4">
                  <c:v>1.331</c:v>
                </c:pt>
                <c:pt idx="5">
                  <c:v>0</c:v>
                </c:pt>
                <c:pt idx="6">
                  <c:v>2.9346000000000001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60F2-4711-A3AE-E1017C375E99}"/>
            </c:ext>
          </c:extLst>
        </c:ser>
        <c:ser>
          <c:idx val="6"/>
          <c:order val="6"/>
          <c:tx>
            <c:strRef>
              <c:f>'8. Liberación Comp'!$B$13</c:f>
              <c:strCache>
                <c:ptCount val="1"/>
                <c:pt idx="0">
                  <c:v>30%-40%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60F2-4711-A3AE-E1017C375E9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60F2-4711-A3AE-E1017C375E9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60F2-4711-A3AE-E1017C375E9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60F2-4711-A3AE-E1017C375E9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60F2-4711-A3AE-E1017C375E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'8. Liberación Comp'!$C$5:$I$6</c15:sqref>
                  </c15:fullRef>
                </c:ext>
              </c:extLst>
              <c:f>'8. Liberación Comp'!$C$5:$I$6</c:f>
              <c:multiLvlStrCache>
                <c:ptCount val="7"/>
                <c:lvl>
                  <c:pt idx="0">
                    <c:v>Calcopirita</c:v>
                  </c:pt>
                  <c:pt idx="1">
                    <c:v>Calcosina/digenita</c:v>
                  </c:pt>
                  <c:pt idx="2">
                    <c:v>Covelina</c:v>
                  </c:pt>
                  <c:pt idx="3">
                    <c:v>Bornita</c:v>
                  </c:pt>
                  <c:pt idx="4">
                    <c:v>Enargita/Tennantita</c:v>
                  </c:pt>
                  <c:pt idx="5">
                    <c:v>Molibdenita</c:v>
                  </c:pt>
                  <c:pt idx="6">
                    <c:v>Pirita</c:v>
                  </c:pt>
                </c:lvl>
                <c:lvl>
                  <c:pt idx="0">
                    <c:v>COMPÓSITO GLOBAL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 Liberación Comp'!$C$13:$J$13</c15:sqref>
                  </c15:fullRef>
                </c:ext>
              </c:extLst>
              <c:f>'8. Liberación Comp'!$C$13:$I$13</c:f>
              <c:numCache>
                <c:formatCode>0.0</c:formatCode>
                <c:ptCount val="7"/>
                <c:pt idx="0">
                  <c:v>2.2057000000000002</c:v>
                </c:pt>
                <c:pt idx="1">
                  <c:v>0</c:v>
                </c:pt>
                <c:pt idx="2">
                  <c:v>0</c:v>
                </c:pt>
                <c:pt idx="3">
                  <c:v>21.6187</c:v>
                </c:pt>
                <c:pt idx="4">
                  <c:v>11.7125</c:v>
                </c:pt>
                <c:pt idx="5">
                  <c:v>0</c:v>
                </c:pt>
                <c:pt idx="6">
                  <c:v>0.624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60F2-4711-A3AE-E1017C375E99}"/>
            </c:ext>
          </c:extLst>
        </c:ser>
        <c:ser>
          <c:idx val="7"/>
          <c:order val="7"/>
          <c:tx>
            <c:strRef>
              <c:f>'8. Liberación Comp'!$B$14</c:f>
              <c:strCache>
                <c:ptCount val="1"/>
                <c:pt idx="0">
                  <c:v>20%-30%</c:v>
                </c:pt>
              </c:strCache>
            </c:strRef>
          </c:tx>
          <c:spPr>
            <a:solidFill>
              <a:srgbClr val="FF9933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60F2-4711-A3AE-E1017C375E9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60F2-4711-A3AE-E1017C375E9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60F2-4711-A3AE-E1017C375E9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60F2-4711-A3AE-E1017C375E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'8. Liberación Comp'!$C$5:$I$6</c15:sqref>
                  </c15:fullRef>
                </c:ext>
              </c:extLst>
              <c:f>'8. Liberación Comp'!$C$5:$I$6</c:f>
              <c:multiLvlStrCache>
                <c:ptCount val="7"/>
                <c:lvl>
                  <c:pt idx="0">
                    <c:v>Calcopirita</c:v>
                  </c:pt>
                  <c:pt idx="1">
                    <c:v>Calcosina/digenita</c:v>
                  </c:pt>
                  <c:pt idx="2">
                    <c:v>Covelina</c:v>
                  </c:pt>
                  <c:pt idx="3">
                    <c:v>Bornita</c:v>
                  </c:pt>
                  <c:pt idx="4">
                    <c:v>Enargita/Tennantita</c:v>
                  </c:pt>
                  <c:pt idx="5">
                    <c:v>Molibdenita</c:v>
                  </c:pt>
                  <c:pt idx="6">
                    <c:v>Pirita</c:v>
                  </c:pt>
                </c:lvl>
                <c:lvl>
                  <c:pt idx="0">
                    <c:v>COMPÓSITO GLOBAL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 Liberación Comp'!$C$14:$I$14</c15:sqref>
                  </c15:fullRef>
                </c:ext>
              </c:extLst>
              <c:f>'8. Liberación Comp'!$C$14:$I$14</c:f>
              <c:numCache>
                <c:formatCode>0.0</c:formatCode>
                <c:ptCount val="7"/>
                <c:pt idx="0">
                  <c:v>5.1082000000000001</c:v>
                </c:pt>
                <c:pt idx="1">
                  <c:v>11.064399999999999</c:v>
                </c:pt>
                <c:pt idx="2">
                  <c:v>0.23499999999999999</c:v>
                </c:pt>
                <c:pt idx="3">
                  <c:v>10.150600000000001</c:v>
                </c:pt>
                <c:pt idx="4">
                  <c:v>3.9929000000000001</c:v>
                </c:pt>
                <c:pt idx="5">
                  <c:v>0</c:v>
                </c:pt>
                <c:pt idx="6">
                  <c:v>1.2254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60F2-4711-A3AE-E1017C375E99}"/>
            </c:ext>
          </c:extLst>
        </c:ser>
        <c:ser>
          <c:idx val="8"/>
          <c:order val="8"/>
          <c:tx>
            <c:strRef>
              <c:f>'8. Liberación Comp'!$B$15</c:f>
              <c:strCache>
                <c:ptCount val="1"/>
                <c:pt idx="0">
                  <c:v>10%-20%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60F2-4711-A3AE-E1017C375E9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60F2-4711-A3AE-E1017C375E9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60F2-4711-A3AE-E1017C375E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'8. Liberación Comp'!$C$5:$I$6</c15:sqref>
                  </c15:fullRef>
                </c:ext>
              </c:extLst>
              <c:f>'8. Liberación Comp'!$C$5:$I$6</c:f>
              <c:multiLvlStrCache>
                <c:ptCount val="7"/>
                <c:lvl>
                  <c:pt idx="0">
                    <c:v>Calcopirita</c:v>
                  </c:pt>
                  <c:pt idx="1">
                    <c:v>Calcosina/digenita</c:v>
                  </c:pt>
                  <c:pt idx="2">
                    <c:v>Covelina</c:v>
                  </c:pt>
                  <c:pt idx="3">
                    <c:v>Bornita</c:v>
                  </c:pt>
                  <c:pt idx="4">
                    <c:v>Enargita/Tennantita</c:v>
                  </c:pt>
                  <c:pt idx="5">
                    <c:v>Molibdenita</c:v>
                  </c:pt>
                  <c:pt idx="6">
                    <c:v>Pirita</c:v>
                  </c:pt>
                </c:lvl>
                <c:lvl>
                  <c:pt idx="0">
                    <c:v>COMPÓSITO GLOBAL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 Liberación Comp'!$C$15:$I$15</c15:sqref>
                  </c15:fullRef>
                </c:ext>
              </c:extLst>
              <c:f>'8. Liberación Comp'!$C$15:$I$15</c:f>
              <c:numCache>
                <c:formatCode>0.0</c:formatCode>
                <c:ptCount val="7"/>
                <c:pt idx="0">
                  <c:v>17.791799999999999</c:v>
                </c:pt>
                <c:pt idx="1">
                  <c:v>0.28010000000000002</c:v>
                </c:pt>
                <c:pt idx="2">
                  <c:v>7.1680000000000001</c:v>
                </c:pt>
                <c:pt idx="3">
                  <c:v>11.8087</c:v>
                </c:pt>
                <c:pt idx="4">
                  <c:v>7.9858000000000002</c:v>
                </c:pt>
                <c:pt idx="5">
                  <c:v>0</c:v>
                </c:pt>
                <c:pt idx="6">
                  <c:v>3.4655999999999998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60F2-4711-A3AE-E1017C375E99}"/>
            </c:ext>
          </c:extLst>
        </c:ser>
        <c:ser>
          <c:idx val="9"/>
          <c:order val="9"/>
          <c:tx>
            <c:strRef>
              <c:f>'8. Liberación Comp'!$B$16</c:f>
              <c:strCache>
                <c:ptCount val="1"/>
                <c:pt idx="0">
                  <c:v>&lt;10%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18F-49CD-963A-B5ABB2B5A8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'8. Liberación Comp'!$C$5:$I$6</c15:sqref>
                  </c15:fullRef>
                </c:ext>
              </c:extLst>
              <c:f>'8. Liberación Comp'!$C$5:$I$6</c:f>
              <c:multiLvlStrCache>
                <c:ptCount val="7"/>
                <c:lvl>
                  <c:pt idx="0">
                    <c:v>Calcopirita</c:v>
                  </c:pt>
                  <c:pt idx="1">
                    <c:v>Calcosina/digenita</c:v>
                  </c:pt>
                  <c:pt idx="2">
                    <c:v>Covelina</c:v>
                  </c:pt>
                  <c:pt idx="3">
                    <c:v>Bornita</c:v>
                  </c:pt>
                  <c:pt idx="4">
                    <c:v>Enargita/Tennantita</c:v>
                  </c:pt>
                  <c:pt idx="5">
                    <c:v>Molibdenita</c:v>
                  </c:pt>
                  <c:pt idx="6">
                    <c:v>Pirita</c:v>
                  </c:pt>
                </c:lvl>
                <c:lvl>
                  <c:pt idx="0">
                    <c:v>COMPÓSITO GLOBAL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 Liberación Comp'!$C$16:$I$16</c15:sqref>
                  </c15:fullRef>
                </c:ext>
              </c:extLst>
              <c:f>'8. Liberación Comp'!$C$16:$I$16</c:f>
              <c:numCache>
                <c:formatCode>0.0</c:formatCode>
                <c:ptCount val="7"/>
                <c:pt idx="0">
                  <c:v>14.899900000000001</c:v>
                </c:pt>
                <c:pt idx="1">
                  <c:v>15.126099999999999</c:v>
                </c:pt>
                <c:pt idx="2">
                  <c:v>3.7603</c:v>
                </c:pt>
                <c:pt idx="3">
                  <c:v>17.048999999999999</c:v>
                </c:pt>
                <c:pt idx="4">
                  <c:v>52.173900000000003</c:v>
                </c:pt>
                <c:pt idx="5">
                  <c:v>0</c:v>
                </c:pt>
                <c:pt idx="6">
                  <c:v>2.6785999999999999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60F2-4711-A3AE-E1017C375E9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30414976"/>
        <c:axId val="230400096"/>
      </c:barChart>
      <c:catAx>
        <c:axId val="23041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endParaRPr lang="es-CL"/>
          </a:p>
        </c:txPr>
        <c:crossAx val="230400096"/>
        <c:crosses val="autoZero"/>
        <c:auto val="1"/>
        <c:lblAlgn val="ctr"/>
        <c:lblOffset val="100"/>
        <c:noMultiLvlLbl val="0"/>
      </c:catAx>
      <c:valAx>
        <c:axId val="23040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r>
                  <a:rPr lang="es-CL"/>
                  <a:t>% Masa especie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Source Sans Pro" panose="020B0503030403020204" pitchFamily="34" charset="0"/>
                  <a:ea typeface="+mn-ea"/>
                  <a:cs typeface="+mn-cs"/>
                </a:defRPr>
              </a:pPr>
              <a:endParaRPr lang="es-CL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endParaRPr lang="es-CL"/>
          </a:p>
        </c:txPr>
        <c:crossAx val="23041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Source Sans Pro" panose="020B0503030403020204" pitchFamily="34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Source Sans Pro" panose="020B0503030403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'9. Asociación comp'!$C$4</c:f>
              <c:strCache>
                <c:ptCount val="1"/>
                <c:pt idx="0">
                  <c:v>Feldespato K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656-4074-86DF-77314897DE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656-4074-86DF-77314897DE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656-4074-86DF-77314897DE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656-4074-86DF-77314897DE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656-4074-86DF-77314897DE9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656-4074-86DF-77314897DE9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656-4074-86DF-77314897DE9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656-4074-86DF-77314897DE9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656-4074-86DF-77314897DE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'9. Asociación comp'!$B$5:$B$13</c:f>
              <c:strCache>
                <c:ptCount val="9"/>
                <c:pt idx="0">
                  <c:v>COMPÓSITO GLOBAL</c:v>
                </c:pt>
                <c:pt idx="1">
                  <c:v>Partículas libres</c:v>
                </c:pt>
                <c:pt idx="2">
                  <c:v>Parículas binarias</c:v>
                </c:pt>
                <c:pt idx="3">
                  <c:v>Feldespato K</c:v>
                </c:pt>
                <c:pt idx="4">
                  <c:v>Muscovita/illita</c:v>
                </c:pt>
                <c:pt idx="5">
                  <c:v>Arcillas Al</c:v>
                </c:pt>
                <c:pt idx="6">
                  <c:v>Plagioclasa</c:v>
                </c:pt>
                <c:pt idx="7">
                  <c:v>Piroxeno</c:v>
                </c:pt>
                <c:pt idx="8">
                  <c:v>Hematita/Magnetita</c:v>
                </c:pt>
              </c:strCache>
            </c:strRef>
          </c:cat>
          <c:val>
            <c:numRef>
              <c:f>'9. Asociación comp'!$C$5:$C$13</c:f>
              <c:numCache>
                <c:formatCode>General</c:formatCode>
                <c:ptCount val="9"/>
                <c:pt idx="1">
                  <c:v>9.69</c:v>
                </c:pt>
                <c:pt idx="2">
                  <c:v>2.1800000000000002</c:v>
                </c:pt>
                <c:pt idx="4">
                  <c:v>0</c:v>
                </c:pt>
                <c:pt idx="5">
                  <c:v>0.48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656-4074-86DF-77314897DE9A}"/>
            </c:ext>
          </c:extLst>
        </c:ser>
        <c:ser>
          <c:idx val="1"/>
          <c:order val="1"/>
          <c:tx>
            <c:strRef>
              <c:f>'9. Asociación comp'!$D$4</c:f>
              <c:strCache>
                <c:ptCount val="1"/>
                <c:pt idx="0">
                  <c:v>Muscovita/illita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7656-4074-86DF-77314897DE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7656-4074-86DF-77314897DE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7656-4074-86DF-77314897DE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7656-4074-86DF-77314897DE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7656-4074-86DF-77314897DE9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7656-4074-86DF-77314897DE9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7656-4074-86DF-77314897DE9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7656-4074-86DF-77314897DE9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7656-4074-86DF-77314897DE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'9. Asociación comp'!$B$5:$B$13</c:f>
              <c:strCache>
                <c:ptCount val="9"/>
                <c:pt idx="0">
                  <c:v>COMPÓSITO GLOBAL</c:v>
                </c:pt>
                <c:pt idx="1">
                  <c:v>Partículas libres</c:v>
                </c:pt>
                <c:pt idx="2">
                  <c:v>Parículas binarias</c:v>
                </c:pt>
                <c:pt idx="3">
                  <c:v>Feldespato K</c:v>
                </c:pt>
                <c:pt idx="4">
                  <c:v>Muscovita/illita</c:v>
                </c:pt>
                <c:pt idx="5">
                  <c:v>Arcillas Al</c:v>
                </c:pt>
                <c:pt idx="6">
                  <c:v>Plagioclasa</c:v>
                </c:pt>
                <c:pt idx="7">
                  <c:v>Piroxeno</c:v>
                </c:pt>
                <c:pt idx="8">
                  <c:v>Hematita/Magnetita</c:v>
                </c:pt>
              </c:strCache>
            </c:strRef>
          </c:cat>
          <c:val>
            <c:numRef>
              <c:f>'9. Asociación comp'!$D$5:$D$13</c:f>
              <c:numCache>
                <c:formatCode>General</c:formatCode>
                <c:ptCount val="9"/>
                <c:pt idx="1">
                  <c:v>24.95</c:v>
                </c:pt>
                <c:pt idx="2">
                  <c:v>46.03</c:v>
                </c:pt>
                <c:pt idx="3">
                  <c:v>0</c:v>
                </c:pt>
                <c:pt idx="5">
                  <c:v>1.1000000000000001</c:v>
                </c:pt>
                <c:pt idx="6">
                  <c:v>1.05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7656-4074-86DF-77314897DE9A}"/>
            </c:ext>
          </c:extLst>
        </c:ser>
        <c:ser>
          <c:idx val="2"/>
          <c:order val="2"/>
          <c:tx>
            <c:strRef>
              <c:f>'9. Asociación comp'!$E$4</c:f>
              <c:strCache>
                <c:ptCount val="1"/>
                <c:pt idx="0">
                  <c:v>Arcillas 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7656-4074-86DF-77314897DE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7656-4074-86DF-77314897DE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7656-4074-86DF-77314897DE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7656-4074-86DF-77314897DE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7656-4074-86DF-77314897DE9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7656-4074-86DF-77314897DE9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7656-4074-86DF-77314897DE9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7656-4074-86DF-77314897DE9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7656-4074-86DF-77314897DE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'9. Asociación comp'!$B$5:$B$13</c:f>
              <c:strCache>
                <c:ptCount val="9"/>
                <c:pt idx="0">
                  <c:v>COMPÓSITO GLOBAL</c:v>
                </c:pt>
                <c:pt idx="1">
                  <c:v>Partículas libres</c:v>
                </c:pt>
                <c:pt idx="2">
                  <c:v>Parículas binarias</c:v>
                </c:pt>
                <c:pt idx="3">
                  <c:v>Feldespato K</c:v>
                </c:pt>
                <c:pt idx="4">
                  <c:v>Muscovita/illita</c:v>
                </c:pt>
                <c:pt idx="5">
                  <c:v>Arcillas Al</c:v>
                </c:pt>
                <c:pt idx="6">
                  <c:v>Plagioclasa</c:v>
                </c:pt>
                <c:pt idx="7">
                  <c:v>Piroxeno</c:v>
                </c:pt>
                <c:pt idx="8">
                  <c:v>Hematita/Magnetita</c:v>
                </c:pt>
              </c:strCache>
            </c:strRef>
          </c:cat>
          <c:val>
            <c:numRef>
              <c:f>'9. Asociación comp'!$E$5:$E$13</c:f>
              <c:numCache>
                <c:formatCode>General</c:formatCode>
                <c:ptCount val="9"/>
                <c:pt idx="1">
                  <c:v>14.4</c:v>
                </c:pt>
                <c:pt idx="2">
                  <c:v>19.21</c:v>
                </c:pt>
                <c:pt idx="3">
                  <c:v>0.03</c:v>
                </c:pt>
                <c:pt idx="4">
                  <c:v>10.6</c:v>
                </c:pt>
                <c:pt idx="6">
                  <c:v>0.3</c:v>
                </c:pt>
                <c:pt idx="7">
                  <c:v>0</c:v>
                </c:pt>
                <c:pt idx="8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7656-4074-86DF-77314897DE9A}"/>
            </c:ext>
          </c:extLst>
        </c:ser>
        <c:ser>
          <c:idx val="3"/>
          <c:order val="3"/>
          <c:tx>
            <c:strRef>
              <c:f>'9. Asociación comp'!$F$4</c:f>
              <c:strCache>
                <c:ptCount val="1"/>
                <c:pt idx="0">
                  <c:v>Calcita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A-7656-4074-86DF-77314897DE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C-7656-4074-86DF-77314897DE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E-7656-4074-86DF-77314897DE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0-7656-4074-86DF-77314897DE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2-7656-4074-86DF-77314897DE9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4-7656-4074-86DF-77314897DE9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6-7656-4074-86DF-77314897DE9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8-7656-4074-86DF-77314897DE9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A-7656-4074-86DF-77314897DE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'9. Asociación comp'!$B$5:$B$13</c:f>
              <c:strCache>
                <c:ptCount val="9"/>
                <c:pt idx="0">
                  <c:v>COMPÓSITO GLOBAL</c:v>
                </c:pt>
                <c:pt idx="1">
                  <c:v>Partículas libres</c:v>
                </c:pt>
                <c:pt idx="2">
                  <c:v>Parículas binarias</c:v>
                </c:pt>
                <c:pt idx="3">
                  <c:v>Feldespato K</c:v>
                </c:pt>
                <c:pt idx="4">
                  <c:v>Muscovita/illita</c:v>
                </c:pt>
                <c:pt idx="5">
                  <c:v>Arcillas Al</c:v>
                </c:pt>
                <c:pt idx="6">
                  <c:v>Plagioclasa</c:v>
                </c:pt>
                <c:pt idx="7">
                  <c:v>Piroxeno</c:v>
                </c:pt>
                <c:pt idx="8">
                  <c:v>Hematita/Magnetita</c:v>
                </c:pt>
              </c:strCache>
            </c:strRef>
          </c:cat>
          <c:val>
            <c:numRef>
              <c:f>'9. Asociación comp'!$F$5:$F$13</c:f>
              <c:numCache>
                <c:formatCode>General</c:formatCode>
                <c:ptCount val="9"/>
                <c:pt idx="1">
                  <c:v>14.29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B-7656-4074-86DF-77314897DE9A}"/>
            </c:ext>
          </c:extLst>
        </c:ser>
        <c:ser>
          <c:idx val="4"/>
          <c:order val="4"/>
          <c:tx>
            <c:strRef>
              <c:f>'9. Asociación comp'!$G$4</c:f>
              <c:strCache>
                <c:ptCount val="1"/>
                <c:pt idx="0">
                  <c:v>Plagioclasa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7656-4074-86DF-77314897DE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7656-4074-86DF-77314897DE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7656-4074-86DF-77314897DE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7656-4074-86DF-77314897DE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7656-4074-86DF-77314897DE9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7656-4074-86DF-77314897DE9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7656-4074-86DF-77314897DE9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7656-4074-86DF-77314897DE9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7656-4074-86DF-77314897DE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'9. Asociación comp'!$B$5:$B$13</c:f>
              <c:strCache>
                <c:ptCount val="9"/>
                <c:pt idx="0">
                  <c:v>COMPÓSITO GLOBAL</c:v>
                </c:pt>
                <c:pt idx="1">
                  <c:v>Partículas libres</c:v>
                </c:pt>
                <c:pt idx="2">
                  <c:v>Parículas binarias</c:v>
                </c:pt>
                <c:pt idx="3">
                  <c:v>Feldespato K</c:v>
                </c:pt>
                <c:pt idx="4">
                  <c:v>Muscovita/illita</c:v>
                </c:pt>
                <c:pt idx="5">
                  <c:v>Arcillas Al</c:v>
                </c:pt>
                <c:pt idx="6">
                  <c:v>Plagioclasa</c:v>
                </c:pt>
                <c:pt idx="7">
                  <c:v>Piroxeno</c:v>
                </c:pt>
                <c:pt idx="8">
                  <c:v>Hematita/Magnetita</c:v>
                </c:pt>
              </c:strCache>
            </c:strRef>
          </c:cat>
          <c:val>
            <c:numRef>
              <c:f>'9. Asociación comp'!$G$5:$G$13</c:f>
              <c:numCache>
                <c:formatCode>General</c:formatCode>
                <c:ptCount val="9"/>
                <c:pt idx="1">
                  <c:v>14.42</c:v>
                </c:pt>
                <c:pt idx="2">
                  <c:v>12.38</c:v>
                </c:pt>
                <c:pt idx="3">
                  <c:v>0</c:v>
                </c:pt>
                <c:pt idx="4">
                  <c:v>9.5</c:v>
                </c:pt>
                <c:pt idx="5">
                  <c:v>0.1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E-7656-4074-86DF-77314897DE9A}"/>
            </c:ext>
          </c:extLst>
        </c:ser>
        <c:ser>
          <c:idx val="5"/>
          <c:order val="5"/>
          <c:tx>
            <c:strRef>
              <c:f>'9. Asociación comp'!$H$4</c:f>
              <c:strCache>
                <c:ptCount val="1"/>
                <c:pt idx="0">
                  <c:v>Piroxeno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0-7656-4074-86DF-77314897DE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2-7656-4074-86DF-77314897DE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4-7656-4074-86DF-77314897DE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6-7656-4074-86DF-77314897DE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8-7656-4074-86DF-77314897DE9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A-7656-4074-86DF-77314897DE9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C-7656-4074-86DF-77314897DE9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E-7656-4074-86DF-77314897DE9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0-7656-4074-86DF-77314897DE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'9. Asociación comp'!$B$5:$B$13</c:f>
              <c:strCache>
                <c:ptCount val="9"/>
                <c:pt idx="0">
                  <c:v>COMPÓSITO GLOBAL</c:v>
                </c:pt>
                <c:pt idx="1">
                  <c:v>Partículas libres</c:v>
                </c:pt>
                <c:pt idx="2">
                  <c:v>Parículas binarias</c:v>
                </c:pt>
                <c:pt idx="3">
                  <c:v>Feldespato K</c:v>
                </c:pt>
                <c:pt idx="4">
                  <c:v>Muscovita/illita</c:v>
                </c:pt>
                <c:pt idx="5">
                  <c:v>Arcillas Al</c:v>
                </c:pt>
                <c:pt idx="6">
                  <c:v>Plagioclasa</c:v>
                </c:pt>
                <c:pt idx="7">
                  <c:v>Piroxeno</c:v>
                </c:pt>
                <c:pt idx="8">
                  <c:v>Hematita/Magnetita</c:v>
                </c:pt>
              </c:strCache>
            </c:strRef>
          </c:cat>
          <c:val>
            <c:numRef>
              <c:f>'9. Asociación comp'!$H$5:$H$13</c:f>
              <c:numCache>
                <c:formatCode>General</c:formatCode>
                <c:ptCount val="9"/>
                <c:pt idx="1">
                  <c:v>0.23</c:v>
                </c:pt>
                <c:pt idx="2">
                  <c:v>3.95</c:v>
                </c:pt>
                <c:pt idx="3">
                  <c:v>0</c:v>
                </c:pt>
                <c:pt idx="4">
                  <c:v>0.57999999999999996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1-7656-4074-86DF-77314897DE9A}"/>
            </c:ext>
          </c:extLst>
        </c:ser>
        <c:ser>
          <c:idx val="6"/>
          <c:order val="6"/>
          <c:tx>
            <c:strRef>
              <c:f>'9. Asociación comp'!$I$4</c:f>
              <c:strCache>
                <c:ptCount val="1"/>
                <c:pt idx="0">
                  <c:v>Ankerita/Siderita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7656-4074-86DF-77314897DE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7656-4074-86DF-77314897DE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7656-4074-86DF-77314897DE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7656-4074-86DF-77314897DE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7656-4074-86DF-77314897DE9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7656-4074-86DF-77314897DE9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7656-4074-86DF-77314897DE9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7656-4074-86DF-77314897DE9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7656-4074-86DF-77314897DE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'9. Asociación comp'!$B$5:$B$13</c:f>
              <c:strCache>
                <c:ptCount val="9"/>
                <c:pt idx="0">
                  <c:v>COMPÓSITO GLOBAL</c:v>
                </c:pt>
                <c:pt idx="1">
                  <c:v>Partículas libres</c:v>
                </c:pt>
                <c:pt idx="2">
                  <c:v>Parículas binarias</c:v>
                </c:pt>
                <c:pt idx="3">
                  <c:v>Feldespato K</c:v>
                </c:pt>
                <c:pt idx="4">
                  <c:v>Muscovita/illita</c:v>
                </c:pt>
                <c:pt idx="5">
                  <c:v>Arcillas Al</c:v>
                </c:pt>
                <c:pt idx="6">
                  <c:v>Plagioclasa</c:v>
                </c:pt>
                <c:pt idx="7">
                  <c:v>Piroxeno</c:v>
                </c:pt>
                <c:pt idx="8">
                  <c:v>Hematita/Magnetita</c:v>
                </c:pt>
              </c:strCache>
            </c:strRef>
          </c:cat>
          <c:val>
            <c:numRef>
              <c:f>'9. Asociación comp'!$I$5:$I$13</c:f>
              <c:numCache>
                <c:formatCode>General</c:formatCode>
                <c:ptCount val="9"/>
                <c:pt idx="1">
                  <c:v>91.8</c:v>
                </c:pt>
                <c:pt idx="2">
                  <c:v>8.1999999999999993</c:v>
                </c:pt>
                <c:pt idx="3">
                  <c:v>0</c:v>
                </c:pt>
                <c:pt idx="4">
                  <c:v>8.1999999999999993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4-7656-4074-86DF-77314897DE9A}"/>
            </c:ext>
          </c:extLst>
        </c:ser>
        <c:ser>
          <c:idx val="7"/>
          <c:order val="7"/>
          <c:tx>
            <c:strRef>
              <c:f>'9. Asociación comp'!$J$4</c:f>
              <c:strCache>
                <c:ptCount val="1"/>
                <c:pt idx="0">
                  <c:v>Hematita/Magnetita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6-7656-4074-86DF-77314897DE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8-7656-4074-86DF-77314897DE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A-7656-4074-86DF-77314897DE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C-7656-4074-86DF-77314897DE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E-7656-4074-86DF-77314897DE9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0-7656-4074-86DF-77314897DE9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2-7656-4074-86DF-77314897DE9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4-7656-4074-86DF-77314897DE9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6-7656-4074-86DF-77314897DE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'9. Asociación comp'!$B$5:$B$13</c:f>
              <c:strCache>
                <c:ptCount val="9"/>
                <c:pt idx="0">
                  <c:v>COMPÓSITO GLOBAL</c:v>
                </c:pt>
                <c:pt idx="1">
                  <c:v>Partículas libres</c:v>
                </c:pt>
                <c:pt idx="2">
                  <c:v>Parículas binarias</c:v>
                </c:pt>
                <c:pt idx="3">
                  <c:v>Feldespato K</c:v>
                </c:pt>
                <c:pt idx="4">
                  <c:v>Muscovita/illita</c:v>
                </c:pt>
                <c:pt idx="5">
                  <c:v>Arcillas Al</c:v>
                </c:pt>
                <c:pt idx="6">
                  <c:v>Plagioclasa</c:v>
                </c:pt>
                <c:pt idx="7">
                  <c:v>Piroxeno</c:v>
                </c:pt>
                <c:pt idx="8">
                  <c:v>Hematita/Magnetita</c:v>
                </c:pt>
              </c:strCache>
            </c:strRef>
          </c:cat>
          <c:val>
            <c:numRef>
              <c:f>'9. Asociación comp'!$J$5:$J$13</c:f>
              <c:numCache>
                <c:formatCode>General</c:formatCode>
                <c:ptCount val="9"/>
                <c:pt idx="1">
                  <c:v>28.19</c:v>
                </c:pt>
                <c:pt idx="2">
                  <c:v>19.87</c:v>
                </c:pt>
                <c:pt idx="3">
                  <c:v>0</c:v>
                </c:pt>
                <c:pt idx="4">
                  <c:v>10.7</c:v>
                </c:pt>
                <c:pt idx="5">
                  <c:v>1.1499999999999999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7-7656-4074-86DF-77314897DE9A}"/>
            </c:ext>
          </c:extLst>
        </c:ser>
        <c:ser>
          <c:idx val="8"/>
          <c:order val="8"/>
          <c:tx>
            <c:strRef>
              <c:f>'9. Asociación comp'!$K$4</c:f>
              <c:strCache>
                <c:ptCount val="1"/>
                <c:pt idx="0">
                  <c:v>Galena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9-7656-4074-86DF-77314897DE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B-7656-4074-86DF-77314897DE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D-7656-4074-86DF-77314897DE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F-7656-4074-86DF-77314897DE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1-7656-4074-86DF-77314897DE9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3-7656-4074-86DF-77314897DE9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5-7656-4074-86DF-77314897DE9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7-7656-4074-86DF-77314897DE9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9-7656-4074-86DF-77314897DE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'9. Asociación comp'!$B$5:$B$13</c:f>
              <c:strCache>
                <c:ptCount val="9"/>
                <c:pt idx="0">
                  <c:v>COMPÓSITO GLOBAL</c:v>
                </c:pt>
                <c:pt idx="1">
                  <c:v>Partículas libres</c:v>
                </c:pt>
                <c:pt idx="2">
                  <c:v>Parículas binarias</c:v>
                </c:pt>
                <c:pt idx="3">
                  <c:v>Feldespato K</c:v>
                </c:pt>
                <c:pt idx="4">
                  <c:v>Muscovita/illita</c:v>
                </c:pt>
                <c:pt idx="5">
                  <c:v>Arcillas Al</c:v>
                </c:pt>
                <c:pt idx="6">
                  <c:v>Plagioclasa</c:v>
                </c:pt>
                <c:pt idx="7">
                  <c:v>Piroxeno</c:v>
                </c:pt>
                <c:pt idx="8">
                  <c:v>Hematita/Magnetita</c:v>
                </c:pt>
              </c:strCache>
            </c:strRef>
          </c:cat>
          <c:val>
            <c:numRef>
              <c:f>'9. Asociación comp'!$K$5:$K$13</c:f>
              <c:numCache>
                <c:formatCode>General</c:formatCode>
                <c:ptCount val="9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A-7656-4074-86DF-77314897DE9A}"/>
            </c:ext>
          </c:extLst>
        </c:ser>
        <c:ser>
          <c:idx val="9"/>
          <c:order val="9"/>
          <c:tx>
            <c:strRef>
              <c:f>'9. Asociación comp'!$O$4</c:f>
              <c:strCache>
                <c:ptCount val="1"/>
                <c:pt idx="0">
                  <c:v>Bornita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C-7656-4074-86DF-77314897DE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E-7656-4074-86DF-77314897DE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0-7656-4074-86DF-77314897DE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2-7656-4074-86DF-77314897DE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4-7656-4074-86DF-77314897DE9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6-7656-4074-86DF-77314897DE9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8-7656-4074-86DF-77314897DE9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A-7656-4074-86DF-77314897DE9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C-7656-4074-86DF-77314897DE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'9. Asociación comp'!$B$5:$B$13</c:f>
              <c:strCache>
                <c:ptCount val="9"/>
                <c:pt idx="0">
                  <c:v>COMPÓSITO GLOBAL</c:v>
                </c:pt>
                <c:pt idx="1">
                  <c:v>Partículas libres</c:v>
                </c:pt>
                <c:pt idx="2">
                  <c:v>Parículas binarias</c:v>
                </c:pt>
                <c:pt idx="3">
                  <c:v>Feldespato K</c:v>
                </c:pt>
                <c:pt idx="4">
                  <c:v>Muscovita/illita</c:v>
                </c:pt>
                <c:pt idx="5">
                  <c:v>Arcillas Al</c:v>
                </c:pt>
                <c:pt idx="6">
                  <c:v>Plagioclasa</c:v>
                </c:pt>
                <c:pt idx="7">
                  <c:v>Piroxeno</c:v>
                </c:pt>
                <c:pt idx="8">
                  <c:v>Hematita/Magnetita</c:v>
                </c:pt>
              </c:strCache>
            </c:strRef>
          </c:cat>
          <c:val>
            <c:numRef>
              <c:f>'9. Asociación comp'!$O$5:$O$13</c:f>
              <c:numCache>
                <c:formatCode>General</c:formatCode>
                <c:ptCount val="9"/>
                <c:pt idx="1">
                  <c:v>17.79</c:v>
                </c:pt>
                <c:pt idx="2">
                  <c:v>15.16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D-7656-4074-86DF-77314897DE9A}"/>
            </c:ext>
          </c:extLst>
        </c:ser>
        <c:ser>
          <c:idx val="10"/>
          <c:order val="10"/>
          <c:tx>
            <c:strRef>
              <c:f>'9. Asociación comp'!$P$4</c:f>
              <c:strCache>
                <c:ptCount val="1"/>
                <c:pt idx="0">
                  <c:v>Calcosina/digenita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F-7656-4074-86DF-77314897DE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1-7656-4074-86DF-77314897DE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3-7656-4074-86DF-77314897DE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5-7656-4074-86DF-77314897DE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7-7656-4074-86DF-77314897DE9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9-7656-4074-86DF-77314897DE9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B-7656-4074-86DF-77314897DE9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D-7656-4074-86DF-77314897DE9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F-7656-4074-86DF-77314897DE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'9. Asociación comp'!$B$5:$B$13</c:f>
              <c:strCache>
                <c:ptCount val="9"/>
                <c:pt idx="0">
                  <c:v>COMPÓSITO GLOBAL</c:v>
                </c:pt>
                <c:pt idx="1">
                  <c:v>Partículas libres</c:v>
                </c:pt>
                <c:pt idx="2">
                  <c:v>Parículas binarias</c:v>
                </c:pt>
                <c:pt idx="3">
                  <c:v>Feldespato K</c:v>
                </c:pt>
                <c:pt idx="4">
                  <c:v>Muscovita/illita</c:v>
                </c:pt>
                <c:pt idx="5">
                  <c:v>Arcillas Al</c:v>
                </c:pt>
                <c:pt idx="6">
                  <c:v>Plagioclasa</c:v>
                </c:pt>
                <c:pt idx="7">
                  <c:v>Piroxeno</c:v>
                </c:pt>
                <c:pt idx="8">
                  <c:v>Hematita/Magnetita</c:v>
                </c:pt>
              </c:strCache>
            </c:strRef>
          </c:cat>
          <c:val>
            <c:numRef>
              <c:f>'9. Asociación comp'!$P$5:$P$13</c:f>
              <c:numCache>
                <c:formatCode>General</c:formatCode>
                <c:ptCount val="9"/>
                <c:pt idx="1">
                  <c:v>44.54</c:v>
                </c:pt>
                <c:pt idx="2">
                  <c:v>29.97</c:v>
                </c:pt>
                <c:pt idx="3">
                  <c:v>0</c:v>
                </c:pt>
                <c:pt idx="4">
                  <c:v>10.78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0-7656-4074-86DF-77314897DE9A}"/>
            </c:ext>
          </c:extLst>
        </c:ser>
        <c:ser>
          <c:idx val="11"/>
          <c:order val="11"/>
          <c:tx>
            <c:strRef>
              <c:f>'9. Asociación comp'!$Q$4</c:f>
              <c:strCache>
                <c:ptCount val="1"/>
                <c:pt idx="0">
                  <c:v>Enargita/Tennantita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2-7656-4074-86DF-77314897DE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4-7656-4074-86DF-77314897DE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6-7656-4074-86DF-77314897DE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8-7656-4074-86DF-77314897DE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A-7656-4074-86DF-77314897DE9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C-7656-4074-86DF-77314897DE9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E-7656-4074-86DF-77314897DE9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0-7656-4074-86DF-77314897DE9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2-7656-4074-86DF-77314897DE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'9. Asociación comp'!$B$5:$B$13</c:f>
              <c:strCache>
                <c:ptCount val="9"/>
                <c:pt idx="0">
                  <c:v>COMPÓSITO GLOBAL</c:v>
                </c:pt>
                <c:pt idx="1">
                  <c:v>Partículas libres</c:v>
                </c:pt>
                <c:pt idx="2">
                  <c:v>Parículas binarias</c:v>
                </c:pt>
                <c:pt idx="3">
                  <c:v>Feldespato K</c:v>
                </c:pt>
                <c:pt idx="4">
                  <c:v>Muscovita/illita</c:v>
                </c:pt>
                <c:pt idx="5">
                  <c:v>Arcillas Al</c:v>
                </c:pt>
                <c:pt idx="6">
                  <c:v>Plagioclasa</c:v>
                </c:pt>
                <c:pt idx="7">
                  <c:v>Piroxeno</c:v>
                </c:pt>
                <c:pt idx="8">
                  <c:v>Hematita/Magnetita</c:v>
                </c:pt>
              </c:strCache>
            </c:strRef>
          </c:cat>
          <c:val>
            <c:numRef>
              <c:f>'9. Asociación comp'!$Q$5:$Q$13</c:f>
              <c:numCache>
                <c:formatCode>General</c:formatCode>
                <c:ptCount val="9"/>
                <c:pt idx="1">
                  <c:v>22.8</c:v>
                </c:pt>
                <c:pt idx="2">
                  <c:v>7.99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3-7656-4074-86DF-77314897DE9A}"/>
            </c:ext>
          </c:extLst>
        </c:ser>
        <c:ser>
          <c:idx val="12"/>
          <c:order val="12"/>
          <c:tx>
            <c:strRef>
              <c:f>'9. Asociación comp'!$R$4</c:f>
              <c:strCache>
                <c:ptCount val="1"/>
                <c:pt idx="0">
                  <c:v>Alunita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5-7656-4074-86DF-77314897DE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7-7656-4074-86DF-77314897DE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9-7656-4074-86DF-77314897DE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B-7656-4074-86DF-77314897DE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D-7656-4074-86DF-77314897DE9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F-7656-4074-86DF-77314897DE9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1-7656-4074-86DF-77314897DE9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3-7656-4074-86DF-77314897DE9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5-7656-4074-86DF-77314897DE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'9. Asociación comp'!$B$5:$B$13</c:f>
              <c:strCache>
                <c:ptCount val="9"/>
                <c:pt idx="0">
                  <c:v>COMPÓSITO GLOBAL</c:v>
                </c:pt>
                <c:pt idx="1">
                  <c:v>Partículas libres</c:v>
                </c:pt>
                <c:pt idx="2">
                  <c:v>Parículas binarias</c:v>
                </c:pt>
                <c:pt idx="3">
                  <c:v>Feldespato K</c:v>
                </c:pt>
                <c:pt idx="4">
                  <c:v>Muscovita/illita</c:v>
                </c:pt>
                <c:pt idx="5">
                  <c:v>Arcillas Al</c:v>
                </c:pt>
                <c:pt idx="6">
                  <c:v>Plagioclasa</c:v>
                </c:pt>
                <c:pt idx="7">
                  <c:v>Piroxeno</c:v>
                </c:pt>
                <c:pt idx="8">
                  <c:v>Hematita/Magnetita</c:v>
                </c:pt>
              </c:strCache>
            </c:strRef>
          </c:cat>
          <c:val>
            <c:numRef>
              <c:f>'9. Asociación comp'!$R$5:$R$13</c:f>
              <c:numCache>
                <c:formatCode>General</c:formatCode>
                <c:ptCount val="9"/>
                <c:pt idx="1">
                  <c:v>44.03</c:v>
                </c:pt>
                <c:pt idx="2">
                  <c:v>22.35</c:v>
                </c:pt>
                <c:pt idx="3">
                  <c:v>0</c:v>
                </c:pt>
                <c:pt idx="4">
                  <c:v>14.94</c:v>
                </c:pt>
                <c:pt idx="5">
                  <c:v>0.88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6-7656-4074-86DF-77314897DE9A}"/>
            </c:ext>
          </c:extLst>
        </c:ser>
        <c:ser>
          <c:idx val="13"/>
          <c:order val="13"/>
          <c:tx>
            <c:strRef>
              <c:f>'9. Asociación comp'!$S$4</c:f>
              <c:strCache>
                <c:ptCount val="1"/>
                <c:pt idx="0">
                  <c:v>Molibdenita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8-7656-4074-86DF-77314897DE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A-7656-4074-86DF-77314897DE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C-7656-4074-86DF-77314897DE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E-7656-4074-86DF-77314897DE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0-7656-4074-86DF-77314897DE9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2-7656-4074-86DF-77314897DE9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4-7656-4074-86DF-77314897DE9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6-7656-4074-86DF-77314897DE9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8-7656-4074-86DF-77314897DE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'9. Asociación comp'!$B$5:$B$13</c:f>
              <c:strCache>
                <c:ptCount val="9"/>
                <c:pt idx="0">
                  <c:v>COMPÓSITO GLOBAL</c:v>
                </c:pt>
                <c:pt idx="1">
                  <c:v>Partículas libres</c:v>
                </c:pt>
                <c:pt idx="2">
                  <c:v>Parículas binarias</c:v>
                </c:pt>
                <c:pt idx="3">
                  <c:v>Feldespato K</c:v>
                </c:pt>
                <c:pt idx="4">
                  <c:v>Muscovita/illita</c:v>
                </c:pt>
                <c:pt idx="5">
                  <c:v>Arcillas Al</c:v>
                </c:pt>
                <c:pt idx="6">
                  <c:v>Plagioclasa</c:v>
                </c:pt>
                <c:pt idx="7">
                  <c:v>Piroxeno</c:v>
                </c:pt>
                <c:pt idx="8">
                  <c:v>Hematita/Magnetita</c:v>
                </c:pt>
              </c:strCache>
            </c:strRef>
          </c:cat>
          <c:val>
            <c:numRef>
              <c:f>'9. Asociación comp'!$S$5:$S$13</c:f>
              <c:numCache>
                <c:formatCode>General</c:formatCode>
                <c:ptCount val="9"/>
                <c:pt idx="1">
                  <c:v>100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09-7656-4074-86DF-77314897DE9A}"/>
            </c:ext>
          </c:extLst>
        </c:ser>
        <c:ser>
          <c:idx val="14"/>
          <c:order val="14"/>
          <c:tx>
            <c:strRef>
              <c:f>'9. Asociación comp'!$T$4</c:f>
              <c:strCache>
                <c:ptCount val="1"/>
                <c:pt idx="0">
                  <c:v>Apatito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B-7656-4074-86DF-77314897DE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D-7656-4074-86DF-77314897DE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F-7656-4074-86DF-77314897DE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1-7656-4074-86DF-77314897DE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3-7656-4074-86DF-77314897DE9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5-7656-4074-86DF-77314897DE9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7-7656-4074-86DF-77314897DE9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9-7656-4074-86DF-77314897DE9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B-7656-4074-86DF-77314897DE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'9. Asociación comp'!$B$5:$B$13</c:f>
              <c:strCache>
                <c:ptCount val="9"/>
                <c:pt idx="0">
                  <c:v>COMPÓSITO GLOBAL</c:v>
                </c:pt>
                <c:pt idx="1">
                  <c:v>Partículas libres</c:v>
                </c:pt>
                <c:pt idx="2">
                  <c:v>Parículas binarias</c:v>
                </c:pt>
                <c:pt idx="3">
                  <c:v>Feldespato K</c:v>
                </c:pt>
                <c:pt idx="4">
                  <c:v>Muscovita/illita</c:v>
                </c:pt>
                <c:pt idx="5">
                  <c:v>Arcillas Al</c:v>
                </c:pt>
                <c:pt idx="6">
                  <c:v>Plagioclasa</c:v>
                </c:pt>
                <c:pt idx="7">
                  <c:v>Piroxeno</c:v>
                </c:pt>
                <c:pt idx="8">
                  <c:v>Hematita/Magnetita</c:v>
                </c:pt>
              </c:strCache>
            </c:strRef>
          </c:cat>
          <c:val>
            <c:numRef>
              <c:f>'9. Asociación comp'!$T$5:$T$13</c:f>
              <c:numCache>
                <c:formatCode>General</c:formatCode>
                <c:ptCount val="9"/>
                <c:pt idx="1">
                  <c:v>30.26</c:v>
                </c:pt>
                <c:pt idx="2">
                  <c:v>11.11</c:v>
                </c:pt>
                <c:pt idx="3">
                  <c:v>0</c:v>
                </c:pt>
                <c:pt idx="4">
                  <c:v>7.52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1C-7656-4074-86DF-77314897DE9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r>
              <a:rPr lang="en-US" b="1"/>
              <a:t>Variaciones de la ley de Cu en la Alimentación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ource Sans Pro" panose="020B0503030403020204" pitchFamily="34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Pilotaje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'13. Pilotaje Rougher'!$E$19:$E$52</c:f>
              <c:strCache>
                <c:ptCount val="34"/>
                <c:pt idx="0">
                  <c:v>Cu</c:v>
                </c:pt>
                <c:pt idx="1">
                  <c:v>Cu</c:v>
                </c:pt>
                <c:pt idx="2">
                  <c:v>Cu</c:v>
                </c:pt>
                <c:pt idx="3">
                  <c:v>Cu</c:v>
                </c:pt>
                <c:pt idx="4">
                  <c:v>Cu</c:v>
                </c:pt>
                <c:pt idx="5">
                  <c:v>Cu</c:v>
                </c:pt>
                <c:pt idx="6">
                  <c:v>Cu</c:v>
                </c:pt>
                <c:pt idx="7">
                  <c:v>Cu</c:v>
                </c:pt>
                <c:pt idx="8">
                  <c:v>Cu</c:v>
                </c:pt>
                <c:pt idx="9">
                  <c:v>Cu</c:v>
                </c:pt>
                <c:pt idx="10">
                  <c:v>Cu</c:v>
                </c:pt>
                <c:pt idx="11">
                  <c:v>Cu</c:v>
                </c:pt>
                <c:pt idx="12">
                  <c:v>Cu</c:v>
                </c:pt>
                <c:pt idx="13">
                  <c:v>Cu</c:v>
                </c:pt>
                <c:pt idx="14">
                  <c:v>Cu</c:v>
                </c:pt>
                <c:pt idx="15">
                  <c:v>Cu</c:v>
                </c:pt>
                <c:pt idx="16">
                  <c:v>Cu</c:v>
                </c:pt>
                <c:pt idx="17">
                  <c:v>Cu</c:v>
                </c:pt>
                <c:pt idx="18">
                  <c:v>Cu</c:v>
                </c:pt>
                <c:pt idx="19">
                  <c:v>Cu</c:v>
                </c:pt>
                <c:pt idx="20">
                  <c:v>Cu</c:v>
                </c:pt>
                <c:pt idx="21">
                  <c:v>Cu</c:v>
                </c:pt>
                <c:pt idx="22">
                  <c:v>Cu</c:v>
                </c:pt>
                <c:pt idx="23">
                  <c:v>Cu</c:v>
                </c:pt>
                <c:pt idx="24">
                  <c:v>Cu</c:v>
                </c:pt>
                <c:pt idx="25">
                  <c:v>Cu</c:v>
                </c:pt>
                <c:pt idx="26">
                  <c:v>Cu</c:v>
                </c:pt>
                <c:pt idx="27">
                  <c:v>Cu</c:v>
                </c:pt>
                <c:pt idx="28">
                  <c:v>Cu</c:v>
                </c:pt>
                <c:pt idx="29">
                  <c:v>Cu</c:v>
                </c:pt>
                <c:pt idx="30">
                  <c:v>Cu</c:v>
                </c:pt>
                <c:pt idx="31">
                  <c:v>Cu</c:v>
                </c:pt>
                <c:pt idx="32">
                  <c:v>Cu</c:v>
                </c:pt>
                <c:pt idx="33">
                  <c:v>Cu</c:v>
                </c:pt>
              </c:strCache>
            </c:strRef>
          </c:xVal>
          <c:yVal>
            <c:numRef>
              <c:f>'13. Pilotaje Rougher'!$F$19:$F$52</c:f>
              <c:numCache>
                <c:formatCode>0.00</c:formatCode>
                <c:ptCount val="34"/>
                <c:pt idx="0" formatCode="0.000">
                  <c:v>0.65</c:v>
                </c:pt>
                <c:pt idx="1">
                  <c:v>0.60899999999999999</c:v>
                </c:pt>
                <c:pt idx="2">
                  <c:v>0.63800000000000001</c:v>
                </c:pt>
                <c:pt idx="3">
                  <c:v>0.64600000000000002</c:v>
                </c:pt>
                <c:pt idx="4">
                  <c:v>0.63400000000000001</c:v>
                </c:pt>
                <c:pt idx="5">
                  <c:v>0.71099999999999997</c:v>
                </c:pt>
                <c:pt idx="6">
                  <c:v>0.68100000000000005</c:v>
                </c:pt>
                <c:pt idx="7">
                  <c:v>0.70299999999999996</c:v>
                </c:pt>
                <c:pt idx="8">
                  <c:v>0.69099999999999995</c:v>
                </c:pt>
                <c:pt idx="9">
                  <c:v>0.71399999999999997</c:v>
                </c:pt>
                <c:pt idx="10">
                  <c:v>0.69099999999999995</c:v>
                </c:pt>
                <c:pt idx="11">
                  <c:v>0.67600000000000005</c:v>
                </c:pt>
                <c:pt idx="12">
                  <c:v>0.69799999999999995</c:v>
                </c:pt>
                <c:pt idx="13">
                  <c:v>0.68300000000000005</c:v>
                </c:pt>
                <c:pt idx="14">
                  <c:v>0.68100000000000005</c:v>
                </c:pt>
                <c:pt idx="15">
                  <c:v>0.68300000000000005</c:v>
                </c:pt>
                <c:pt idx="16">
                  <c:v>0.67800000000000005</c:v>
                </c:pt>
                <c:pt idx="17">
                  <c:v>0.67200000000000004</c:v>
                </c:pt>
                <c:pt idx="18">
                  <c:v>0.68799999999999994</c:v>
                </c:pt>
                <c:pt idx="19">
                  <c:v>0.68100000000000005</c:v>
                </c:pt>
                <c:pt idx="20">
                  <c:v>0.66500000000000004</c:v>
                </c:pt>
                <c:pt idx="21">
                  <c:v>0.66200000000000003</c:v>
                </c:pt>
                <c:pt idx="22">
                  <c:v>0.69599999999999995</c:v>
                </c:pt>
                <c:pt idx="23">
                  <c:v>0.69399999999999995</c:v>
                </c:pt>
                <c:pt idx="24">
                  <c:v>0.68600000000000005</c:v>
                </c:pt>
                <c:pt idx="25">
                  <c:v>0.68500000000000005</c:v>
                </c:pt>
                <c:pt idx="26">
                  <c:v>0.68400000000000005</c:v>
                </c:pt>
                <c:pt idx="27">
                  <c:v>0.69</c:v>
                </c:pt>
                <c:pt idx="28">
                  <c:v>0.69099999999999995</c:v>
                </c:pt>
                <c:pt idx="29">
                  <c:v>0.67800000000000005</c:v>
                </c:pt>
                <c:pt idx="30">
                  <c:v>0.67600000000000005</c:v>
                </c:pt>
                <c:pt idx="31">
                  <c:v>0.66400000000000003</c:v>
                </c:pt>
                <c:pt idx="32">
                  <c:v>0.68</c:v>
                </c:pt>
                <c:pt idx="33">
                  <c:v>0.68700000000000006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3E-4959-896B-C04313153641}"/>
            </c:ext>
          </c:extLst>
        </c:ser>
        <c:ser>
          <c:idx val="1"/>
          <c:order val="1"/>
          <c:tx>
            <c:v>Estándar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'13. Pilotaje Rougher'!$E$19</c:f>
              <c:strCache>
                <c:ptCount val="1"/>
                <c:pt idx="0">
                  <c:v>Cu</c:v>
                </c:pt>
              </c:strCache>
            </c:strRef>
          </c:xVal>
          <c:yVal>
            <c:numRef>
              <c:f>'13. Pilotaje Rougher'!$F$19</c:f>
              <c:numCache>
                <c:formatCode>0.000</c:formatCode>
                <c:ptCount val="1"/>
                <c:pt idx="0">
                  <c:v>0.65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3E-4959-896B-C04313153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3783871"/>
        <c:axId val="493784351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Cu Cabeza</c:v>
                </c:tx>
                <c:spPr>
                  <a:ln w="19050" cap="rnd">
                    <a:solidFill>
                      <a:schemeClr val="accent2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2"/>
                      </a:solidFill>
                      <a:prstDash val="sysDash"/>
                    </a:ln>
                    <a:effectLst/>
                  </c:spPr>
                  <c:trendlineType val="linear"/>
                  <c:dispRSqr val="0"/>
                  <c:dispEq val="0"/>
                </c:trendline>
                <c:xVal>
                  <c:strRef>
                    <c:extLst>
                      <c:ext uri="{02D57815-91ED-43cb-92C2-25804820EDAC}">
                        <c15:formulaRef>
                          <c15:sqref>'13. Pilotaje Rougher'!$E$19:$E$89</c15:sqref>
                        </c15:formulaRef>
                      </c:ext>
                    </c:extLst>
                    <c:strCache>
                      <c:ptCount val="46"/>
                      <c:pt idx="0">
                        <c:v>Cu</c:v>
                      </c:pt>
                      <c:pt idx="1">
                        <c:v>Cu</c:v>
                      </c:pt>
                      <c:pt idx="2">
                        <c:v>Cu</c:v>
                      </c:pt>
                      <c:pt idx="3">
                        <c:v>Cu</c:v>
                      </c:pt>
                      <c:pt idx="4">
                        <c:v>Cu</c:v>
                      </c:pt>
                      <c:pt idx="5">
                        <c:v>Cu</c:v>
                      </c:pt>
                      <c:pt idx="6">
                        <c:v>Cu</c:v>
                      </c:pt>
                      <c:pt idx="7">
                        <c:v>Cu</c:v>
                      </c:pt>
                      <c:pt idx="8">
                        <c:v>Cu</c:v>
                      </c:pt>
                      <c:pt idx="9">
                        <c:v>Cu</c:v>
                      </c:pt>
                      <c:pt idx="10">
                        <c:v>Cu</c:v>
                      </c:pt>
                      <c:pt idx="11">
                        <c:v>Cu</c:v>
                      </c:pt>
                      <c:pt idx="12">
                        <c:v>Cu</c:v>
                      </c:pt>
                      <c:pt idx="13">
                        <c:v>Cu</c:v>
                      </c:pt>
                      <c:pt idx="14">
                        <c:v>Cu</c:v>
                      </c:pt>
                      <c:pt idx="15">
                        <c:v>Cu</c:v>
                      </c:pt>
                      <c:pt idx="16">
                        <c:v>Cu</c:v>
                      </c:pt>
                      <c:pt idx="17">
                        <c:v>Cu</c:v>
                      </c:pt>
                      <c:pt idx="18">
                        <c:v>Cu</c:v>
                      </c:pt>
                      <c:pt idx="19">
                        <c:v>Cu</c:v>
                      </c:pt>
                      <c:pt idx="20">
                        <c:v>Cu</c:v>
                      </c:pt>
                      <c:pt idx="21">
                        <c:v>Cu</c:v>
                      </c:pt>
                      <c:pt idx="22">
                        <c:v>Cu</c:v>
                      </c:pt>
                      <c:pt idx="23">
                        <c:v>Cu</c:v>
                      </c:pt>
                      <c:pt idx="24">
                        <c:v>Cu</c:v>
                      </c:pt>
                      <c:pt idx="25">
                        <c:v>Cu</c:v>
                      </c:pt>
                      <c:pt idx="26">
                        <c:v>Cu</c:v>
                      </c:pt>
                      <c:pt idx="27">
                        <c:v>Cu</c:v>
                      </c:pt>
                      <c:pt idx="28">
                        <c:v>Cu</c:v>
                      </c:pt>
                      <c:pt idx="29">
                        <c:v>Cu</c:v>
                      </c:pt>
                      <c:pt idx="30">
                        <c:v>Cu</c:v>
                      </c:pt>
                      <c:pt idx="31">
                        <c:v>Cu</c:v>
                      </c:pt>
                      <c:pt idx="32">
                        <c:v>Cu</c:v>
                      </c:pt>
                      <c:pt idx="33">
                        <c:v>Cu</c:v>
                      </c:pt>
                      <c:pt idx="35">
                        <c:v>Cond #1</c:v>
                      </c:pt>
                      <c:pt idx="36">
                        <c:v>Cond #2</c:v>
                      </c:pt>
                      <c:pt idx="37">
                        <c:v>Conc. Ro</c:v>
                      </c:pt>
                      <c:pt idx="38">
                        <c:v>0.31</c:v>
                      </c:pt>
                      <c:pt idx="39">
                        <c:v>0.25</c:v>
                      </c:pt>
                      <c:pt idx="40">
                        <c:v>5.16</c:v>
                      </c:pt>
                      <c:pt idx="41">
                        <c:v>3.21</c:v>
                      </c:pt>
                      <c:pt idx="42">
                        <c:v>1.62</c:v>
                      </c:pt>
                      <c:pt idx="43">
                        <c:v>0.81</c:v>
                      </c:pt>
                      <c:pt idx="44">
                        <c:v>8.39</c:v>
                      </c:pt>
                      <c:pt idx="45">
                        <c:v>4.84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'13. Pilotaje Rougher'!$M$19:$M$86</c15:sqref>
                        </c15:formulaRef>
                      </c:ext>
                    </c:extLst>
                    <c:numCache>
                      <c:formatCode>0.00</c:formatCode>
                      <c:ptCount val="68"/>
                      <c:pt idx="0" formatCode="0.000">
                        <c:v>1.95</c:v>
                      </c:pt>
                      <c:pt idx="1">
                        <c:v>1.87</c:v>
                      </c:pt>
                      <c:pt idx="2">
                        <c:v>2.11</c:v>
                      </c:pt>
                      <c:pt idx="3">
                        <c:v>2.2400000000000002</c:v>
                      </c:pt>
                      <c:pt idx="4">
                        <c:v>2.4</c:v>
                      </c:pt>
                      <c:pt idx="5">
                        <c:v>2.33</c:v>
                      </c:pt>
                      <c:pt idx="6">
                        <c:v>2.4700000000000002</c:v>
                      </c:pt>
                      <c:pt idx="7">
                        <c:v>2.3199999999999998</c:v>
                      </c:pt>
                      <c:pt idx="8">
                        <c:v>2.5</c:v>
                      </c:pt>
                      <c:pt idx="9">
                        <c:v>2.33</c:v>
                      </c:pt>
                      <c:pt idx="10">
                        <c:v>2.33</c:v>
                      </c:pt>
                      <c:pt idx="11">
                        <c:v>2.4300000000000002</c:v>
                      </c:pt>
                      <c:pt idx="12">
                        <c:v>2.2799999999999998</c:v>
                      </c:pt>
                      <c:pt idx="13">
                        <c:v>2.42</c:v>
                      </c:pt>
                      <c:pt idx="14">
                        <c:v>2.2999999999999998</c:v>
                      </c:pt>
                      <c:pt idx="15">
                        <c:v>2.4</c:v>
                      </c:pt>
                      <c:pt idx="16">
                        <c:v>2.39</c:v>
                      </c:pt>
                      <c:pt idx="17">
                        <c:v>2.27</c:v>
                      </c:pt>
                      <c:pt idx="18">
                        <c:v>2.38</c:v>
                      </c:pt>
                      <c:pt idx="19">
                        <c:v>2.33</c:v>
                      </c:pt>
                      <c:pt idx="20">
                        <c:v>2.36</c:v>
                      </c:pt>
                      <c:pt idx="21">
                        <c:v>2.35</c:v>
                      </c:pt>
                      <c:pt idx="22">
                        <c:v>2.46</c:v>
                      </c:pt>
                      <c:pt idx="23">
                        <c:v>2.34</c:v>
                      </c:pt>
                      <c:pt idx="24">
                        <c:v>2.34</c:v>
                      </c:pt>
                      <c:pt idx="25">
                        <c:v>2.37</c:v>
                      </c:pt>
                      <c:pt idx="26">
                        <c:v>2.2799999999999998</c:v>
                      </c:pt>
                      <c:pt idx="27">
                        <c:v>2.3199999999999998</c:v>
                      </c:pt>
                      <c:pt idx="28">
                        <c:v>2.37</c:v>
                      </c:pt>
                      <c:pt idx="29">
                        <c:v>2.36</c:v>
                      </c:pt>
                      <c:pt idx="30">
                        <c:v>2.34</c:v>
                      </c:pt>
                      <c:pt idx="31">
                        <c:v>2.2999999999999998</c:v>
                      </c:pt>
                      <c:pt idx="32">
                        <c:v>2.39</c:v>
                      </c:pt>
                      <c:pt idx="33">
                        <c:v>2.41</c:v>
                      </c:pt>
                      <c:pt idx="34">
                        <c:v>2.3562500000000002</c:v>
                      </c:pt>
                      <c:pt idx="37" formatCode="General">
                        <c:v>0</c:v>
                      </c:pt>
                      <c:pt idx="38">
                        <c:v>6.4045983590688457E-2</c:v>
                      </c:pt>
                      <c:pt idx="39">
                        <c:v>1.81966215784761E-2</c:v>
                      </c:pt>
                      <c:pt idx="42" formatCode="General">
                        <c:v>0</c:v>
                      </c:pt>
                      <c:pt idx="43">
                        <c:v>19.942536693436715</c:v>
                      </c:pt>
                      <c:pt idx="44">
                        <c:v>67.203582687851011</c:v>
                      </c:pt>
                      <c:pt idx="45">
                        <c:v>36.584189608821283</c:v>
                      </c:pt>
                      <c:pt idx="46">
                        <c:v>34.920409770511178</c:v>
                      </c:pt>
                      <c:pt idx="47">
                        <c:v>33.875504666093043</c:v>
                      </c:pt>
                      <c:pt idx="67" formatCode="General">
                        <c:v>0.66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263E-4959-896B-C04313153641}"/>
                  </c:ext>
                </c:extLst>
              </c15:ser>
            </c15:filteredScatterSeries>
          </c:ext>
        </c:extLst>
      </c:scatterChart>
      <c:valAx>
        <c:axId val="493783871"/>
        <c:scaling>
          <c:orientation val="minMax"/>
          <c:max val="3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r>
                  <a:rPr lang="es-CL"/>
                  <a:t>Alimentación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ource Sans Pro" panose="020B0503030403020204" pitchFamily="34" charset="0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endParaRPr lang="es-CL"/>
          </a:p>
        </c:txPr>
        <c:crossAx val="493784351"/>
        <c:crosses val="autoZero"/>
        <c:crossBetween val="midCat"/>
      </c:valAx>
      <c:valAx>
        <c:axId val="49378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r>
                  <a:rPr lang="es-CL"/>
                  <a:t>Cu</a:t>
                </a:r>
                <a:r>
                  <a:rPr lang="es-CL" baseline="0"/>
                  <a:t> %</a:t>
                </a: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ource Sans Pro" panose="020B0503030403020204" pitchFamily="34" charset="0"/>
                  <a:ea typeface="+mn-ea"/>
                  <a:cs typeface="+mn-cs"/>
                </a:defRPr>
              </a:pPr>
              <a:endParaRPr lang="es-CL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endParaRPr lang="es-CL"/>
          </a:p>
        </c:txPr>
        <c:crossAx val="493783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ource Sans Pro" panose="020B0503030403020204" pitchFamily="34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Source Sans Pro" panose="020B0503030403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r>
              <a:rPr lang="en-US" b="1"/>
              <a:t>Variaciones de la ley de Cu en la Cola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ource Sans Pro" panose="020B0503030403020204" pitchFamily="34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Pilotaje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'13. Pilotaje Rougher'!$E$19:$E$52</c:f>
              <c:strCache>
                <c:ptCount val="34"/>
                <c:pt idx="0">
                  <c:v>Cu</c:v>
                </c:pt>
                <c:pt idx="1">
                  <c:v>Cu</c:v>
                </c:pt>
                <c:pt idx="2">
                  <c:v>Cu</c:v>
                </c:pt>
                <c:pt idx="3">
                  <c:v>Cu</c:v>
                </c:pt>
                <c:pt idx="4">
                  <c:v>Cu</c:v>
                </c:pt>
                <c:pt idx="5">
                  <c:v>Cu</c:v>
                </c:pt>
                <c:pt idx="6">
                  <c:v>Cu</c:v>
                </c:pt>
                <c:pt idx="7">
                  <c:v>Cu</c:v>
                </c:pt>
                <c:pt idx="8">
                  <c:v>Cu</c:v>
                </c:pt>
                <c:pt idx="9">
                  <c:v>Cu</c:v>
                </c:pt>
                <c:pt idx="10">
                  <c:v>Cu</c:v>
                </c:pt>
                <c:pt idx="11">
                  <c:v>Cu</c:v>
                </c:pt>
                <c:pt idx="12">
                  <c:v>Cu</c:v>
                </c:pt>
                <c:pt idx="13">
                  <c:v>Cu</c:v>
                </c:pt>
                <c:pt idx="14">
                  <c:v>Cu</c:v>
                </c:pt>
                <c:pt idx="15">
                  <c:v>Cu</c:v>
                </c:pt>
                <c:pt idx="16">
                  <c:v>Cu</c:v>
                </c:pt>
                <c:pt idx="17">
                  <c:v>Cu</c:v>
                </c:pt>
                <c:pt idx="18">
                  <c:v>Cu</c:v>
                </c:pt>
                <c:pt idx="19">
                  <c:v>Cu</c:v>
                </c:pt>
                <c:pt idx="20">
                  <c:v>Cu</c:v>
                </c:pt>
                <c:pt idx="21">
                  <c:v>Cu</c:v>
                </c:pt>
                <c:pt idx="22">
                  <c:v>Cu</c:v>
                </c:pt>
                <c:pt idx="23">
                  <c:v>Cu</c:v>
                </c:pt>
                <c:pt idx="24">
                  <c:v>Cu</c:v>
                </c:pt>
                <c:pt idx="25">
                  <c:v>Cu</c:v>
                </c:pt>
                <c:pt idx="26">
                  <c:v>Cu</c:v>
                </c:pt>
                <c:pt idx="27">
                  <c:v>Cu</c:v>
                </c:pt>
                <c:pt idx="28">
                  <c:v>Cu</c:v>
                </c:pt>
                <c:pt idx="29">
                  <c:v>Cu</c:v>
                </c:pt>
                <c:pt idx="30">
                  <c:v>Cu</c:v>
                </c:pt>
                <c:pt idx="31">
                  <c:v>Cu</c:v>
                </c:pt>
                <c:pt idx="32">
                  <c:v>Cu</c:v>
                </c:pt>
                <c:pt idx="33">
                  <c:v>Cu</c:v>
                </c:pt>
              </c:strCache>
            </c:strRef>
          </c:xVal>
          <c:yVal>
            <c:numRef>
              <c:f>'13. Pilotaje Rougher'!$G$19:$G$52</c:f>
              <c:numCache>
                <c:formatCode>0.00</c:formatCode>
                <c:ptCount val="34"/>
                <c:pt idx="0" formatCode="0.000">
                  <c:v>0.1</c:v>
                </c:pt>
                <c:pt idx="1">
                  <c:v>0.16700000000000001</c:v>
                </c:pt>
                <c:pt idx="2">
                  <c:v>0.124</c:v>
                </c:pt>
                <c:pt idx="3">
                  <c:v>0.128</c:v>
                </c:pt>
                <c:pt idx="4">
                  <c:v>0.15</c:v>
                </c:pt>
                <c:pt idx="5">
                  <c:v>0.15</c:v>
                </c:pt>
                <c:pt idx="6">
                  <c:v>0.14599999999999999</c:v>
                </c:pt>
                <c:pt idx="7">
                  <c:v>0.154</c:v>
                </c:pt>
                <c:pt idx="8">
                  <c:v>0.14499999999999999</c:v>
                </c:pt>
                <c:pt idx="9">
                  <c:v>0.155</c:v>
                </c:pt>
                <c:pt idx="10">
                  <c:v>0.16500000000000001</c:v>
                </c:pt>
                <c:pt idx="11">
                  <c:v>0.183</c:v>
                </c:pt>
                <c:pt idx="12">
                  <c:v>0.161</c:v>
                </c:pt>
                <c:pt idx="13">
                  <c:v>0.16400000000000001</c:v>
                </c:pt>
                <c:pt idx="14">
                  <c:v>0.186</c:v>
                </c:pt>
                <c:pt idx="15">
                  <c:v>0.191</c:v>
                </c:pt>
                <c:pt idx="16">
                  <c:v>0.13800000000000001</c:v>
                </c:pt>
                <c:pt idx="17">
                  <c:v>0.11799999999999999</c:v>
                </c:pt>
                <c:pt idx="18">
                  <c:v>0.13100000000000001</c:v>
                </c:pt>
                <c:pt idx="19">
                  <c:v>0.14499999999999999</c:v>
                </c:pt>
                <c:pt idx="20">
                  <c:v>0.124</c:v>
                </c:pt>
                <c:pt idx="21">
                  <c:v>0.13200000000000001</c:v>
                </c:pt>
                <c:pt idx="22">
                  <c:v>0.155</c:v>
                </c:pt>
                <c:pt idx="23">
                  <c:v>0.123</c:v>
                </c:pt>
                <c:pt idx="24">
                  <c:v>0.13100000000000001</c:v>
                </c:pt>
                <c:pt idx="25">
                  <c:v>0.13</c:v>
                </c:pt>
                <c:pt idx="26">
                  <c:v>0.11700000000000001</c:v>
                </c:pt>
                <c:pt idx="27">
                  <c:v>0.11700000000000001</c:v>
                </c:pt>
                <c:pt idx="28">
                  <c:v>0.11899999999999999</c:v>
                </c:pt>
                <c:pt idx="29">
                  <c:v>0.128</c:v>
                </c:pt>
                <c:pt idx="30">
                  <c:v>0.13300000000000001</c:v>
                </c:pt>
                <c:pt idx="31">
                  <c:v>0.13600000000000001</c:v>
                </c:pt>
                <c:pt idx="32">
                  <c:v>0.13700000000000001</c:v>
                </c:pt>
                <c:pt idx="33">
                  <c:v>0.14599999999999999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D7-4F0C-95FD-FD984C77594B}"/>
            </c:ext>
          </c:extLst>
        </c:ser>
        <c:ser>
          <c:idx val="1"/>
          <c:order val="1"/>
          <c:tx>
            <c:v>Estándar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'13. Pilotaje Rougher'!$E$19</c:f>
              <c:strCache>
                <c:ptCount val="1"/>
                <c:pt idx="0">
                  <c:v>Cu</c:v>
                </c:pt>
              </c:strCache>
            </c:strRef>
          </c:xVal>
          <c:yVal>
            <c:numRef>
              <c:f>'13. Pilotaje Rougher'!$G$19</c:f>
              <c:numCache>
                <c:formatCode>0.000</c:formatCode>
                <c:ptCount val="1"/>
                <c:pt idx="0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D7-4F0C-95FD-FD984C7759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3783871"/>
        <c:axId val="493784351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Cu Cabeza</c:v>
                </c:tx>
                <c:spPr>
                  <a:ln w="19050" cap="rnd">
                    <a:solidFill>
                      <a:schemeClr val="accent2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2"/>
                      </a:solidFill>
                      <a:prstDash val="sysDash"/>
                    </a:ln>
                    <a:effectLst/>
                  </c:spPr>
                  <c:trendlineType val="linear"/>
                  <c:dispRSqr val="0"/>
                  <c:dispEq val="0"/>
                </c:trendline>
                <c:xVal>
                  <c:strRef>
                    <c:extLst>
                      <c:ext uri="{02D57815-91ED-43cb-92C2-25804820EDAC}">
                        <c15:formulaRef>
                          <c15:sqref>'13. Pilotaje Rougher'!$E$19:$E$89</c15:sqref>
                        </c15:formulaRef>
                      </c:ext>
                    </c:extLst>
                    <c:strCache>
                      <c:ptCount val="46"/>
                      <c:pt idx="0">
                        <c:v>Cu</c:v>
                      </c:pt>
                      <c:pt idx="1">
                        <c:v>Cu</c:v>
                      </c:pt>
                      <c:pt idx="2">
                        <c:v>Cu</c:v>
                      </c:pt>
                      <c:pt idx="3">
                        <c:v>Cu</c:v>
                      </c:pt>
                      <c:pt idx="4">
                        <c:v>Cu</c:v>
                      </c:pt>
                      <c:pt idx="5">
                        <c:v>Cu</c:v>
                      </c:pt>
                      <c:pt idx="6">
                        <c:v>Cu</c:v>
                      </c:pt>
                      <c:pt idx="7">
                        <c:v>Cu</c:v>
                      </c:pt>
                      <c:pt idx="8">
                        <c:v>Cu</c:v>
                      </c:pt>
                      <c:pt idx="9">
                        <c:v>Cu</c:v>
                      </c:pt>
                      <c:pt idx="10">
                        <c:v>Cu</c:v>
                      </c:pt>
                      <c:pt idx="11">
                        <c:v>Cu</c:v>
                      </c:pt>
                      <c:pt idx="12">
                        <c:v>Cu</c:v>
                      </c:pt>
                      <c:pt idx="13">
                        <c:v>Cu</c:v>
                      </c:pt>
                      <c:pt idx="14">
                        <c:v>Cu</c:v>
                      </c:pt>
                      <c:pt idx="15">
                        <c:v>Cu</c:v>
                      </c:pt>
                      <c:pt idx="16">
                        <c:v>Cu</c:v>
                      </c:pt>
                      <c:pt idx="17">
                        <c:v>Cu</c:v>
                      </c:pt>
                      <c:pt idx="18">
                        <c:v>Cu</c:v>
                      </c:pt>
                      <c:pt idx="19">
                        <c:v>Cu</c:v>
                      </c:pt>
                      <c:pt idx="20">
                        <c:v>Cu</c:v>
                      </c:pt>
                      <c:pt idx="21">
                        <c:v>Cu</c:v>
                      </c:pt>
                      <c:pt idx="22">
                        <c:v>Cu</c:v>
                      </c:pt>
                      <c:pt idx="23">
                        <c:v>Cu</c:v>
                      </c:pt>
                      <c:pt idx="24">
                        <c:v>Cu</c:v>
                      </c:pt>
                      <c:pt idx="25">
                        <c:v>Cu</c:v>
                      </c:pt>
                      <c:pt idx="26">
                        <c:v>Cu</c:v>
                      </c:pt>
                      <c:pt idx="27">
                        <c:v>Cu</c:v>
                      </c:pt>
                      <c:pt idx="28">
                        <c:v>Cu</c:v>
                      </c:pt>
                      <c:pt idx="29">
                        <c:v>Cu</c:v>
                      </c:pt>
                      <c:pt idx="30">
                        <c:v>Cu</c:v>
                      </c:pt>
                      <c:pt idx="31">
                        <c:v>Cu</c:v>
                      </c:pt>
                      <c:pt idx="32">
                        <c:v>Cu</c:v>
                      </c:pt>
                      <c:pt idx="33">
                        <c:v>Cu</c:v>
                      </c:pt>
                      <c:pt idx="35">
                        <c:v>Cond #1</c:v>
                      </c:pt>
                      <c:pt idx="36">
                        <c:v>Cond #2</c:v>
                      </c:pt>
                      <c:pt idx="37">
                        <c:v>Conc. Ro</c:v>
                      </c:pt>
                      <c:pt idx="38">
                        <c:v>0.31</c:v>
                      </c:pt>
                      <c:pt idx="39">
                        <c:v>0.25</c:v>
                      </c:pt>
                      <c:pt idx="40">
                        <c:v>5.16</c:v>
                      </c:pt>
                      <c:pt idx="41">
                        <c:v>3.21</c:v>
                      </c:pt>
                      <c:pt idx="42">
                        <c:v>1.62</c:v>
                      </c:pt>
                      <c:pt idx="43">
                        <c:v>0.81</c:v>
                      </c:pt>
                      <c:pt idx="44">
                        <c:v>8.39</c:v>
                      </c:pt>
                      <c:pt idx="45">
                        <c:v>4.84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'13. Pilotaje Rougher'!$M$19:$M$86</c15:sqref>
                        </c15:formulaRef>
                      </c:ext>
                    </c:extLst>
                    <c:numCache>
                      <c:formatCode>0.00</c:formatCode>
                      <c:ptCount val="68"/>
                      <c:pt idx="0" formatCode="0.000">
                        <c:v>1.95</c:v>
                      </c:pt>
                      <c:pt idx="1">
                        <c:v>1.87</c:v>
                      </c:pt>
                      <c:pt idx="2">
                        <c:v>2.11</c:v>
                      </c:pt>
                      <c:pt idx="3">
                        <c:v>2.2400000000000002</c:v>
                      </c:pt>
                      <c:pt idx="4">
                        <c:v>2.4</c:v>
                      </c:pt>
                      <c:pt idx="5">
                        <c:v>2.33</c:v>
                      </c:pt>
                      <c:pt idx="6">
                        <c:v>2.4700000000000002</c:v>
                      </c:pt>
                      <c:pt idx="7">
                        <c:v>2.3199999999999998</c:v>
                      </c:pt>
                      <c:pt idx="8">
                        <c:v>2.5</c:v>
                      </c:pt>
                      <c:pt idx="9">
                        <c:v>2.33</c:v>
                      </c:pt>
                      <c:pt idx="10">
                        <c:v>2.33</c:v>
                      </c:pt>
                      <c:pt idx="11">
                        <c:v>2.4300000000000002</c:v>
                      </c:pt>
                      <c:pt idx="12">
                        <c:v>2.2799999999999998</c:v>
                      </c:pt>
                      <c:pt idx="13">
                        <c:v>2.42</c:v>
                      </c:pt>
                      <c:pt idx="14">
                        <c:v>2.2999999999999998</c:v>
                      </c:pt>
                      <c:pt idx="15">
                        <c:v>2.4</c:v>
                      </c:pt>
                      <c:pt idx="16">
                        <c:v>2.39</c:v>
                      </c:pt>
                      <c:pt idx="17">
                        <c:v>2.27</c:v>
                      </c:pt>
                      <c:pt idx="18">
                        <c:v>2.38</c:v>
                      </c:pt>
                      <c:pt idx="19">
                        <c:v>2.33</c:v>
                      </c:pt>
                      <c:pt idx="20">
                        <c:v>2.36</c:v>
                      </c:pt>
                      <c:pt idx="21">
                        <c:v>2.35</c:v>
                      </c:pt>
                      <c:pt idx="22">
                        <c:v>2.46</c:v>
                      </c:pt>
                      <c:pt idx="23">
                        <c:v>2.34</c:v>
                      </c:pt>
                      <c:pt idx="24">
                        <c:v>2.34</c:v>
                      </c:pt>
                      <c:pt idx="25">
                        <c:v>2.37</c:v>
                      </c:pt>
                      <c:pt idx="26">
                        <c:v>2.2799999999999998</c:v>
                      </c:pt>
                      <c:pt idx="27">
                        <c:v>2.3199999999999998</c:v>
                      </c:pt>
                      <c:pt idx="28">
                        <c:v>2.37</c:v>
                      </c:pt>
                      <c:pt idx="29">
                        <c:v>2.36</c:v>
                      </c:pt>
                      <c:pt idx="30">
                        <c:v>2.34</c:v>
                      </c:pt>
                      <c:pt idx="31">
                        <c:v>2.2999999999999998</c:v>
                      </c:pt>
                      <c:pt idx="32">
                        <c:v>2.39</c:v>
                      </c:pt>
                      <c:pt idx="33">
                        <c:v>2.41</c:v>
                      </c:pt>
                      <c:pt idx="34">
                        <c:v>2.3562500000000002</c:v>
                      </c:pt>
                      <c:pt idx="37" formatCode="General">
                        <c:v>0</c:v>
                      </c:pt>
                      <c:pt idx="38">
                        <c:v>6.4045983590688457E-2</c:v>
                      </c:pt>
                      <c:pt idx="39">
                        <c:v>1.81966215784761E-2</c:v>
                      </c:pt>
                      <c:pt idx="42" formatCode="General">
                        <c:v>0</c:v>
                      </c:pt>
                      <c:pt idx="43">
                        <c:v>19.942536693436715</c:v>
                      </c:pt>
                      <c:pt idx="44">
                        <c:v>67.203582687851011</c:v>
                      </c:pt>
                      <c:pt idx="45">
                        <c:v>36.584189608821283</c:v>
                      </c:pt>
                      <c:pt idx="46">
                        <c:v>34.920409770511178</c:v>
                      </c:pt>
                      <c:pt idx="47">
                        <c:v>33.875504666093043</c:v>
                      </c:pt>
                      <c:pt idx="67" formatCode="General">
                        <c:v>0.66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55D7-4F0C-95FD-FD984C77594B}"/>
                  </c:ext>
                </c:extLst>
              </c15:ser>
            </c15:filteredScatterSeries>
          </c:ext>
        </c:extLst>
      </c:scatterChart>
      <c:valAx>
        <c:axId val="493783871"/>
        <c:scaling>
          <c:orientation val="minMax"/>
          <c:max val="3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r>
                  <a:rPr lang="es-CL"/>
                  <a:t>Cola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ource Sans Pro" panose="020B0503030403020204" pitchFamily="34" charset="0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endParaRPr lang="es-CL"/>
          </a:p>
        </c:txPr>
        <c:crossAx val="493784351"/>
        <c:crosses val="autoZero"/>
        <c:crossBetween val="midCat"/>
      </c:valAx>
      <c:valAx>
        <c:axId val="49378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r>
                  <a:rPr lang="es-CL"/>
                  <a:t>Cu</a:t>
                </a:r>
                <a:r>
                  <a:rPr lang="es-CL" baseline="0"/>
                  <a:t> %</a:t>
                </a: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ource Sans Pro" panose="020B0503030403020204" pitchFamily="34" charset="0"/>
                  <a:ea typeface="+mn-ea"/>
                  <a:cs typeface="+mn-cs"/>
                </a:defRPr>
              </a:pPr>
              <a:endParaRPr lang="es-CL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endParaRPr lang="es-CL"/>
          </a:p>
        </c:txPr>
        <c:crossAx val="493783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ource Sans Pro" panose="020B0503030403020204" pitchFamily="34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Source Sans Pro" panose="020B0503030403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r>
              <a:rPr lang="en-US" b="1"/>
              <a:t>Variaciones de la ley de Fe en la Alimentación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ource Sans Pro" panose="020B0503030403020204" pitchFamily="34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Pilotaje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'13. Pilotaje Rougher'!$L$19:$L$52</c:f>
              <c:strCache>
                <c:ptCount val="34"/>
                <c:pt idx="0">
                  <c:v>Fe</c:v>
                </c:pt>
                <c:pt idx="1">
                  <c:v>Fe</c:v>
                </c:pt>
                <c:pt idx="2">
                  <c:v>Fe</c:v>
                </c:pt>
                <c:pt idx="3">
                  <c:v>Fe</c:v>
                </c:pt>
                <c:pt idx="4">
                  <c:v>Fe</c:v>
                </c:pt>
                <c:pt idx="5">
                  <c:v>Fe</c:v>
                </c:pt>
                <c:pt idx="6">
                  <c:v>Fe</c:v>
                </c:pt>
                <c:pt idx="7">
                  <c:v>Fe</c:v>
                </c:pt>
                <c:pt idx="8">
                  <c:v>Fe</c:v>
                </c:pt>
                <c:pt idx="9">
                  <c:v>Fe</c:v>
                </c:pt>
                <c:pt idx="10">
                  <c:v>Fe</c:v>
                </c:pt>
                <c:pt idx="11">
                  <c:v>Fe</c:v>
                </c:pt>
                <c:pt idx="12">
                  <c:v>Fe</c:v>
                </c:pt>
                <c:pt idx="13">
                  <c:v>Fe</c:v>
                </c:pt>
                <c:pt idx="14">
                  <c:v>Fe</c:v>
                </c:pt>
                <c:pt idx="15">
                  <c:v>Fe</c:v>
                </c:pt>
                <c:pt idx="16">
                  <c:v>Fe</c:v>
                </c:pt>
                <c:pt idx="17">
                  <c:v>Fe</c:v>
                </c:pt>
                <c:pt idx="18">
                  <c:v>Fe</c:v>
                </c:pt>
                <c:pt idx="19">
                  <c:v>Fe</c:v>
                </c:pt>
                <c:pt idx="20">
                  <c:v>Fe</c:v>
                </c:pt>
                <c:pt idx="21">
                  <c:v>Fe</c:v>
                </c:pt>
                <c:pt idx="22">
                  <c:v>Fe</c:v>
                </c:pt>
                <c:pt idx="23">
                  <c:v>Fe</c:v>
                </c:pt>
                <c:pt idx="24">
                  <c:v>Fe</c:v>
                </c:pt>
                <c:pt idx="25">
                  <c:v>Fe</c:v>
                </c:pt>
                <c:pt idx="26">
                  <c:v>Fe</c:v>
                </c:pt>
                <c:pt idx="27">
                  <c:v>Fe</c:v>
                </c:pt>
                <c:pt idx="28">
                  <c:v>Fe</c:v>
                </c:pt>
                <c:pt idx="29">
                  <c:v>Fe</c:v>
                </c:pt>
                <c:pt idx="30">
                  <c:v>Fe</c:v>
                </c:pt>
                <c:pt idx="31">
                  <c:v>Fe</c:v>
                </c:pt>
                <c:pt idx="32">
                  <c:v>Fe</c:v>
                </c:pt>
                <c:pt idx="33">
                  <c:v>Fe</c:v>
                </c:pt>
              </c:strCache>
            </c:strRef>
          </c:xVal>
          <c:yVal>
            <c:numRef>
              <c:f>'13. Pilotaje Rougher'!$M$19:$M$52</c:f>
              <c:numCache>
                <c:formatCode>0.00</c:formatCode>
                <c:ptCount val="34"/>
                <c:pt idx="0" formatCode="0.000">
                  <c:v>1.95</c:v>
                </c:pt>
                <c:pt idx="1">
                  <c:v>1.87</c:v>
                </c:pt>
                <c:pt idx="2">
                  <c:v>2.11</c:v>
                </c:pt>
                <c:pt idx="3">
                  <c:v>2.2400000000000002</c:v>
                </c:pt>
                <c:pt idx="4">
                  <c:v>2.4</c:v>
                </c:pt>
                <c:pt idx="5">
                  <c:v>2.33</c:v>
                </c:pt>
                <c:pt idx="6">
                  <c:v>2.4700000000000002</c:v>
                </c:pt>
                <c:pt idx="7">
                  <c:v>2.3199999999999998</c:v>
                </c:pt>
                <c:pt idx="8">
                  <c:v>2.5</c:v>
                </c:pt>
                <c:pt idx="9">
                  <c:v>2.33</c:v>
                </c:pt>
                <c:pt idx="10">
                  <c:v>2.33</c:v>
                </c:pt>
                <c:pt idx="11">
                  <c:v>2.4300000000000002</c:v>
                </c:pt>
                <c:pt idx="12">
                  <c:v>2.2799999999999998</c:v>
                </c:pt>
                <c:pt idx="13">
                  <c:v>2.42</c:v>
                </c:pt>
                <c:pt idx="14">
                  <c:v>2.2999999999999998</c:v>
                </c:pt>
                <c:pt idx="15">
                  <c:v>2.4</c:v>
                </c:pt>
                <c:pt idx="16">
                  <c:v>2.39</c:v>
                </c:pt>
                <c:pt idx="17">
                  <c:v>2.27</c:v>
                </c:pt>
                <c:pt idx="18">
                  <c:v>2.38</c:v>
                </c:pt>
                <c:pt idx="19">
                  <c:v>2.33</c:v>
                </c:pt>
                <c:pt idx="20">
                  <c:v>2.36</c:v>
                </c:pt>
                <c:pt idx="21">
                  <c:v>2.35</c:v>
                </c:pt>
                <c:pt idx="22">
                  <c:v>2.46</c:v>
                </c:pt>
                <c:pt idx="23">
                  <c:v>2.34</c:v>
                </c:pt>
                <c:pt idx="24">
                  <c:v>2.34</c:v>
                </c:pt>
                <c:pt idx="25">
                  <c:v>2.37</c:v>
                </c:pt>
                <c:pt idx="26">
                  <c:v>2.2799999999999998</c:v>
                </c:pt>
                <c:pt idx="27">
                  <c:v>2.3199999999999998</c:v>
                </c:pt>
                <c:pt idx="28">
                  <c:v>2.37</c:v>
                </c:pt>
                <c:pt idx="29">
                  <c:v>2.36</c:v>
                </c:pt>
                <c:pt idx="30">
                  <c:v>2.34</c:v>
                </c:pt>
                <c:pt idx="31">
                  <c:v>2.2999999999999998</c:v>
                </c:pt>
                <c:pt idx="32">
                  <c:v>2.39</c:v>
                </c:pt>
                <c:pt idx="33">
                  <c:v>2.41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DF-4788-974F-9FBA7623012C}"/>
            </c:ext>
          </c:extLst>
        </c:ser>
        <c:ser>
          <c:idx val="1"/>
          <c:order val="1"/>
          <c:tx>
            <c:v>Estándar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'13. Pilotaje Rougher'!$L$19</c:f>
              <c:strCache>
                <c:ptCount val="1"/>
                <c:pt idx="0">
                  <c:v>Fe</c:v>
                </c:pt>
              </c:strCache>
            </c:strRef>
          </c:xVal>
          <c:yVal>
            <c:numRef>
              <c:f>'13. Pilotaje Rougher'!$M$19</c:f>
              <c:numCache>
                <c:formatCode>0.000</c:formatCode>
                <c:ptCount val="1"/>
                <c:pt idx="0">
                  <c:v>1.95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DF-4788-974F-9FBA76230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3783871"/>
        <c:axId val="493784351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Cu Cabeza</c:v>
                </c:tx>
                <c:spPr>
                  <a:ln w="19050" cap="rnd">
                    <a:solidFill>
                      <a:schemeClr val="accent2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2"/>
                      </a:solidFill>
                      <a:prstDash val="sysDash"/>
                    </a:ln>
                    <a:effectLst/>
                  </c:spPr>
                  <c:trendlineType val="linear"/>
                  <c:dispRSqr val="0"/>
                  <c:dispEq val="0"/>
                </c:trendline>
                <c:xVal>
                  <c:strRef>
                    <c:extLst>
                      <c:ext uri="{02D57815-91ED-43cb-92C2-25804820EDAC}">
                        <c15:formulaRef>
                          <c15:sqref>'13. Pilotaje Rougher'!$E$19:$E$89</c15:sqref>
                        </c15:formulaRef>
                      </c:ext>
                    </c:extLst>
                    <c:strCache>
                      <c:ptCount val="46"/>
                      <c:pt idx="0">
                        <c:v>Cu</c:v>
                      </c:pt>
                      <c:pt idx="1">
                        <c:v>Cu</c:v>
                      </c:pt>
                      <c:pt idx="2">
                        <c:v>Cu</c:v>
                      </c:pt>
                      <c:pt idx="3">
                        <c:v>Cu</c:v>
                      </c:pt>
                      <c:pt idx="4">
                        <c:v>Cu</c:v>
                      </c:pt>
                      <c:pt idx="5">
                        <c:v>Cu</c:v>
                      </c:pt>
                      <c:pt idx="6">
                        <c:v>Cu</c:v>
                      </c:pt>
                      <c:pt idx="7">
                        <c:v>Cu</c:v>
                      </c:pt>
                      <c:pt idx="8">
                        <c:v>Cu</c:v>
                      </c:pt>
                      <c:pt idx="9">
                        <c:v>Cu</c:v>
                      </c:pt>
                      <c:pt idx="10">
                        <c:v>Cu</c:v>
                      </c:pt>
                      <c:pt idx="11">
                        <c:v>Cu</c:v>
                      </c:pt>
                      <c:pt idx="12">
                        <c:v>Cu</c:v>
                      </c:pt>
                      <c:pt idx="13">
                        <c:v>Cu</c:v>
                      </c:pt>
                      <c:pt idx="14">
                        <c:v>Cu</c:v>
                      </c:pt>
                      <c:pt idx="15">
                        <c:v>Cu</c:v>
                      </c:pt>
                      <c:pt idx="16">
                        <c:v>Cu</c:v>
                      </c:pt>
                      <c:pt idx="17">
                        <c:v>Cu</c:v>
                      </c:pt>
                      <c:pt idx="18">
                        <c:v>Cu</c:v>
                      </c:pt>
                      <c:pt idx="19">
                        <c:v>Cu</c:v>
                      </c:pt>
                      <c:pt idx="20">
                        <c:v>Cu</c:v>
                      </c:pt>
                      <c:pt idx="21">
                        <c:v>Cu</c:v>
                      </c:pt>
                      <c:pt idx="22">
                        <c:v>Cu</c:v>
                      </c:pt>
                      <c:pt idx="23">
                        <c:v>Cu</c:v>
                      </c:pt>
                      <c:pt idx="24">
                        <c:v>Cu</c:v>
                      </c:pt>
                      <c:pt idx="25">
                        <c:v>Cu</c:v>
                      </c:pt>
                      <c:pt idx="26">
                        <c:v>Cu</c:v>
                      </c:pt>
                      <c:pt idx="27">
                        <c:v>Cu</c:v>
                      </c:pt>
                      <c:pt idx="28">
                        <c:v>Cu</c:v>
                      </c:pt>
                      <c:pt idx="29">
                        <c:v>Cu</c:v>
                      </c:pt>
                      <c:pt idx="30">
                        <c:v>Cu</c:v>
                      </c:pt>
                      <c:pt idx="31">
                        <c:v>Cu</c:v>
                      </c:pt>
                      <c:pt idx="32">
                        <c:v>Cu</c:v>
                      </c:pt>
                      <c:pt idx="33">
                        <c:v>Cu</c:v>
                      </c:pt>
                      <c:pt idx="35">
                        <c:v>Cond #1</c:v>
                      </c:pt>
                      <c:pt idx="36">
                        <c:v>Cond #2</c:v>
                      </c:pt>
                      <c:pt idx="37">
                        <c:v>Conc. Ro</c:v>
                      </c:pt>
                      <c:pt idx="38">
                        <c:v>0.31</c:v>
                      </c:pt>
                      <c:pt idx="39">
                        <c:v>0.25</c:v>
                      </c:pt>
                      <c:pt idx="40">
                        <c:v>5.16</c:v>
                      </c:pt>
                      <c:pt idx="41">
                        <c:v>3.21</c:v>
                      </c:pt>
                      <c:pt idx="42">
                        <c:v>1.62</c:v>
                      </c:pt>
                      <c:pt idx="43">
                        <c:v>0.81</c:v>
                      </c:pt>
                      <c:pt idx="44">
                        <c:v>8.39</c:v>
                      </c:pt>
                      <c:pt idx="45">
                        <c:v>4.84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'13. Pilotaje Rougher'!$M$19:$M$86</c15:sqref>
                        </c15:formulaRef>
                      </c:ext>
                    </c:extLst>
                    <c:numCache>
                      <c:formatCode>0.00</c:formatCode>
                      <c:ptCount val="68"/>
                      <c:pt idx="0" formatCode="0.000">
                        <c:v>1.95</c:v>
                      </c:pt>
                      <c:pt idx="1">
                        <c:v>1.87</c:v>
                      </c:pt>
                      <c:pt idx="2">
                        <c:v>2.11</c:v>
                      </c:pt>
                      <c:pt idx="3">
                        <c:v>2.2400000000000002</c:v>
                      </c:pt>
                      <c:pt idx="4">
                        <c:v>2.4</c:v>
                      </c:pt>
                      <c:pt idx="5">
                        <c:v>2.33</c:v>
                      </c:pt>
                      <c:pt idx="6">
                        <c:v>2.4700000000000002</c:v>
                      </c:pt>
                      <c:pt idx="7">
                        <c:v>2.3199999999999998</c:v>
                      </c:pt>
                      <c:pt idx="8">
                        <c:v>2.5</c:v>
                      </c:pt>
                      <c:pt idx="9">
                        <c:v>2.33</c:v>
                      </c:pt>
                      <c:pt idx="10">
                        <c:v>2.33</c:v>
                      </c:pt>
                      <c:pt idx="11">
                        <c:v>2.4300000000000002</c:v>
                      </c:pt>
                      <c:pt idx="12">
                        <c:v>2.2799999999999998</c:v>
                      </c:pt>
                      <c:pt idx="13">
                        <c:v>2.42</c:v>
                      </c:pt>
                      <c:pt idx="14">
                        <c:v>2.2999999999999998</c:v>
                      </c:pt>
                      <c:pt idx="15">
                        <c:v>2.4</c:v>
                      </c:pt>
                      <c:pt idx="16">
                        <c:v>2.39</c:v>
                      </c:pt>
                      <c:pt idx="17">
                        <c:v>2.27</c:v>
                      </c:pt>
                      <c:pt idx="18">
                        <c:v>2.38</c:v>
                      </c:pt>
                      <c:pt idx="19">
                        <c:v>2.33</c:v>
                      </c:pt>
                      <c:pt idx="20">
                        <c:v>2.36</c:v>
                      </c:pt>
                      <c:pt idx="21">
                        <c:v>2.35</c:v>
                      </c:pt>
                      <c:pt idx="22">
                        <c:v>2.46</c:v>
                      </c:pt>
                      <c:pt idx="23">
                        <c:v>2.34</c:v>
                      </c:pt>
                      <c:pt idx="24">
                        <c:v>2.34</c:v>
                      </c:pt>
                      <c:pt idx="25">
                        <c:v>2.37</c:v>
                      </c:pt>
                      <c:pt idx="26">
                        <c:v>2.2799999999999998</c:v>
                      </c:pt>
                      <c:pt idx="27">
                        <c:v>2.3199999999999998</c:v>
                      </c:pt>
                      <c:pt idx="28">
                        <c:v>2.37</c:v>
                      </c:pt>
                      <c:pt idx="29">
                        <c:v>2.36</c:v>
                      </c:pt>
                      <c:pt idx="30">
                        <c:v>2.34</c:v>
                      </c:pt>
                      <c:pt idx="31">
                        <c:v>2.2999999999999998</c:v>
                      </c:pt>
                      <c:pt idx="32">
                        <c:v>2.39</c:v>
                      </c:pt>
                      <c:pt idx="33">
                        <c:v>2.41</c:v>
                      </c:pt>
                      <c:pt idx="34">
                        <c:v>2.3562500000000002</c:v>
                      </c:pt>
                      <c:pt idx="37" formatCode="General">
                        <c:v>0</c:v>
                      </c:pt>
                      <c:pt idx="38">
                        <c:v>6.4045983590688457E-2</c:v>
                      </c:pt>
                      <c:pt idx="39">
                        <c:v>1.81966215784761E-2</c:v>
                      </c:pt>
                      <c:pt idx="42" formatCode="General">
                        <c:v>0</c:v>
                      </c:pt>
                      <c:pt idx="43">
                        <c:v>19.942536693436715</c:v>
                      </c:pt>
                      <c:pt idx="44">
                        <c:v>67.203582687851011</c:v>
                      </c:pt>
                      <c:pt idx="45">
                        <c:v>36.584189608821283</c:v>
                      </c:pt>
                      <c:pt idx="46">
                        <c:v>34.920409770511178</c:v>
                      </c:pt>
                      <c:pt idx="47">
                        <c:v>33.875504666093043</c:v>
                      </c:pt>
                      <c:pt idx="67" formatCode="General">
                        <c:v>0.66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A6DF-4788-974F-9FBA7623012C}"/>
                  </c:ext>
                </c:extLst>
              </c15:ser>
            </c15:filteredScatterSeries>
          </c:ext>
        </c:extLst>
      </c:scatterChart>
      <c:valAx>
        <c:axId val="493783871"/>
        <c:scaling>
          <c:orientation val="minMax"/>
          <c:max val="3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r>
                  <a:rPr lang="es-CL"/>
                  <a:t>Alimentación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ource Sans Pro" panose="020B0503030403020204" pitchFamily="34" charset="0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endParaRPr lang="es-CL"/>
          </a:p>
        </c:txPr>
        <c:crossAx val="493784351"/>
        <c:crosses val="autoZero"/>
        <c:crossBetween val="midCat"/>
      </c:valAx>
      <c:valAx>
        <c:axId val="49378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r>
                  <a:rPr lang="es-CL"/>
                  <a:t>Fe</a:t>
                </a:r>
                <a:r>
                  <a:rPr lang="es-CL" baseline="0"/>
                  <a:t> %</a:t>
                </a: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ource Sans Pro" panose="020B0503030403020204" pitchFamily="34" charset="0"/>
                  <a:ea typeface="+mn-ea"/>
                  <a:cs typeface="+mn-cs"/>
                </a:defRPr>
              </a:pPr>
              <a:endParaRPr lang="es-CL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endParaRPr lang="es-CL"/>
          </a:p>
        </c:txPr>
        <c:crossAx val="493783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ource Sans Pro" panose="020B0503030403020204" pitchFamily="34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Source Sans Pro" panose="020B0503030403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r>
              <a:rPr lang="en-US" b="1"/>
              <a:t>Variaciones de la ley de Fe en la Cola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ource Sans Pro" panose="020B0503030403020204" pitchFamily="34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Pilotaje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'13. Pilotaje Rougher'!$L$19:$L$52</c:f>
              <c:strCache>
                <c:ptCount val="34"/>
                <c:pt idx="0">
                  <c:v>Fe</c:v>
                </c:pt>
                <c:pt idx="1">
                  <c:v>Fe</c:v>
                </c:pt>
                <c:pt idx="2">
                  <c:v>Fe</c:v>
                </c:pt>
                <c:pt idx="3">
                  <c:v>Fe</c:v>
                </c:pt>
                <c:pt idx="4">
                  <c:v>Fe</c:v>
                </c:pt>
                <c:pt idx="5">
                  <c:v>Fe</c:v>
                </c:pt>
                <c:pt idx="6">
                  <c:v>Fe</c:v>
                </c:pt>
                <c:pt idx="7">
                  <c:v>Fe</c:v>
                </c:pt>
                <c:pt idx="8">
                  <c:v>Fe</c:v>
                </c:pt>
                <c:pt idx="9">
                  <c:v>Fe</c:v>
                </c:pt>
                <c:pt idx="10">
                  <c:v>Fe</c:v>
                </c:pt>
                <c:pt idx="11">
                  <c:v>Fe</c:v>
                </c:pt>
                <c:pt idx="12">
                  <c:v>Fe</c:v>
                </c:pt>
                <c:pt idx="13">
                  <c:v>Fe</c:v>
                </c:pt>
                <c:pt idx="14">
                  <c:v>Fe</c:v>
                </c:pt>
                <c:pt idx="15">
                  <c:v>Fe</c:v>
                </c:pt>
                <c:pt idx="16">
                  <c:v>Fe</c:v>
                </c:pt>
                <c:pt idx="17">
                  <c:v>Fe</c:v>
                </c:pt>
                <c:pt idx="18">
                  <c:v>Fe</c:v>
                </c:pt>
                <c:pt idx="19">
                  <c:v>Fe</c:v>
                </c:pt>
                <c:pt idx="20">
                  <c:v>Fe</c:v>
                </c:pt>
                <c:pt idx="21">
                  <c:v>Fe</c:v>
                </c:pt>
                <c:pt idx="22">
                  <c:v>Fe</c:v>
                </c:pt>
                <c:pt idx="23">
                  <c:v>Fe</c:v>
                </c:pt>
                <c:pt idx="24">
                  <c:v>Fe</c:v>
                </c:pt>
                <c:pt idx="25">
                  <c:v>Fe</c:v>
                </c:pt>
                <c:pt idx="26">
                  <c:v>Fe</c:v>
                </c:pt>
                <c:pt idx="27">
                  <c:v>Fe</c:v>
                </c:pt>
                <c:pt idx="28">
                  <c:v>Fe</c:v>
                </c:pt>
                <c:pt idx="29">
                  <c:v>Fe</c:v>
                </c:pt>
                <c:pt idx="30">
                  <c:v>Fe</c:v>
                </c:pt>
                <c:pt idx="31">
                  <c:v>Fe</c:v>
                </c:pt>
                <c:pt idx="32">
                  <c:v>Fe</c:v>
                </c:pt>
                <c:pt idx="33">
                  <c:v>Fe</c:v>
                </c:pt>
              </c:strCache>
            </c:strRef>
          </c:xVal>
          <c:yVal>
            <c:numRef>
              <c:f>'13. Pilotaje Rougher'!$N$19:$N$52</c:f>
              <c:numCache>
                <c:formatCode>0.00</c:formatCode>
                <c:ptCount val="34"/>
                <c:pt idx="0" formatCode="0.000">
                  <c:v>1.22</c:v>
                </c:pt>
                <c:pt idx="1">
                  <c:v>1.6</c:v>
                </c:pt>
                <c:pt idx="2">
                  <c:v>1.43</c:v>
                </c:pt>
                <c:pt idx="3">
                  <c:v>1.26</c:v>
                </c:pt>
                <c:pt idx="4">
                  <c:v>1.7</c:v>
                </c:pt>
                <c:pt idx="5">
                  <c:v>1.52</c:v>
                </c:pt>
                <c:pt idx="6">
                  <c:v>1.84</c:v>
                </c:pt>
                <c:pt idx="7">
                  <c:v>1.73</c:v>
                </c:pt>
                <c:pt idx="8">
                  <c:v>1.9</c:v>
                </c:pt>
                <c:pt idx="9">
                  <c:v>1.73</c:v>
                </c:pt>
                <c:pt idx="10">
                  <c:v>1.82</c:v>
                </c:pt>
                <c:pt idx="11">
                  <c:v>1.82</c:v>
                </c:pt>
                <c:pt idx="12">
                  <c:v>1.72</c:v>
                </c:pt>
                <c:pt idx="13">
                  <c:v>1.72</c:v>
                </c:pt>
                <c:pt idx="14">
                  <c:v>1.95</c:v>
                </c:pt>
                <c:pt idx="15">
                  <c:v>2.0299999999999998</c:v>
                </c:pt>
                <c:pt idx="16">
                  <c:v>1.42</c:v>
                </c:pt>
                <c:pt idx="17">
                  <c:v>0.89</c:v>
                </c:pt>
                <c:pt idx="18">
                  <c:v>1.02</c:v>
                </c:pt>
                <c:pt idx="19">
                  <c:v>0.98</c:v>
                </c:pt>
                <c:pt idx="20">
                  <c:v>0.98</c:v>
                </c:pt>
                <c:pt idx="21">
                  <c:v>1.01</c:v>
                </c:pt>
                <c:pt idx="22">
                  <c:v>1.26</c:v>
                </c:pt>
                <c:pt idx="23">
                  <c:v>0.99</c:v>
                </c:pt>
                <c:pt idx="24">
                  <c:v>1.01</c:v>
                </c:pt>
                <c:pt idx="25">
                  <c:v>1.1000000000000001</c:v>
                </c:pt>
                <c:pt idx="26">
                  <c:v>0.95</c:v>
                </c:pt>
                <c:pt idx="27">
                  <c:v>0.92</c:v>
                </c:pt>
                <c:pt idx="28">
                  <c:v>0.93</c:v>
                </c:pt>
                <c:pt idx="29">
                  <c:v>0.95</c:v>
                </c:pt>
                <c:pt idx="30">
                  <c:v>1</c:v>
                </c:pt>
                <c:pt idx="31">
                  <c:v>1.03</c:v>
                </c:pt>
                <c:pt idx="32">
                  <c:v>1.03</c:v>
                </c:pt>
                <c:pt idx="33">
                  <c:v>1.1100000000000001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C4-4B51-96C5-B0CECF4006A6}"/>
            </c:ext>
          </c:extLst>
        </c:ser>
        <c:ser>
          <c:idx val="1"/>
          <c:order val="1"/>
          <c:tx>
            <c:v>Estándar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'13. Pilotaje Rougher'!$L$19</c:f>
              <c:strCache>
                <c:ptCount val="1"/>
                <c:pt idx="0">
                  <c:v>Fe</c:v>
                </c:pt>
              </c:strCache>
            </c:strRef>
          </c:xVal>
          <c:yVal>
            <c:numRef>
              <c:f>'13. Pilotaje Rougher'!$N$19</c:f>
              <c:numCache>
                <c:formatCode>0.000</c:formatCode>
                <c:ptCount val="1"/>
                <c:pt idx="0">
                  <c:v>1.22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C4-4B51-96C5-B0CECF400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3783871"/>
        <c:axId val="493784351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Cu Cabeza</c:v>
                </c:tx>
                <c:spPr>
                  <a:ln w="19050" cap="rnd">
                    <a:solidFill>
                      <a:schemeClr val="accent2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2"/>
                      </a:solidFill>
                      <a:prstDash val="sysDash"/>
                    </a:ln>
                    <a:effectLst/>
                  </c:spPr>
                  <c:trendlineType val="linear"/>
                  <c:dispRSqr val="0"/>
                  <c:dispEq val="0"/>
                </c:trendline>
                <c:xVal>
                  <c:strRef>
                    <c:extLst>
                      <c:ext uri="{02D57815-91ED-43cb-92C2-25804820EDAC}">
                        <c15:formulaRef>
                          <c15:sqref>'13. Pilotaje Rougher'!$E$19:$E$89</c15:sqref>
                        </c15:formulaRef>
                      </c:ext>
                    </c:extLst>
                    <c:strCache>
                      <c:ptCount val="46"/>
                      <c:pt idx="0">
                        <c:v>Cu</c:v>
                      </c:pt>
                      <c:pt idx="1">
                        <c:v>Cu</c:v>
                      </c:pt>
                      <c:pt idx="2">
                        <c:v>Cu</c:v>
                      </c:pt>
                      <c:pt idx="3">
                        <c:v>Cu</c:v>
                      </c:pt>
                      <c:pt idx="4">
                        <c:v>Cu</c:v>
                      </c:pt>
                      <c:pt idx="5">
                        <c:v>Cu</c:v>
                      </c:pt>
                      <c:pt idx="6">
                        <c:v>Cu</c:v>
                      </c:pt>
                      <c:pt idx="7">
                        <c:v>Cu</c:v>
                      </c:pt>
                      <c:pt idx="8">
                        <c:v>Cu</c:v>
                      </c:pt>
                      <c:pt idx="9">
                        <c:v>Cu</c:v>
                      </c:pt>
                      <c:pt idx="10">
                        <c:v>Cu</c:v>
                      </c:pt>
                      <c:pt idx="11">
                        <c:v>Cu</c:v>
                      </c:pt>
                      <c:pt idx="12">
                        <c:v>Cu</c:v>
                      </c:pt>
                      <c:pt idx="13">
                        <c:v>Cu</c:v>
                      </c:pt>
                      <c:pt idx="14">
                        <c:v>Cu</c:v>
                      </c:pt>
                      <c:pt idx="15">
                        <c:v>Cu</c:v>
                      </c:pt>
                      <c:pt idx="16">
                        <c:v>Cu</c:v>
                      </c:pt>
                      <c:pt idx="17">
                        <c:v>Cu</c:v>
                      </c:pt>
                      <c:pt idx="18">
                        <c:v>Cu</c:v>
                      </c:pt>
                      <c:pt idx="19">
                        <c:v>Cu</c:v>
                      </c:pt>
                      <c:pt idx="20">
                        <c:v>Cu</c:v>
                      </c:pt>
                      <c:pt idx="21">
                        <c:v>Cu</c:v>
                      </c:pt>
                      <c:pt idx="22">
                        <c:v>Cu</c:v>
                      </c:pt>
                      <c:pt idx="23">
                        <c:v>Cu</c:v>
                      </c:pt>
                      <c:pt idx="24">
                        <c:v>Cu</c:v>
                      </c:pt>
                      <c:pt idx="25">
                        <c:v>Cu</c:v>
                      </c:pt>
                      <c:pt idx="26">
                        <c:v>Cu</c:v>
                      </c:pt>
                      <c:pt idx="27">
                        <c:v>Cu</c:v>
                      </c:pt>
                      <c:pt idx="28">
                        <c:v>Cu</c:v>
                      </c:pt>
                      <c:pt idx="29">
                        <c:v>Cu</c:v>
                      </c:pt>
                      <c:pt idx="30">
                        <c:v>Cu</c:v>
                      </c:pt>
                      <c:pt idx="31">
                        <c:v>Cu</c:v>
                      </c:pt>
                      <c:pt idx="32">
                        <c:v>Cu</c:v>
                      </c:pt>
                      <c:pt idx="33">
                        <c:v>Cu</c:v>
                      </c:pt>
                      <c:pt idx="35">
                        <c:v>Cond #1</c:v>
                      </c:pt>
                      <c:pt idx="36">
                        <c:v>Cond #2</c:v>
                      </c:pt>
                      <c:pt idx="37">
                        <c:v>Conc. Ro</c:v>
                      </c:pt>
                      <c:pt idx="38">
                        <c:v>0.31</c:v>
                      </c:pt>
                      <c:pt idx="39">
                        <c:v>0.25</c:v>
                      </c:pt>
                      <c:pt idx="40">
                        <c:v>5.16</c:v>
                      </c:pt>
                      <c:pt idx="41">
                        <c:v>3.21</c:v>
                      </c:pt>
                      <c:pt idx="42">
                        <c:v>1.62</c:v>
                      </c:pt>
                      <c:pt idx="43">
                        <c:v>0.81</c:v>
                      </c:pt>
                      <c:pt idx="44">
                        <c:v>8.39</c:v>
                      </c:pt>
                      <c:pt idx="45">
                        <c:v>4.84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'13. Pilotaje Rougher'!$M$19:$M$86</c15:sqref>
                        </c15:formulaRef>
                      </c:ext>
                    </c:extLst>
                    <c:numCache>
                      <c:formatCode>0.00</c:formatCode>
                      <c:ptCount val="68"/>
                      <c:pt idx="0" formatCode="0.000">
                        <c:v>1.95</c:v>
                      </c:pt>
                      <c:pt idx="1">
                        <c:v>1.87</c:v>
                      </c:pt>
                      <c:pt idx="2">
                        <c:v>2.11</c:v>
                      </c:pt>
                      <c:pt idx="3">
                        <c:v>2.2400000000000002</c:v>
                      </c:pt>
                      <c:pt idx="4">
                        <c:v>2.4</c:v>
                      </c:pt>
                      <c:pt idx="5">
                        <c:v>2.33</c:v>
                      </c:pt>
                      <c:pt idx="6">
                        <c:v>2.4700000000000002</c:v>
                      </c:pt>
                      <c:pt idx="7">
                        <c:v>2.3199999999999998</c:v>
                      </c:pt>
                      <c:pt idx="8">
                        <c:v>2.5</c:v>
                      </c:pt>
                      <c:pt idx="9">
                        <c:v>2.33</c:v>
                      </c:pt>
                      <c:pt idx="10">
                        <c:v>2.33</c:v>
                      </c:pt>
                      <c:pt idx="11">
                        <c:v>2.4300000000000002</c:v>
                      </c:pt>
                      <c:pt idx="12">
                        <c:v>2.2799999999999998</c:v>
                      </c:pt>
                      <c:pt idx="13">
                        <c:v>2.42</c:v>
                      </c:pt>
                      <c:pt idx="14">
                        <c:v>2.2999999999999998</c:v>
                      </c:pt>
                      <c:pt idx="15">
                        <c:v>2.4</c:v>
                      </c:pt>
                      <c:pt idx="16">
                        <c:v>2.39</c:v>
                      </c:pt>
                      <c:pt idx="17">
                        <c:v>2.27</c:v>
                      </c:pt>
                      <c:pt idx="18">
                        <c:v>2.38</c:v>
                      </c:pt>
                      <c:pt idx="19">
                        <c:v>2.33</c:v>
                      </c:pt>
                      <c:pt idx="20">
                        <c:v>2.36</c:v>
                      </c:pt>
                      <c:pt idx="21">
                        <c:v>2.35</c:v>
                      </c:pt>
                      <c:pt idx="22">
                        <c:v>2.46</c:v>
                      </c:pt>
                      <c:pt idx="23">
                        <c:v>2.34</c:v>
                      </c:pt>
                      <c:pt idx="24">
                        <c:v>2.34</c:v>
                      </c:pt>
                      <c:pt idx="25">
                        <c:v>2.37</c:v>
                      </c:pt>
                      <c:pt idx="26">
                        <c:v>2.2799999999999998</c:v>
                      </c:pt>
                      <c:pt idx="27">
                        <c:v>2.3199999999999998</c:v>
                      </c:pt>
                      <c:pt idx="28">
                        <c:v>2.37</c:v>
                      </c:pt>
                      <c:pt idx="29">
                        <c:v>2.36</c:v>
                      </c:pt>
                      <c:pt idx="30">
                        <c:v>2.34</c:v>
                      </c:pt>
                      <c:pt idx="31">
                        <c:v>2.2999999999999998</c:v>
                      </c:pt>
                      <c:pt idx="32">
                        <c:v>2.39</c:v>
                      </c:pt>
                      <c:pt idx="33">
                        <c:v>2.41</c:v>
                      </c:pt>
                      <c:pt idx="34">
                        <c:v>2.3562500000000002</c:v>
                      </c:pt>
                      <c:pt idx="37" formatCode="General">
                        <c:v>0</c:v>
                      </c:pt>
                      <c:pt idx="38">
                        <c:v>6.4045983590688457E-2</c:v>
                      </c:pt>
                      <c:pt idx="39">
                        <c:v>1.81966215784761E-2</c:v>
                      </c:pt>
                      <c:pt idx="42" formatCode="General">
                        <c:v>0</c:v>
                      </c:pt>
                      <c:pt idx="43">
                        <c:v>19.942536693436715</c:v>
                      </c:pt>
                      <c:pt idx="44">
                        <c:v>67.203582687851011</c:v>
                      </c:pt>
                      <c:pt idx="45">
                        <c:v>36.584189608821283</c:v>
                      </c:pt>
                      <c:pt idx="46">
                        <c:v>34.920409770511178</c:v>
                      </c:pt>
                      <c:pt idx="47">
                        <c:v>33.875504666093043</c:v>
                      </c:pt>
                      <c:pt idx="67" formatCode="General">
                        <c:v>0.66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1BC4-4B51-96C5-B0CECF4006A6}"/>
                  </c:ext>
                </c:extLst>
              </c15:ser>
            </c15:filteredScatterSeries>
          </c:ext>
        </c:extLst>
      </c:scatterChart>
      <c:valAx>
        <c:axId val="493783871"/>
        <c:scaling>
          <c:orientation val="minMax"/>
          <c:max val="3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r>
                  <a:rPr lang="es-CL"/>
                  <a:t>Cola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ource Sans Pro" panose="020B0503030403020204" pitchFamily="34" charset="0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endParaRPr lang="es-CL"/>
          </a:p>
        </c:txPr>
        <c:crossAx val="493784351"/>
        <c:crosses val="autoZero"/>
        <c:crossBetween val="midCat"/>
      </c:valAx>
      <c:valAx>
        <c:axId val="49378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r>
                  <a:rPr lang="es-CL"/>
                  <a:t>Fe</a:t>
                </a:r>
                <a:r>
                  <a:rPr lang="es-CL" baseline="0"/>
                  <a:t> %</a:t>
                </a: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ource Sans Pro" panose="020B0503030403020204" pitchFamily="34" charset="0"/>
                  <a:ea typeface="+mn-ea"/>
                  <a:cs typeface="+mn-cs"/>
                </a:defRPr>
              </a:pPr>
              <a:endParaRPr lang="es-CL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endParaRPr lang="es-CL"/>
          </a:p>
        </c:txPr>
        <c:crossAx val="493783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ource Sans Pro" panose="020B0503030403020204" pitchFamily="34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Source Sans Pro" panose="020B0503030403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  <c:userShapes r:id="rId3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r>
              <a:rPr lang="en-US" b="1"/>
              <a:t>Variaciones de la ley de Fe en el Concentrado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ource Sans Pro" panose="020B0503030403020204" pitchFamily="34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Pilotaje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'13. Pilotaje Rougher'!$L$19:$L$52</c:f>
              <c:strCache>
                <c:ptCount val="34"/>
                <c:pt idx="0">
                  <c:v>Fe</c:v>
                </c:pt>
                <c:pt idx="1">
                  <c:v>Fe</c:v>
                </c:pt>
                <c:pt idx="2">
                  <c:v>Fe</c:v>
                </c:pt>
                <c:pt idx="3">
                  <c:v>Fe</c:v>
                </c:pt>
                <c:pt idx="4">
                  <c:v>Fe</c:v>
                </c:pt>
                <c:pt idx="5">
                  <c:v>Fe</c:v>
                </c:pt>
                <c:pt idx="6">
                  <c:v>Fe</c:v>
                </c:pt>
                <c:pt idx="7">
                  <c:v>Fe</c:v>
                </c:pt>
                <c:pt idx="8">
                  <c:v>Fe</c:v>
                </c:pt>
                <c:pt idx="9">
                  <c:v>Fe</c:v>
                </c:pt>
                <c:pt idx="10">
                  <c:v>Fe</c:v>
                </c:pt>
                <c:pt idx="11">
                  <c:v>Fe</c:v>
                </c:pt>
                <c:pt idx="12">
                  <c:v>Fe</c:v>
                </c:pt>
                <c:pt idx="13">
                  <c:v>Fe</c:v>
                </c:pt>
                <c:pt idx="14">
                  <c:v>Fe</c:v>
                </c:pt>
                <c:pt idx="15">
                  <c:v>Fe</c:v>
                </c:pt>
                <c:pt idx="16">
                  <c:v>Fe</c:v>
                </c:pt>
                <c:pt idx="17">
                  <c:v>Fe</c:v>
                </c:pt>
                <c:pt idx="18">
                  <c:v>Fe</c:v>
                </c:pt>
                <c:pt idx="19">
                  <c:v>Fe</c:v>
                </c:pt>
                <c:pt idx="20">
                  <c:v>Fe</c:v>
                </c:pt>
                <c:pt idx="21">
                  <c:v>Fe</c:v>
                </c:pt>
                <c:pt idx="22">
                  <c:v>Fe</c:v>
                </c:pt>
                <c:pt idx="23">
                  <c:v>Fe</c:v>
                </c:pt>
                <c:pt idx="24">
                  <c:v>Fe</c:v>
                </c:pt>
                <c:pt idx="25">
                  <c:v>Fe</c:v>
                </c:pt>
                <c:pt idx="26">
                  <c:v>Fe</c:v>
                </c:pt>
                <c:pt idx="27">
                  <c:v>Fe</c:v>
                </c:pt>
                <c:pt idx="28">
                  <c:v>Fe</c:v>
                </c:pt>
                <c:pt idx="29">
                  <c:v>Fe</c:v>
                </c:pt>
                <c:pt idx="30">
                  <c:v>Fe</c:v>
                </c:pt>
                <c:pt idx="31">
                  <c:v>Fe</c:v>
                </c:pt>
                <c:pt idx="32">
                  <c:v>Fe</c:v>
                </c:pt>
                <c:pt idx="33">
                  <c:v>Fe</c:v>
                </c:pt>
              </c:strCache>
            </c:strRef>
          </c:xVal>
          <c:yVal>
            <c:numRef>
              <c:f>'13. Pilotaje Rougher'!$O$19:$O$52</c:f>
              <c:numCache>
                <c:formatCode>0.00</c:formatCode>
                <c:ptCount val="34"/>
                <c:pt idx="0" formatCode="0.000">
                  <c:v>7.08</c:v>
                </c:pt>
                <c:pt idx="1">
                  <c:v>3.35</c:v>
                </c:pt>
                <c:pt idx="2">
                  <c:v>5.36</c:v>
                </c:pt>
                <c:pt idx="3">
                  <c:v>7.66</c:v>
                </c:pt>
                <c:pt idx="4">
                  <c:v>9.1199999999999992</c:v>
                </c:pt>
                <c:pt idx="5">
                  <c:v>8.2100000000000009</c:v>
                </c:pt>
                <c:pt idx="6">
                  <c:v>12.4</c:v>
                </c:pt>
                <c:pt idx="7">
                  <c:v>6.94</c:v>
                </c:pt>
                <c:pt idx="8">
                  <c:v>8.16</c:v>
                </c:pt>
                <c:pt idx="9">
                  <c:v>8.07</c:v>
                </c:pt>
                <c:pt idx="10">
                  <c:v>4.2699999999999996</c:v>
                </c:pt>
                <c:pt idx="11">
                  <c:v>9.2200000000000006</c:v>
                </c:pt>
                <c:pt idx="12">
                  <c:v>8.77</c:v>
                </c:pt>
                <c:pt idx="13">
                  <c:v>10.3</c:v>
                </c:pt>
                <c:pt idx="14">
                  <c:v>8.23</c:v>
                </c:pt>
                <c:pt idx="15">
                  <c:v>8.8699999999999992</c:v>
                </c:pt>
                <c:pt idx="16">
                  <c:v>7.72</c:v>
                </c:pt>
                <c:pt idx="17">
                  <c:v>9.33</c:v>
                </c:pt>
                <c:pt idx="18">
                  <c:v>10.199999999999999</c:v>
                </c:pt>
                <c:pt idx="19">
                  <c:v>11</c:v>
                </c:pt>
                <c:pt idx="20">
                  <c:v>16</c:v>
                </c:pt>
                <c:pt idx="21">
                  <c:v>7.9</c:v>
                </c:pt>
                <c:pt idx="22">
                  <c:v>8.92</c:v>
                </c:pt>
                <c:pt idx="23">
                  <c:v>13.8</c:v>
                </c:pt>
                <c:pt idx="24">
                  <c:v>7.99</c:v>
                </c:pt>
                <c:pt idx="25">
                  <c:v>10.3</c:v>
                </c:pt>
                <c:pt idx="26">
                  <c:v>13.1</c:v>
                </c:pt>
                <c:pt idx="27">
                  <c:v>7.14</c:v>
                </c:pt>
                <c:pt idx="28">
                  <c:v>11</c:v>
                </c:pt>
                <c:pt idx="29">
                  <c:v>7.67</c:v>
                </c:pt>
                <c:pt idx="30">
                  <c:v>5.74</c:v>
                </c:pt>
                <c:pt idx="31">
                  <c:v>5.64</c:v>
                </c:pt>
                <c:pt idx="32">
                  <c:v>6.88</c:v>
                </c:pt>
                <c:pt idx="33">
                  <c:v>10.7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1C-48B2-B35E-40D70FE1BEAA}"/>
            </c:ext>
          </c:extLst>
        </c:ser>
        <c:ser>
          <c:idx val="1"/>
          <c:order val="1"/>
          <c:tx>
            <c:v>Estándar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'13. Pilotaje Rougher'!$L$19</c:f>
              <c:strCache>
                <c:ptCount val="1"/>
                <c:pt idx="0">
                  <c:v>Fe</c:v>
                </c:pt>
              </c:strCache>
            </c:strRef>
          </c:xVal>
          <c:yVal>
            <c:numRef>
              <c:f>'13. Pilotaje Rougher'!$O$19</c:f>
              <c:numCache>
                <c:formatCode>0.000</c:formatCode>
                <c:ptCount val="1"/>
                <c:pt idx="0">
                  <c:v>7.08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1C-48B2-B35E-40D70FE1B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3783871"/>
        <c:axId val="493784351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Cu Cabeza</c:v>
                </c:tx>
                <c:spPr>
                  <a:ln w="19050" cap="rnd">
                    <a:solidFill>
                      <a:schemeClr val="accent2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2"/>
                      </a:solidFill>
                      <a:prstDash val="sysDash"/>
                    </a:ln>
                    <a:effectLst/>
                  </c:spPr>
                  <c:trendlineType val="linear"/>
                  <c:dispRSqr val="0"/>
                  <c:dispEq val="0"/>
                </c:trendline>
                <c:xVal>
                  <c:strRef>
                    <c:extLst>
                      <c:ext uri="{02D57815-91ED-43cb-92C2-25804820EDAC}">
                        <c15:formulaRef>
                          <c15:sqref>'13. Pilotaje Rougher'!$E$19:$E$89</c15:sqref>
                        </c15:formulaRef>
                      </c:ext>
                    </c:extLst>
                    <c:strCache>
                      <c:ptCount val="46"/>
                      <c:pt idx="0">
                        <c:v>Cu</c:v>
                      </c:pt>
                      <c:pt idx="1">
                        <c:v>Cu</c:v>
                      </c:pt>
                      <c:pt idx="2">
                        <c:v>Cu</c:v>
                      </c:pt>
                      <c:pt idx="3">
                        <c:v>Cu</c:v>
                      </c:pt>
                      <c:pt idx="4">
                        <c:v>Cu</c:v>
                      </c:pt>
                      <c:pt idx="5">
                        <c:v>Cu</c:v>
                      </c:pt>
                      <c:pt idx="6">
                        <c:v>Cu</c:v>
                      </c:pt>
                      <c:pt idx="7">
                        <c:v>Cu</c:v>
                      </c:pt>
                      <c:pt idx="8">
                        <c:v>Cu</c:v>
                      </c:pt>
                      <c:pt idx="9">
                        <c:v>Cu</c:v>
                      </c:pt>
                      <c:pt idx="10">
                        <c:v>Cu</c:v>
                      </c:pt>
                      <c:pt idx="11">
                        <c:v>Cu</c:v>
                      </c:pt>
                      <c:pt idx="12">
                        <c:v>Cu</c:v>
                      </c:pt>
                      <c:pt idx="13">
                        <c:v>Cu</c:v>
                      </c:pt>
                      <c:pt idx="14">
                        <c:v>Cu</c:v>
                      </c:pt>
                      <c:pt idx="15">
                        <c:v>Cu</c:v>
                      </c:pt>
                      <c:pt idx="16">
                        <c:v>Cu</c:v>
                      </c:pt>
                      <c:pt idx="17">
                        <c:v>Cu</c:v>
                      </c:pt>
                      <c:pt idx="18">
                        <c:v>Cu</c:v>
                      </c:pt>
                      <c:pt idx="19">
                        <c:v>Cu</c:v>
                      </c:pt>
                      <c:pt idx="20">
                        <c:v>Cu</c:v>
                      </c:pt>
                      <c:pt idx="21">
                        <c:v>Cu</c:v>
                      </c:pt>
                      <c:pt idx="22">
                        <c:v>Cu</c:v>
                      </c:pt>
                      <c:pt idx="23">
                        <c:v>Cu</c:v>
                      </c:pt>
                      <c:pt idx="24">
                        <c:v>Cu</c:v>
                      </c:pt>
                      <c:pt idx="25">
                        <c:v>Cu</c:v>
                      </c:pt>
                      <c:pt idx="26">
                        <c:v>Cu</c:v>
                      </c:pt>
                      <c:pt idx="27">
                        <c:v>Cu</c:v>
                      </c:pt>
                      <c:pt idx="28">
                        <c:v>Cu</c:v>
                      </c:pt>
                      <c:pt idx="29">
                        <c:v>Cu</c:v>
                      </c:pt>
                      <c:pt idx="30">
                        <c:v>Cu</c:v>
                      </c:pt>
                      <c:pt idx="31">
                        <c:v>Cu</c:v>
                      </c:pt>
                      <c:pt idx="32">
                        <c:v>Cu</c:v>
                      </c:pt>
                      <c:pt idx="33">
                        <c:v>Cu</c:v>
                      </c:pt>
                      <c:pt idx="35">
                        <c:v>Cond #1</c:v>
                      </c:pt>
                      <c:pt idx="36">
                        <c:v>Cond #2</c:v>
                      </c:pt>
                      <c:pt idx="37">
                        <c:v>Conc. Ro</c:v>
                      </c:pt>
                      <c:pt idx="38">
                        <c:v>0.31</c:v>
                      </c:pt>
                      <c:pt idx="39">
                        <c:v>0.25</c:v>
                      </c:pt>
                      <c:pt idx="40">
                        <c:v>5.16</c:v>
                      </c:pt>
                      <c:pt idx="41">
                        <c:v>3.21</c:v>
                      </c:pt>
                      <c:pt idx="42">
                        <c:v>1.62</c:v>
                      </c:pt>
                      <c:pt idx="43">
                        <c:v>0.81</c:v>
                      </c:pt>
                      <c:pt idx="44">
                        <c:v>8.39</c:v>
                      </c:pt>
                      <c:pt idx="45">
                        <c:v>4.84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'13. Pilotaje Rougher'!$M$19:$M$86</c15:sqref>
                        </c15:formulaRef>
                      </c:ext>
                    </c:extLst>
                    <c:numCache>
                      <c:formatCode>0.00</c:formatCode>
                      <c:ptCount val="68"/>
                      <c:pt idx="0" formatCode="0.000">
                        <c:v>1.95</c:v>
                      </c:pt>
                      <c:pt idx="1">
                        <c:v>1.87</c:v>
                      </c:pt>
                      <c:pt idx="2">
                        <c:v>2.11</c:v>
                      </c:pt>
                      <c:pt idx="3">
                        <c:v>2.2400000000000002</c:v>
                      </c:pt>
                      <c:pt idx="4">
                        <c:v>2.4</c:v>
                      </c:pt>
                      <c:pt idx="5">
                        <c:v>2.33</c:v>
                      </c:pt>
                      <c:pt idx="6">
                        <c:v>2.4700000000000002</c:v>
                      </c:pt>
                      <c:pt idx="7">
                        <c:v>2.3199999999999998</c:v>
                      </c:pt>
                      <c:pt idx="8">
                        <c:v>2.5</c:v>
                      </c:pt>
                      <c:pt idx="9">
                        <c:v>2.33</c:v>
                      </c:pt>
                      <c:pt idx="10">
                        <c:v>2.33</c:v>
                      </c:pt>
                      <c:pt idx="11">
                        <c:v>2.4300000000000002</c:v>
                      </c:pt>
                      <c:pt idx="12">
                        <c:v>2.2799999999999998</c:v>
                      </c:pt>
                      <c:pt idx="13">
                        <c:v>2.42</c:v>
                      </c:pt>
                      <c:pt idx="14">
                        <c:v>2.2999999999999998</c:v>
                      </c:pt>
                      <c:pt idx="15">
                        <c:v>2.4</c:v>
                      </c:pt>
                      <c:pt idx="16">
                        <c:v>2.39</c:v>
                      </c:pt>
                      <c:pt idx="17">
                        <c:v>2.27</c:v>
                      </c:pt>
                      <c:pt idx="18">
                        <c:v>2.38</c:v>
                      </c:pt>
                      <c:pt idx="19">
                        <c:v>2.33</c:v>
                      </c:pt>
                      <c:pt idx="20">
                        <c:v>2.36</c:v>
                      </c:pt>
                      <c:pt idx="21">
                        <c:v>2.35</c:v>
                      </c:pt>
                      <c:pt idx="22">
                        <c:v>2.46</c:v>
                      </c:pt>
                      <c:pt idx="23">
                        <c:v>2.34</c:v>
                      </c:pt>
                      <c:pt idx="24">
                        <c:v>2.34</c:v>
                      </c:pt>
                      <c:pt idx="25">
                        <c:v>2.37</c:v>
                      </c:pt>
                      <c:pt idx="26">
                        <c:v>2.2799999999999998</c:v>
                      </c:pt>
                      <c:pt idx="27">
                        <c:v>2.3199999999999998</c:v>
                      </c:pt>
                      <c:pt idx="28">
                        <c:v>2.37</c:v>
                      </c:pt>
                      <c:pt idx="29">
                        <c:v>2.36</c:v>
                      </c:pt>
                      <c:pt idx="30">
                        <c:v>2.34</c:v>
                      </c:pt>
                      <c:pt idx="31">
                        <c:v>2.2999999999999998</c:v>
                      </c:pt>
                      <c:pt idx="32">
                        <c:v>2.39</c:v>
                      </c:pt>
                      <c:pt idx="33">
                        <c:v>2.41</c:v>
                      </c:pt>
                      <c:pt idx="34">
                        <c:v>2.3562500000000002</c:v>
                      </c:pt>
                      <c:pt idx="37" formatCode="General">
                        <c:v>0</c:v>
                      </c:pt>
                      <c:pt idx="38">
                        <c:v>6.4045983590688457E-2</c:v>
                      </c:pt>
                      <c:pt idx="39">
                        <c:v>1.81966215784761E-2</c:v>
                      </c:pt>
                      <c:pt idx="42" formatCode="General">
                        <c:v>0</c:v>
                      </c:pt>
                      <c:pt idx="43">
                        <c:v>19.942536693436715</c:v>
                      </c:pt>
                      <c:pt idx="44">
                        <c:v>67.203582687851011</c:v>
                      </c:pt>
                      <c:pt idx="45">
                        <c:v>36.584189608821283</c:v>
                      </c:pt>
                      <c:pt idx="46">
                        <c:v>34.920409770511178</c:v>
                      </c:pt>
                      <c:pt idx="47">
                        <c:v>33.875504666093043</c:v>
                      </c:pt>
                      <c:pt idx="67" formatCode="General">
                        <c:v>0.66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731C-48B2-B35E-40D70FE1BEAA}"/>
                  </c:ext>
                </c:extLst>
              </c15:ser>
            </c15:filteredScatterSeries>
          </c:ext>
        </c:extLst>
      </c:scatterChart>
      <c:valAx>
        <c:axId val="493783871"/>
        <c:scaling>
          <c:orientation val="minMax"/>
          <c:max val="3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r>
                  <a:rPr lang="es-CL"/>
                  <a:t>Concentrado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ource Sans Pro" panose="020B0503030403020204" pitchFamily="34" charset="0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endParaRPr lang="es-CL"/>
          </a:p>
        </c:txPr>
        <c:crossAx val="493784351"/>
        <c:crosses val="autoZero"/>
        <c:crossBetween val="midCat"/>
      </c:valAx>
      <c:valAx>
        <c:axId val="49378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r>
                  <a:rPr lang="es-CL"/>
                  <a:t>Fe</a:t>
                </a:r>
                <a:r>
                  <a:rPr lang="es-CL" baseline="0"/>
                  <a:t> %</a:t>
                </a: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ource Sans Pro" panose="020B0503030403020204" pitchFamily="34" charset="0"/>
                  <a:ea typeface="+mn-ea"/>
                  <a:cs typeface="+mn-cs"/>
                </a:defRPr>
              </a:pPr>
              <a:endParaRPr lang="es-CL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endParaRPr lang="es-CL"/>
          </a:p>
        </c:txPr>
        <c:crossAx val="493783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ource Sans Pro" panose="020B0503030403020204" pitchFamily="34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Source Sans Pro" panose="020B0503030403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r>
              <a:rPr lang="en-US"/>
              <a:t>Recuperación Cu vs Ley Concentrado 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ource Sans Pro" panose="020B0503030403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Cond.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'13. Pilotaje Rougher'!$K$20:$K$36</c:f>
              <c:numCache>
                <c:formatCode>0</c:formatCode>
                <c:ptCount val="17"/>
                <c:pt idx="0">
                  <c:v>78.903949456825416</c:v>
                </c:pt>
                <c:pt idx="1">
                  <c:v>83.599805301625324</c:v>
                </c:pt>
                <c:pt idx="2">
                  <c:v>83.117428633835715</c:v>
                </c:pt>
                <c:pt idx="3">
                  <c:v>78.227202095427174</c:v>
                </c:pt>
                <c:pt idx="4">
                  <c:v>81.094702297233951</c:v>
                </c:pt>
                <c:pt idx="5">
                  <c:v>80.124874510807373</c:v>
                </c:pt>
                <c:pt idx="6">
                  <c:v>80.570501568940827</c:v>
                </c:pt>
                <c:pt idx="7">
                  <c:v>80.943136493593585</c:v>
                </c:pt>
                <c:pt idx="8">
                  <c:v>80.399944512991979</c:v>
                </c:pt>
                <c:pt idx="9">
                  <c:v>80.577064153775609</c:v>
                </c:pt>
                <c:pt idx="10">
                  <c:v>75.139695742134549</c:v>
                </c:pt>
                <c:pt idx="11">
                  <c:v>79.048176561809967</c:v>
                </c:pt>
                <c:pt idx="12">
                  <c:v>78.066685745597113</c:v>
                </c:pt>
                <c:pt idx="13">
                  <c:v>74.709939180158031</c:v>
                </c:pt>
                <c:pt idx="14">
                  <c:v>74.079827986075429</c:v>
                </c:pt>
                <c:pt idx="15">
                  <c:v>82.600628033114461</c:v>
                </c:pt>
                <c:pt idx="16">
                  <c:v>85.523828390310157</c:v>
                </c:pt>
              </c:numCache>
            </c:numRef>
          </c:xVal>
          <c:yVal>
            <c:numRef>
              <c:f>'13. Pilotaje Rougher'!$H$20:$H$36</c:f>
              <c:numCache>
                <c:formatCode>0.00</c:formatCode>
                <c:ptCount val="17"/>
                <c:pt idx="0">
                  <c:v>2.0830000000000002</c:v>
                </c:pt>
                <c:pt idx="1">
                  <c:v>3.415</c:v>
                </c:pt>
                <c:pt idx="2">
                  <c:v>3.629</c:v>
                </c:pt>
                <c:pt idx="3">
                  <c:v>6.22</c:v>
                </c:pt>
                <c:pt idx="4">
                  <c:v>5.55</c:v>
                </c:pt>
                <c:pt idx="5">
                  <c:v>7.48</c:v>
                </c:pt>
                <c:pt idx="6">
                  <c:v>5.01</c:v>
                </c:pt>
                <c:pt idx="7">
                  <c:v>6.09</c:v>
                </c:pt>
                <c:pt idx="8">
                  <c:v>5.91</c:v>
                </c:pt>
                <c:pt idx="9">
                  <c:v>2.984</c:v>
                </c:pt>
                <c:pt idx="10">
                  <c:v>6.22</c:v>
                </c:pt>
                <c:pt idx="11">
                  <c:v>6.02</c:v>
                </c:pt>
                <c:pt idx="12">
                  <c:v>6.16</c:v>
                </c:pt>
                <c:pt idx="13">
                  <c:v>6.87</c:v>
                </c:pt>
                <c:pt idx="14">
                  <c:v>6.92</c:v>
                </c:pt>
                <c:pt idx="15">
                  <c:v>3.8580000000000001</c:v>
                </c:pt>
                <c:pt idx="16">
                  <c:v>3.2730000000000001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0A-413F-B8A6-EF2A375FADF3}"/>
            </c:ext>
          </c:extLst>
        </c:ser>
        <c:ser>
          <c:idx val="3"/>
          <c:order val="3"/>
          <c:tx>
            <c:v>Cond.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'13. Pilotaje Rougher'!$K$37:$K$52</c:f>
              <c:numCache>
                <c:formatCode>0</c:formatCode>
                <c:ptCount val="16"/>
                <c:pt idx="0">
                  <c:v>83.828025237307415</c:v>
                </c:pt>
                <c:pt idx="1">
                  <c:v>82.330839335244619</c:v>
                </c:pt>
                <c:pt idx="2">
                  <c:v>83.3888595580962</c:v>
                </c:pt>
                <c:pt idx="3">
                  <c:v>84.222682051239346</c:v>
                </c:pt>
                <c:pt idx="4">
                  <c:v>81.528161281906335</c:v>
                </c:pt>
                <c:pt idx="5">
                  <c:v>84.633440669844248</c:v>
                </c:pt>
                <c:pt idx="6">
                  <c:v>84.53089361294532</c:v>
                </c:pt>
                <c:pt idx="7">
                  <c:v>84.173557509599135</c:v>
                </c:pt>
                <c:pt idx="8">
                  <c:v>85.734761501117347</c:v>
                </c:pt>
                <c:pt idx="9">
                  <c:v>86.915972065780593</c:v>
                </c:pt>
                <c:pt idx="10">
                  <c:v>86.067613895808009</c:v>
                </c:pt>
                <c:pt idx="11">
                  <c:v>85.143989604084297</c:v>
                </c:pt>
                <c:pt idx="12">
                  <c:v>85.614198254144952</c:v>
                </c:pt>
                <c:pt idx="13">
                  <c:v>85.061105518949205</c:v>
                </c:pt>
                <c:pt idx="14">
                  <c:v>84.903658139155951</c:v>
                </c:pt>
                <c:pt idx="15">
                  <c:v>81.94274408263982</c:v>
                </c:pt>
              </c:numCache>
            </c:numRef>
          </c:xVal>
          <c:yVal>
            <c:numRef>
              <c:f>'13. Pilotaje Rougher'!$H$37:$H$52</c:f>
              <c:numCache>
                <c:formatCode>0.00</c:formatCode>
                <c:ptCount val="16"/>
                <c:pt idx="0">
                  <c:v>3.8279999999999998</c:v>
                </c:pt>
                <c:pt idx="1">
                  <c:v>3.2949999999999999</c:v>
                </c:pt>
                <c:pt idx="2">
                  <c:v>5.08</c:v>
                </c:pt>
                <c:pt idx="3">
                  <c:v>2.6709999999999998</c:v>
                </c:pt>
                <c:pt idx="4">
                  <c:v>3.327</c:v>
                </c:pt>
                <c:pt idx="5">
                  <c:v>4.4169999999999998</c:v>
                </c:pt>
                <c:pt idx="6">
                  <c:v>3.0529999999999999</c:v>
                </c:pt>
                <c:pt idx="7">
                  <c:v>3.472</c:v>
                </c:pt>
                <c:pt idx="8">
                  <c:v>3.532</c:v>
                </c:pt>
                <c:pt idx="9">
                  <c:v>2.6259999999999999</c:v>
                </c:pt>
                <c:pt idx="10">
                  <c:v>3.1139999999999999</c:v>
                </c:pt>
                <c:pt idx="11">
                  <c:v>2.7090000000000001</c:v>
                </c:pt>
                <c:pt idx="12">
                  <c:v>2.153</c:v>
                </c:pt>
                <c:pt idx="13">
                  <c:v>2.0870000000000002</c:v>
                </c:pt>
                <c:pt idx="14">
                  <c:v>2.3029999999999999</c:v>
                </c:pt>
                <c:pt idx="15">
                  <c:v>3.7450000000000001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DB-4EA2-8C05-541C6E146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3783871"/>
        <c:axId val="493784351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Estándar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'13. Pilotaje Rougher'!$K$19</c15:sqref>
                        </c15:formulaRef>
                      </c:ext>
                    </c:extLst>
                    <c:numCache>
                      <c:formatCode>0</c:formatCode>
                      <c:ptCount val="1"/>
                      <c:pt idx="0">
                        <c:v>86.345466728301076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'13. Pilotaje Rougher'!$H$19</c15:sqref>
                        </c15:formulaRef>
                      </c:ext>
                    </c:extLst>
                    <c:numCache>
                      <c:formatCode>0.000</c:formatCode>
                      <c:ptCount val="1"/>
                      <c:pt idx="0">
                        <c:v>4.46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880A-413F-B8A6-EF2A375FADF3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Cu Cabeza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2"/>
                      </a:solidFill>
                      <a:prstDash val="sysDash"/>
                    </a:ln>
                    <a:effectLst/>
                  </c:spPr>
                  <c:trendlineType val="linear"/>
                  <c:dispRSqr val="0"/>
                  <c:dispEq val="0"/>
                </c:trendline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'13. Pilotaje Rougher'!$E$19:$E$89</c15:sqref>
                        </c15:formulaRef>
                      </c:ext>
                    </c:extLst>
                    <c:strCache>
                      <c:ptCount val="46"/>
                      <c:pt idx="0">
                        <c:v>Cu</c:v>
                      </c:pt>
                      <c:pt idx="1">
                        <c:v>Cu</c:v>
                      </c:pt>
                      <c:pt idx="2">
                        <c:v>Cu</c:v>
                      </c:pt>
                      <c:pt idx="3">
                        <c:v>Cu</c:v>
                      </c:pt>
                      <c:pt idx="4">
                        <c:v>Cu</c:v>
                      </c:pt>
                      <c:pt idx="5">
                        <c:v>Cu</c:v>
                      </c:pt>
                      <c:pt idx="6">
                        <c:v>Cu</c:v>
                      </c:pt>
                      <c:pt idx="7">
                        <c:v>Cu</c:v>
                      </c:pt>
                      <c:pt idx="8">
                        <c:v>Cu</c:v>
                      </c:pt>
                      <c:pt idx="9">
                        <c:v>Cu</c:v>
                      </c:pt>
                      <c:pt idx="10">
                        <c:v>Cu</c:v>
                      </c:pt>
                      <c:pt idx="11">
                        <c:v>Cu</c:v>
                      </c:pt>
                      <c:pt idx="12">
                        <c:v>Cu</c:v>
                      </c:pt>
                      <c:pt idx="13">
                        <c:v>Cu</c:v>
                      </c:pt>
                      <c:pt idx="14">
                        <c:v>Cu</c:v>
                      </c:pt>
                      <c:pt idx="15">
                        <c:v>Cu</c:v>
                      </c:pt>
                      <c:pt idx="16">
                        <c:v>Cu</c:v>
                      </c:pt>
                      <c:pt idx="17">
                        <c:v>Cu</c:v>
                      </c:pt>
                      <c:pt idx="18">
                        <c:v>Cu</c:v>
                      </c:pt>
                      <c:pt idx="19">
                        <c:v>Cu</c:v>
                      </c:pt>
                      <c:pt idx="20">
                        <c:v>Cu</c:v>
                      </c:pt>
                      <c:pt idx="21">
                        <c:v>Cu</c:v>
                      </c:pt>
                      <c:pt idx="22">
                        <c:v>Cu</c:v>
                      </c:pt>
                      <c:pt idx="23">
                        <c:v>Cu</c:v>
                      </c:pt>
                      <c:pt idx="24">
                        <c:v>Cu</c:v>
                      </c:pt>
                      <c:pt idx="25">
                        <c:v>Cu</c:v>
                      </c:pt>
                      <c:pt idx="26">
                        <c:v>Cu</c:v>
                      </c:pt>
                      <c:pt idx="27">
                        <c:v>Cu</c:v>
                      </c:pt>
                      <c:pt idx="28">
                        <c:v>Cu</c:v>
                      </c:pt>
                      <c:pt idx="29">
                        <c:v>Cu</c:v>
                      </c:pt>
                      <c:pt idx="30">
                        <c:v>Cu</c:v>
                      </c:pt>
                      <c:pt idx="31">
                        <c:v>Cu</c:v>
                      </c:pt>
                      <c:pt idx="32">
                        <c:v>Cu</c:v>
                      </c:pt>
                      <c:pt idx="33">
                        <c:v>Cu</c:v>
                      </c:pt>
                      <c:pt idx="35">
                        <c:v>Cond #1</c:v>
                      </c:pt>
                      <c:pt idx="36">
                        <c:v>Cond #2</c:v>
                      </c:pt>
                      <c:pt idx="37">
                        <c:v>Conc. Ro</c:v>
                      </c:pt>
                      <c:pt idx="38">
                        <c:v>0.31</c:v>
                      </c:pt>
                      <c:pt idx="39">
                        <c:v>0.25</c:v>
                      </c:pt>
                      <c:pt idx="40">
                        <c:v>5.16</c:v>
                      </c:pt>
                      <c:pt idx="41">
                        <c:v>3.21</c:v>
                      </c:pt>
                      <c:pt idx="42">
                        <c:v>1.62</c:v>
                      </c:pt>
                      <c:pt idx="43">
                        <c:v>0.81</c:v>
                      </c:pt>
                      <c:pt idx="44">
                        <c:v>8.39</c:v>
                      </c:pt>
                      <c:pt idx="45">
                        <c:v>4.84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'13. Pilotaje Rougher'!$M$19:$M$86</c15:sqref>
                        </c15:formulaRef>
                      </c:ext>
                    </c:extLst>
                    <c:numCache>
                      <c:formatCode>0.00</c:formatCode>
                      <c:ptCount val="68"/>
                      <c:pt idx="0" formatCode="0.000">
                        <c:v>1.95</c:v>
                      </c:pt>
                      <c:pt idx="1">
                        <c:v>1.87</c:v>
                      </c:pt>
                      <c:pt idx="2">
                        <c:v>2.11</c:v>
                      </c:pt>
                      <c:pt idx="3">
                        <c:v>2.2400000000000002</c:v>
                      </c:pt>
                      <c:pt idx="4">
                        <c:v>2.4</c:v>
                      </c:pt>
                      <c:pt idx="5">
                        <c:v>2.33</c:v>
                      </c:pt>
                      <c:pt idx="6">
                        <c:v>2.4700000000000002</c:v>
                      </c:pt>
                      <c:pt idx="7">
                        <c:v>2.3199999999999998</c:v>
                      </c:pt>
                      <c:pt idx="8">
                        <c:v>2.5</c:v>
                      </c:pt>
                      <c:pt idx="9">
                        <c:v>2.33</c:v>
                      </c:pt>
                      <c:pt idx="10">
                        <c:v>2.33</c:v>
                      </c:pt>
                      <c:pt idx="11">
                        <c:v>2.4300000000000002</c:v>
                      </c:pt>
                      <c:pt idx="12">
                        <c:v>2.2799999999999998</c:v>
                      </c:pt>
                      <c:pt idx="13">
                        <c:v>2.42</c:v>
                      </c:pt>
                      <c:pt idx="14">
                        <c:v>2.2999999999999998</c:v>
                      </c:pt>
                      <c:pt idx="15">
                        <c:v>2.4</c:v>
                      </c:pt>
                      <c:pt idx="16">
                        <c:v>2.39</c:v>
                      </c:pt>
                      <c:pt idx="17">
                        <c:v>2.27</c:v>
                      </c:pt>
                      <c:pt idx="18">
                        <c:v>2.38</c:v>
                      </c:pt>
                      <c:pt idx="19">
                        <c:v>2.33</c:v>
                      </c:pt>
                      <c:pt idx="20">
                        <c:v>2.36</c:v>
                      </c:pt>
                      <c:pt idx="21">
                        <c:v>2.35</c:v>
                      </c:pt>
                      <c:pt idx="22">
                        <c:v>2.46</c:v>
                      </c:pt>
                      <c:pt idx="23">
                        <c:v>2.34</c:v>
                      </c:pt>
                      <c:pt idx="24">
                        <c:v>2.34</c:v>
                      </c:pt>
                      <c:pt idx="25">
                        <c:v>2.37</c:v>
                      </c:pt>
                      <c:pt idx="26">
                        <c:v>2.2799999999999998</c:v>
                      </c:pt>
                      <c:pt idx="27">
                        <c:v>2.3199999999999998</c:v>
                      </c:pt>
                      <c:pt idx="28">
                        <c:v>2.37</c:v>
                      </c:pt>
                      <c:pt idx="29">
                        <c:v>2.36</c:v>
                      </c:pt>
                      <c:pt idx="30">
                        <c:v>2.34</c:v>
                      </c:pt>
                      <c:pt idx="31">
                        <c:v>2.2999999999999998</c:v>
                      </c:pt>
                      <c:pt idx="32">
                        <c:v>2.39</c:v>
                      </c:pt>
                      <c:pt idx="33">
                        <c:v>2.41</c:v>
                      </c:pt>
                      <c:pt idx="34">
                        <c:v>2.3562500000000002</c:v>
                      </c:pt>
                      <c:pt idx="37" formatCode="General">
                        <c:v>0</c:v>
                      </c:pt>
                      <c:pt idx="38">
                        <c:v>6.4045983590688457E-2</c:v>
                      </c:pt>
                      <c:pt idx="39">
                        <c:v>1.81966215784761E-2</c:v>
                      </c:pt>
                      <c:pt idx="42" formatCode="General">
                        <c:v>0</c:v>
                      </c:pt>
                      <c:pt idx="43">
                        <c:v>19.942536693436715</c:v>
                      </c:pt>
                      <c:pt idx="44">
                        <c:v>67.203582687851011</c:v>
                      </c:pt>
                      <c:pt idx="45">
                        <c:v>36.584189608821283</c:v>
                      </c:pt>
                      <c:pt idx="46">
                        <c:v>34.920409770511178</c:v>
                      </c:pt>
                      <c:pt idx="47">
                        <c:v>33.875504666093043</c:v>
                      </c:pt>
                      <c:pt idx="67" formatCode="General">
                        <c:v>0.66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80A-413F-B8A6-EF2A375FADF3}"/>
                  </c:ext>
                </c:extLst>
              </c15:ser>
            </c15:filteredScatterSeries>
          </c:ext>
        </c:extLst>
      </c:scatterChart>
      <c:valAx>
        <c:axId val="493783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r>
                  <a:rPr lang="es-CL"/>
                  <a:t>Recuperación Cu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ource Sans Pro" panose="020B0503030403020204" pitchFamily="34" charset="0"/>
                  <a:ea typeface="+mn-ea"/>
                  <a:cs typeface="+mn-cs"/>
                </a:defRPr>
              </a:pPr>
              <a:endParaRPr lang="es-CL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endParaRPr lang="es-CL"/>
          </a:p>
        </c:txPr>
        <c:crossAx val="493784351"/>
        <c:crosses val="autoZero"/>
        <c:crossBetween val="midCat"/>
      </c:valAx>
      <c:valAx>
        <c:axId val="49378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r>
                  <a:rPr lang="es-CL"/>
                  <a:t>Ley Cu Concentrado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ource Sans Pro" panose="020B0503030403020204" pitchFamily="34" charset="0"/>
                  <a:ea typeface="+mn-ea"/>
                  <a:cs typeface="+mn-cs"/>
                </a:defRPr>
              </a:pPr>
              <a:endParaRPr lang="es-C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endParaRPr lang="es-CL"/>
          </a:p>
        </c:txPr>
        <c:crossAx val="493783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ource Sans Pro" panose="020B0503030403020204" pitchFamily="34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Source Sans Pro" panose="020B0503030403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r>
              <a:rPr lang="en-US" b="1"/>
              <a:t>Recuperación Fe vs Ley Concentrado</a:t>
            </a:r>
            <a:r>
              <a:rPr lang="en-US" b="1" baseline="0"/>
              <a:t> Ro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ource Sans Pro" panose="020B0503030403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Pilotaje #1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'13. Pilotaje Rougher'!$R$20:$R$36</c:f>
              <c:numCache>
                <c:formatCode>0</c:formatCode>
                <c:ptCount val="17"/>
                <c:pt idx="0">
                  <c:v>27.639419404125288</c:v>
                </c:pt>
                <c:pt idx="1">
                  <c:v>43.954029641956993</c:v>
                </c:pt>
                <c:pt idx="2">
                  <c:v>52.363281250000007</c:v>
                </c:pt>
                <c:pt idx="3">
                  <c:v>35.84905660377359</c:v>
                </c:pt>
                <c:pt idx="4">
                  <c:v>42.662483881521965</c:v>
                </c:pt>
                <c:pt idx="5">
                  <c:v>29.950312845049687</c:v>
                </c:pt>
                <c:pt idx="6">
                  <c:v>33.875504666093043</c:v>
                </c:pt>
                <c:pt idx="7">
                  <c:v>31.284345047923328</c:v>
                </c:pt>
                <c:pt idx="8">
                  <c:v>32.777785299413772</c:v>
                </c:pt>
                <c:pt idx="9">
                  <c:v>38.148375229920298</c:v>
                </c:pt>
                <c:pt idx="10">
                  <c:v>31.2768323879435</c:v>
                </c:pt>
                <c:pt idx="11">
                  <c:v>30.553689187507771</c:v>
                </c:pt>
                <c:pt idx="12">
                  <c:v>34.724228939104975</c:v>
                </c:pt>
                <c:pt idx="13">
                  <c:v>19.942536693436715</c:v>
                </c:pt>
                <c:pt idx="14">
                  <c:v>19.992080896686161</c:v>
                </c:pt>
                <c:pt idx="15">
                  <c:v>49.733678687653594</c:v>
                </c:pt>
                <c:pt idx="16">
                  <c:v>67.203582687851011</c:v>
                </c:pt>
              </c:numCache>
            </c:numRef>
          </c:xVal>
          <c:yVal>
            <c:numRef>
              <c:f>'13. Pilotaje Rougher'!$O$20:$O$36</c:f>
              <c:numCache>
                <c:formatCode>0.00</c:formatCode>
                <c:ptCount val="17"/>
                <c:pt idx="0">
                  <c:v>3.35</c:v>
                </c:pt>
                <c:pt idx="1">
                  <c:v>5.36</c:v>
                </c:pt>
                <c:pt idx="2">
                  <c:v>7.66</c:v>
                </c:pt>
                <c:pt idx="3">
                  <c:v>9.1199999999999992</c:v>
                </c:pt>
                <c:pt idx="4">
                  <c:v>8.2100000000000009</c:v>
                </c:pt>
                <c:pt idx="5">
                  <c:v>12.4</c:v>
                </c:pt>
                <c:pt idx="6">
                  <c:v>6.94</c:v>
                </c:pt>
                <c:pt idx="7">
                  <c:v>8.16</c:v>
                </c:pt>
                <c:pt idx="8">
                  <c:v>8.07</c:v>
                </c:pt>
                <c:pt idx="9">
                  <c:v>4.2699999999999996</c:v>
                </c:pt>
                <c:pt idx="10">
                  <c:v>9.2200000000000006</c:v>
                </c:pt>
                <c:pt idx="11">
                  <c:v>8.77</c:v>
                </c:pt>
                <c:pt idx="12">
                  <c:v>10.3</c:v>
                </c:pt>
                <c:pt idx="13">
                  <c:v>8.23</c:v>
                </c:pt>
                <c:pt idx="14">
                  <c:v>8.8699999999999992</c:v>
                </c:pt>
                <c:pt idx="15">
                  <c:v>7.72</c:v>
                </c:pt>
                <c:pt idx="16">
                  <c:v>9.33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FC-427C-873D-9EBA256ECF17}"/>
            </c:ext>
          </c:extLst>
        </c:ser>
        <c:ser>
          <c:idx val="3"/>
          <c:order val="3"/>
          <c:tx>
            <c:v>Pilotaje #2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'13. Pilotaje Rougher'!$R$37:$R$52</c:f>
              <c:numCache>
                <c:formatCode>0</c:formatCode>
                <c:ptCount val="16"/>
                <c:pt idx="0">
                  <c:v>63.492063492063487</c:v>
                </c:pt>
                <c:pt idx="1">
                  <c:v>63.606692195009131</c:v>
                </c:pt>
                <c:pt idx="2">
                  <c:v>62.289828251596745</c:v>
                </c:pt>
                <c:pt idx="3">
                  <c:v>65.379983324583876</c:v>
                </c:pt>
                <c:pt idx="4">
                  <c:v>56.804432274087759</c:v>
                </c:pt>
                <c:pt idx="5">
                  <c:v>62.150963790308047</c:v>
                </c:pt>
                <c:pt idx="6">
                  <c:v>65.061959689466846</c:v>
                </c:pt>
                <c:pt idx="7">
                  <c:v>59.993579159787188</c:v>
                </c:pt>
                <c:pt idx="8">
                  <c:v>62.894375857338815</c:v>
                </c:pt>
                <c:pt idx="9">
                  <c:v>69.270429094134599</c:v>
                </c:pt>
                <c:pt idx="10">
                  <c:v>66.370847108217163</c:v>
                </c:pt>
                <c:pt idx="11">
                  <c:v>68.191964285714292</c:v>
                </c:pt>
                <c:pt idx="12">
                  <c:v>69.34617187781744</c:v>
                </c:pt>
                <c:pt idx="13">
                  <c:v>67.55446571724984</c:v>
                </c:pt>
                <c:pt idx="14">
                  <c:v>66.922719307656536</c:v>
                </c:pt>
                <c:pt idx="15">
                  <c:v>60.185445592962928</c:v>
                </c:pt>
              </c:numCache>
            </c:numRef>
          </c:xVal>
          <c:yVal>
            <c:numRef>
              <c:f>'13. Pilotaje Rougher'!$O$37:$O$52</c:f>
              <c:numCache>
                <c:formatCode>0.00</c:formatCode>
                <c:ptCount val="16"/>
                <c:pt idx="0">
                  <c:v>10.199999999999999</c:v>
                </c:pt>
                <c:pt idx="1">
                  <c:v>11</c:v>
                </c:pt>
                <c:pt idx="2">
                  <c:v>16</c:v>
                </c:pt>
                <c:pt idx="3">
                  <c:v>7.9</c:v>
                </c:pt>
                <c:pt idx="4">
                  <c:v>8.92</c:v>
                </c:pt>
                <c:pt idx="5">
                  <c:v>13.8</c:v>
                </c:pt>
                <c:pt idx="6">
                  <c:v>7.99</c:v>
                </c:pt>
                <c:pt idx="7">
                  <c:v>10.3</c:v>
                </c:pt>
                <c:pt idx="8">
                  <c:v>13.1</c:v>
                </c:pt>
                <c:pt idx="9">
                  <c:v>7.14</c:v>
                </c:pt>
                <c:pt idx="10">
                  <c:v>11</c:v>
                </c:pt>
                <c:pt idx="11">
                  <c:v>7.67</c:v>
                </c:pt>
                <c:pt idx="12">
                  <c:v>5.74</c:v>
                </c:pt>
                <c:pt idx="13">
                  <c:v>5.64</c:v>
                </c:pt>
                <c:pt idx="14">
                  <c:v>6.88</c:v>
                </c:pt>
                <c:pt idx="15">
                  <c:v>10.7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9F-4089-8B83-6B2ACC57C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3783871"/>
        <c:axId val="493784351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Estándar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'13. Pilotaje Rougher'!$R$19</c15:sqref>
                        </c15:formulaRef>
                      </c:ext>
                    </c:extLst>
                    <c:numCache>
                      <c:formatCode>0</c:formatCode>
                      <c:ptCount val="1"/>
                      <c:pt idx="0">
                        <c:v>45.418571677594606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'13. Pilotaje Rougher'!$H$19</c15:sqref>
                        </c15:formulaRef>
                      </c:ext>
                    </c:extLst>
                    <c:numCache>
                      <c:formatCode>0.000</c:formatCode>
                      <c:ptCount val="1"/>
                      <c:pt idx="0">
                        <c:v>4.46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9FFC-427C-873D-9EBA256ECF17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Cu Cabeza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2"/>
                      </a:solidFill>
                      <a:prstDash val="sysDash"/>
                    </a:ln>
                    <a:effectLst/>
                  </c:spPr>
                  <c:trendlineType val="linear"/>
                  <c:dispRSqr val="0"/>
                  <c:dispEq val="0"/>
                </c:trendline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'13. Pilotaje Rougher'!$E$19:$E$89</c15:sqref>
                        </c15:formulaRef>
                      </c:ext>
                    </c:extLst>
                    <c:strCache>
                      <c:ptCount val="46"/>
                      <c:pt idx="0">
                        <c:v>Cu</c:v>
                      </c:pt>
                      <c:pt idx="1">
                        <c:v>Cu</c:v>
                      </c:pt>
                      <c:pt idx="2">
                        <c:v>Cu</c:v>
                      </c:pt>
                      <c:pt idx="3">
                        <c:v>Cu</c:v>
                      </c:pt>
                      <c:pt idx="4">
                        <c:v>Cu</c:v>
                      </c:pt>
                      <c:pt idx="5">
                        <c:v>Cu</c:v>
                      </c:pt>
                      <c:pt idx="6">
                        <c:v>Cu</c:v>
                      </c:pt>
                      <c:pt idx="7">
                        <c:v>Cu</c:v>
                      </c:pt>
                      <c:pt idx="8">
                        <c:v>Cu</c:v>
                      </c:pt>
                      <c:pt idx="9">
                        <c:v>Cu</c:v>
                      </c:pt>
                      <c:pt idx="10">
                        <c:v>Cu</c:v>
                      </c:pt>
                      <c:pt idx="11">
                        <c:v>Cu</c:v>
                      </c:pt>
                      <c:pt idx="12">
                        <c:v>Cu</c:v>
                      </c:pt>
                      <c:pt idx="13">
                        <c:v>Cu</c:v>
                      </c:pt>
                      <c:pt idx="14">
                        <c:v>Cu</c:v>
                      </c:pt>
                      <c:pt idx="15">
                        <c:v>Cu</c:v>
                      </c:pt>
                      <c:pt idx="16">
                        <c:v>Cu</c:v>
                      </c:pt>
                      <c:pt idx="17">
                        <c:v>Cu</c:v>
                      </c:pt>
                      <c:pt idx="18">
                        <c:v>Cu</c:v>
                      </c:pt>
                      <c:pt idx="19">
                        <c:v>Cu</c:v>
                      </c:pt>
                      <c:pt idx="20">
                        <c:v>Cu</c:v>
                      </c:pt>
                      <c:pt idx="21">
                        <c:v>Cu</c:v>
                      </c:pt>
                      <c:pt idx="22">
                        <c:v>Cu</c:v>
                      </c:pt>
                      <c:pt idx="23">
                        <c:v>Cu</c:v>
                      </c:pt>
                      <c:pt idx="24">
                        <c:v>Cu</c:v>
                      </c:pt>
                      <c:pt idx="25">
                        <c:v>Cu</c:v>
                      </c:pt>
                      <c:pt idx="26">
                        <c:v>Cu</c:v>
                      </c:pt>
                      <c:pt idx="27">
                        <c:v>Cu</c:v>
                      </c:pt>
                      <c:pt idx="28">
                        <c:v>Cu</c:v>
                      </c:pt>
                      <c:pt idx="29">
                        <c:v>Cu</c:v>
                      </c:pt>
                      <c:pt idx="30">
                        <c:v>Cu</c:v>
                      </c:pt>
                      <c:pt idx="31">
                        <c:v>Cu</c:v>
                      </c:pt>
                      <c:pt idx="32">
                        <c:v>Cu</c:v>
                      </c:pt>
                      <c:pt idx="33">
                        <c:v>Cu</c:v>
                      </c:pt>
                      <c:pt idx="35">
                        <c:v>Cond #1</c:v>
                      </c:pt>
                      <c:pt idx="36">
                        <c:v>Cond #2</c:v>
                      </c:pt>
                      <c:pt idx="37">
                        <c:v>Conc. Ro</c:v>
                      </c:pt>
                      <c:pt idx="38">
                        <c:v>0.31</c:v>
                      </c:pt>
                      <c:pt idx="39">
                        <c:v>0.25</c:v>
                      </c:pt>
                      <c:pt idx="40">
                        <c:v>5.16</c:v>
                      </c:pt>
                      <c:pt idx="41">
                        <c:v>3.21</c:v>
                      </c:pt>
                      <c:pt idx="42">
                        <c:v>1.62</c:v>
                      </c:pt>
                      <c:pt idx="43">
                        <c:v>0.81</c:v>
                      </c:pt>
                      <c:pt idx="44">
                        <c:v>8.39</c:v>
                      </c:pt>
                      <c:pt idx="45">
                        <c:v>4.84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'13. Pilotaje Rougher'!$M$19:$M$86</c15:sqref>
                        </c15:formulaRef>
                      </c:ext>
                    </c:extLst>
                    <c:numCache>
                      <c:formatCode>0.00</c:formatCode>
                      <c:ptCount val="68"/>
                      <c:pt idx="0" formatCode="0.000">
                        <c:v>1.95</c:v>
                      </c:pt>
                      <c:pt idx="1">
                        <c:v>1.87</c:v>
                      </c:pt>
                      <c:pt idx="2">
                        <c:v>2.11</c:v>
                      </c:pt>
                      <c:pt idx="3">
                        <c:v>2.2400000000000002</c:v>
                      </c:pt>
                      <c:pt idx="4">
                        <c:v>2.4</c:v>
                      </c:pt>
                      <c:pt idx="5">
                        <c:v>2.33</c:v>
                      </c:pt>
                      <c:pt idx="6">
                        <c:v>2.4700000000000002</c:v>
                      </c:pt>
                      <c:pt idx="7">
                        <c:v>2.3199999999999998</c:v>
                      </c:pt>
                      <c:pt idx="8">
                        <c:v>2.5</c:v>
                      </c:pt>
                      <c:pt idx="9">
                        <c:v>2.33</c:v>
                      </c:pt>
                      <c:pt idx="10">
                        <c:v>2.33</c:v>
                      </c:pt>
                      <c:pt idx="11">
                        <c:v>2.4300000000000002</c:v>
                      </c:pt>
                      <c:pt idx="12">
                        <c:v>2.2799999999999998</c:v>
                      </c:pt>
                      <c:pt idx="13">
                        <c:v>2.42</c:v>
                      </c:pt>
                      <c:pt idx="14">
                        <c:v>2.2999999999999998</c:v>
                      </c:pt>
                      <c:pt idx="15">
                        <c:v>2.4</c:v>
                      </c:pt>
                      <c:pt idx="16">
                        <c:v>2.39</c:v>
                      </c:pt>
                      <c:pt idx="17">
                        <c:v>2.27</c:v>
                      </c:pt>
                      <c:pt idx="18">
                        <c:v>2.38</c:v>
                      </c:pt>
                      <c:pt idx="19">
                        <c:v>2.33</c:v>
                      </c:pt>
                      <c:pt idx="20">
                        <c:v>2.36</c:v>
                      </c:pt>
                      <c:pt idx="21">
                        <c:v>2.35</c:v>
                      </c:pt>
                      <c:pt idx="22">
                        <c:v>2.46</c:v>
                      </c:pt>
                      <c:pt idx="23">
                        <c:v>2.34</c:v>
                      </c:pt>
                      <c:pt idx="24">
                        <c:v>2.34</c:v>
                      </c:pt>
                      <c:pt idx="25">
                        <c:v>2.37</c:v>
                      </c:pt>
                      <c:pt idx="26">
                        <c:v>2.2799999999999998</c:v>
                      </c:pt>
                      <c:pt idx="27">
                        <c:v>2.3199999999999998</c:v>
                      </c:pt>
                      <c:pt idx="28">
                        <c:v>2.37</c:v>
                      </c:pt>
                      <c:pt idx="29">
                        <c:v>2.36</c:v>
                      </c:pt>
                      <c:pt idx="30">
                        <c:v>2.34</c:v>
                      </c:pt>
                      <c:pt idx="31">
                        <c:v>2.2999999999999998</c:v>
                      </c:pt>
                      <c:pt idx="32">
                        <c:v>2.39</c:v>
                      </c:pt>
                      <c:pt idx="33">
                        <c:v>2.41</c:v>
                      </c:pt>
                      <c:pt idx="34">
                        <c:v>2.3562500000000002</c:v>
                      </c:pt>
                      <c:pt idx="37" formatCode="General">
                        <c:v>0</c:v>
                      </c:pt>
                      <c:pt idx="38">
                        <c:v>6.4045983590688457E-2</c:v>
                      </c:pt>
                      <c:pt idx="39">
                        <c:v>1.81966215784761E-2</c:v>
                      </c:pt>
                      <c:pt idx="42" formatCode="General">
                        <c:v>0</c:v>
                      </c:pt>
                      <c:pt idx="43">
                        <c:v>19.942536693436715</c:v>
                      </c:pt>
                      <c:pt idx="44">
                        <c:v>67.203582687851011</c:v>
                      </c:pt>
                      <c:pt idx="45">
                        <c:v>36.584189608821283</c:v>
                      </c:pt>
                      <c:pt idx="46">
                        <c:v>34.920409770511178</c:v>
                      </c:pt>
                      <c:pt idx="47">
                        <c:v>33.875504666093043</c:v>
                      </c:pt>
                      <c:pt idx="67" formatCode="General">
                        <c:v>0.66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FFC-427C-873D-9EBA256ECF17}"/>
                  </c:ext>
                </c:extLst>
              </c15:ser>
            </c15:filteredScatterSeries>
          </c:ext>
        </c:extLst>
      </c:scatterChart>
      <c:valAx>
        <c:axId val="493783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r>
                  <a:rPr lang="es-CL"/>
                  <a:t>Recuperación Fe</a:t>
                </a:r>
                <a:r>
                  <a:rPr lang="es-CL" baseline="0"/>
                  <a:t> %</a:t>
                </a: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ource Sans Pro" panose="020B0503030403020204" pitchFamily="34" charset="0"/>
                  <a:ea typeface="+mn-ea"/>
                  <a:cs typeface="+mn-cs"/>
                </a:defRPr>
              </a:pPr>
              <a:endParaRPr lang="es-CL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endParaRPr lang="es-CL"/>
          </a:p>
        </c:txPr>
        <c:crossAx val="493784351"/>
        <c:crosses val="autoZero"/>
        <c:crossBetween val="midCat"/>
      </c:valAx>
      <c:valAx>
        <c:axId val="49378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r>
                  <a:rPr lang="es-CL"/>
                  <a:t>Ley Cu Concentrado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ource Sans Pro" panose="020B0503030403020204" pitchFamily="34" charset="0"/>
                  <a:ea typeface="+mn-ea"/>
                  <a:cs typeface="+mn-cs"/>
                </a:defRPr>
              </a:pPr>
              <a:endParaRPr lang="es-C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endParaRPr lang="es-CL"/>
          </a:p>
        </c:txPr>
        <c:crossAx val="493783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ource Sans Pro" panose="020B0503030403020204" pitchFamily="34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Source Sans Pro" panose="020B0503030403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r>
              <a:rPr lang="en-US" b="1"/>
              <a:t>Variaciones de la Recuperación de Cu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ource Sans Pro" panose="020B0503030403020204" pitchFamily="34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Pilotaje</c:v>
          </c:tx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31C-4CB1-A618-413EF07A6133}"/>
              </c:ext>
            </c:extLst>
          </c:dPt>
          <c:cat>
            <c:strRef>
              <c:f>'13. Pilotaje Rougher'!$E$19:$E$52</c:f>
              <c:strCache>
                <c:ptCount val="34"/>
                <c:pt idx="0">
                  <c:v>Cu</c:v>
                </c:pt>
                <c:pt idx="1">
                  <c:v>Cu</c:v>
                </c:pt>
                <c:pt idx="2">
                  <c:v>Cu</c:v>
                </c:pt>
                <c:pt idx="3">
                  <c:v>Cu</c:v>
                </c:pt>
                <c:pt idx="4">
                  <c:v>Cu</c:v>
                </c:pt>
                <c:pt idx="5">
                  <c:v>Cu</c:v>
                </c:pt>
                <c:pt idx="6">
                  <c:v>Cu</c:v>
                </c:pt>
                <c:pt idx="7">
                  <c:v>Cu</c:v>
                </c:pt>
                <c:pt idx="8">
                  <c:v>Cu</c:v>
                </c:pt>
                <c:pt idx="9">
                  <c:v>Cu</c:v>
                </c:pt>
                <c:pt idx="10">
                  <c:v>Cu</c:v>
                </c:pt>
                <c:pt idx="11">
                  <c:v>Cu</c:v>
                </c:pt>
                <c:pt idx="12">
                  <c:v>Cu</c:v>
                </c:pt>
                <c:pt idx="13">
                  <c:v>Cu</c:v>
                </c:pt>
                <c:pt idx="14">
                  <c:v>Cu</c:v>
                </c:pt>
                <c:pt idx="15">
                  <c:v>Cu</c:v>
                </c:pt>
                <c:pt idx="16">
                  <c:v>Cu</c:v>
                </c:pt>
                <c:pt idx="17">
                  <c:v>Cu</c:v>
                </c:pt>
                <c:pt idx="18">
                  <c:v>Cu</c:v>
                </c:pt>
                <c:pt idx="19">
                  <c:v>Cu</c:v>
                </c:pt>
                <c:pt idx="20">
                  <c:v>Cu</c:v>
                </c:pt>
                <c:pt idx="21">
                  <c:v>Cu</c:v>
                </c:pt>
                <c:pt idx="22">
                  <c:v>Cu</c:v>
                </c:pt>
                <c:pt idx="23">
                  <c:v>Cu</c:v>
                </c:pt>
                <c:pt idx="24">
                  <c:v>Cu</c:v>
                </c:pt>
                <c:pt idx="25">
                  <c:v>Cu</c:v>
                </c:pt>
                <c:pt idx="26">
                  <c:v>Cu</c:v>
                </c:pt>
                <c:pt idx="27">
                  <c:v>Cu</c:v>
                </c:pt>
                <c:pt idx="28">
                  <c:v>Cu</c:v>
                </c:pt>
                <c:pt idx="29">
                  <c:v>Cu</c:v>
                </c:pt>
                <c:pt idx="30">
                  <c:v>Cu</c:v>
                </c:pt>
                <c:pt idx="31">
                  <c:v>Cu</c:v>
                </c:pt>
                <c:pt idx="32">
                  <c:v>Cu</c:v>
                </c:pt>
                <c:pt idx="33">
                  <c:v>Cu</c:v>
                </c:pt>
              </c:strCache>
            </c:strRef>
          </c:cat>
          <c:val>
            <c:numRef>
              <c:f>'13. Pilotaje Rougher'!$K$19:$K$52</c:f>
              <c:numCache>
                <c:formatCode>0</c:formatCode>
                <c:ptCount val="34"/>
                <c:pt idx="0">
                  <c:v>86.345466728301076</c:v>
                </c:pt>
                <c:pt idx="1">
                  <c:v>78.903949456825416</c:v>
                </c:pt>
                <c:pt idx="2">
                  <c:v>83.599805301625324</c:v>
                </c:pt>
                <c:pt idx="3">
                  <c:v>83.117428633835715</c:v>
                </c:pt>
                <c:pt idx="4">
                  <c:v>78.227202095427174</c:v>
                </c:pt>
                <c:pt idx="5">
                  <c:v>81.094702297233951</c:v>
                </c:pt>
                <c:pt idx="6">
                  <c:v>80.124874510807373</c:v>
                </c:pt>
                <c:pt idx="7">
                  <c:v>80.570501568940827</c:v>
                </c:pt>
                <c:pt idx="8">
                  <c:v>80.943136493593585</c:v>
                </c:pt>
                <c:pt idx="9">
                  <c:v>80.399944512991979</c:v>
                </c:pt>
                <c:pt idx="10">
                  <c:v>80.577064153775609</c:v>
                </c:pt>
                <c:pt idx="11">
                  <c:v>75.139695742134549</c:v>
                </c:pt>
                <c:pt idx="12">
                  <c:v>79.048176561809967</c:v>
                </c:pt>
                <c:pt idx="13">
                  <c:v>78.066685745597113</c:v>
                </c:pt>
                <c:pt idx="14">
                  <c:v>74.709939180158031</c:v>
                </c:pt>
                <c:pt idx="15">
                  <c:v>74.079827986075429</c:v>
                </c:pt>
                <c:pt idx="16">
                  <c:v>82.600628033114461</c:v>
                </c:pt>
                <c:pt idx="17">
                  <c:v>85.523828390310157</c:v>
                </c:pt>
                <c:pt idx="18">
                  <c:v>83.828025237307415</c:v>
                </c:pt>
                <c:pt idx="19">
                  <c:v>82.330839335244619</c:v>
                </c:pt>
                <c:pt idx="20">
                  <c:v>83.3888595580962</c:v>
                </c:pt>
                <c:pt idx="21">
                  <c:v>84.222682051239346</c:v>
                </c:pt>
                <c:pt idx="22">
                  <c:v>81.528161281906335</c:v>
                </c:pt>
                <c:pt idx="23">
                  <c:v>84.633440669844248</c:v>
                </c:pt>
                <c:pt idx="24">
                  <c:v>84.53089361294532</c:v>
                </c:pt>
                <c:pt idx="25">
                  <c:v>84.173557509599135</c:v>
                </c:pt>
                <c:pt idx="26">
                  <c:v>85.734761501117347</c:v>
                </c:pt>
                <c:pt idx="27">
                  <c:v>86.915972065780593</c:v>
                </c:pt>
                <c:pt idx="28">
                  <c:v>86.067613895808009</c:v>
                </c:pt>
                <c:pt idx="29">
                  <c:v>85.143989604084297</c:v>
                </c:pt>
                <c:pt idx="30">
                  <c:v>85.614198254144952</c:v>
                </c:pt>
                <c:pt idx="31">
                  <c:v>85.061105518949205</c:v>
                </c:pt>
                <c:pt idx="32">
                  <c:v>84.903658139155951</c:v>
                </c:pt>
                <c:pt idx="33">
                  <c:v>81.94274408263982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1C-4CB1-A618-413EF07A6133}"/>
            </c:ext>
          </c:extLst>
        </c:ser>
        <c:ser>
          <c:idx val="1"/>
          <c:order val="1"/>
          <c:tx>
            <c:v>Estándar</c:v>
          </c:tx>
          <c:spPr>
            <a:solidFill>
              <a:schemeClr val="accent2"/>
            </a:solidFill>
            <a:ln w="25400">
              <a:noFill/>
            </a:ln>
            <a:effectLst/>
          </c:spPr>
          <c:invertIfNegative val="0"/>
          <c:cat>
            <c:strRef>
              <c:f>'13. Pilotaje Rougher'!$E$19</c:f>
              <c:strCache>
                <c:ptCount val="1"/>
                <c:pt idx="0">
                  <c:v>Cu</c:v>
                </c:pt>
              </c:strCache>
            </c:strRef>
          </c:cat>
          <c:val>
            <c:numRef>
              <c:f>'13. Pilotaje Rougher'!$K$19</c:f>
              <c:numCache>
                <c:formatCode>0</c:formatCode>
                <c:ptCount val="1"/>
                <c:pt idx="0">
                  <c:v>86.345466728301076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1C-4CB1-A618-413EF07A6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3783871"/>
        <c:axId val="493784351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v>Cu Cabeza</c:v>
                </c:tx>
                <c:spPr>
                  <a:solidFill>
                    <a:schemeClr val="accent3"/>
                  </a:solidFill>
                  <a:ln>
                    <a:solidFill>
                      <a:schemeClr val="accent2"/>
                    </a:solidFill>
                    <a:prstDash val="sysDash"/>
                  </a:ln>
                  <a:effectLst/>
                </c:spPr>
                <c:invertIfNegative val="0"/>
                <c:trendline>
                  <c:spPr>
                    <a:ln w="19050" cap="rnd">
                      <a:solidFill>
                        <a:schemeClr val="accent2"/>
                      </a:solidFill>
                      <a:prstDash val="sysDash"/>
                    </a:ln>
                    <a:effectLst/>
                  </c:spPr>
                  <c:trendlineType val="linear"/>
                  <c:dispRSqr val="0"/>
                  <c:dispEq val="0"/>
                </c:trendline>
                <c:cat>
                  <c:strRef>
                    <c:extLst>
                      <c:ext uri="{02D57815-91ED-43cb-92C2-25804820EDAC}">
                        <c15:formulaRef>
                          <c15:sqref>'13. Pilotaje Rougher'!$E$19:$E$89</c15:sqref>
                        </c15:formulaRef>
                      </c:ext>
                    </c:extLst>
                    <c:strCache>
                      <c:ptCount val="46"/>
                      <c:pt idx="0">
                        <c:v>Cu</c:v>
                      </c:pt>
                      <c:pt idx="1">
                        <c:v>Cu</c:v>
                      </c:pt>
                      <c:pt idx="2">
                        <c:v>Cu</c:v>
                      </c:pt>
                      <c:pt idx="3">
                        <c:v>Cu</c:v>
                      </c:pt>
                      <c:pt idx="4">
                        <c:v>Cu</c:v>
                      </c:pt>
                      <c:pt idx="5">
                        <c:v>Cu</c:v>
                      </c:pt>
                      <c:pt idx="6">
                        <c:v>Cu</c:v>
                      </c:pt>
                      <c:pt idx="7">
                        <c:v>Cu</c:v>
                      </c:pt>
                      <c:pt idx="8">
                        <c:v>Cu</c:v>
                      </c:pt>
                      <c:pt idx="9">
                        <c:v>Cu</c:v>
                      </c:pt>
                      <c:pt idx="10">
                        <c:v>Cu</c:v>
                      </c:pt>
                      <c:pt idx="11">
                        <c:v>Cu</c:v>
                      </c:pt>
                      <c:pt idx="12">
                        <c:v>Cu</c:v>
                      </c:pt>
                      <c:pt idx="13">
                        <c:v>Cu</c:v>
                      </c:pt>
                      <c:pt idx="14">
                        <c:v>Cu</c:v>
                      </c:pt>
                      <c:pt idx="15">
                        <c:v>Cu</c:v>
                      </c:pt>
                      <c:pt idx="16">
                        <c:v>Cu</c:v>
                      </c:pt>
                      <c:pt idx="17">
                        <c:v>Cu</c:v>
                      </c:pt>
                      <c:pt idx="18">
                        <c:v>Cu</c:v>
                      </c:pt>
                      <c:pt idx="19">
                        <c:v>Cu</c:v>
                      </c:pt>
                      <c:pt idx="20">
                        <c:v>Cu</c:v>
                      </c:pt>
                      <c:pt idx="21">
                        <c:v>Cu</c:v>
                      </c:pt>
                      <c:pt idx="22">
                        <c:v>Cu</c:v>
                      </c:pt>
                      <c:pt idx="23">
                        <c:v>Cu</c:v>
                      </c:pt>
                      <c:pt idx="24">
                        <c:v>Cu</c:v>
                      </c:pt>
                      <c:pt idx="25">
                        <c:v>Cu</c:v>
                      </c:pt>
                      <c:pt idx="26">
                        <c:v>Cu</c:v>
                      </c:pt>
                      <c:pt idx="27">
                        <c:v>Cu</c:v>
                      </c:pt>
                      <c:pt idx="28">
                        <c:v>Cu</c:v>
                      </c:pt>
                      <c:pt idx="29">
                        <c:v>Cu</c:v>
                      </c:pt>
                      <c:pt idx="30">
                        <c:v>Cu</c:v>
                      </c:pt>
                      <c:pt idx="31">
                        <c:v>Cu</c:v>
                      </c:pt>
                      <c:pt idx="32">
                        <c:v>Cu</c:v>
                      </c:pt>
                      <c:pt idx="33">
                        <c:v>Cu</c:v>
                      </c:pt>
                      <c:pt idx="35">
                        <c:v>Cond #1</c:v>
                      </c:pt>
                      <c:pt idx="36">
                        <c:v>Cond #2</c:v>
                      </c:pt>
                      <c:pt idx="37">
                        <c:v>Conc. Ro</c:v>
                      </c:pt>
                      <c:pt idx="38">
                        <c:v>0.31</c:v>
                      </c:pt>
                      <c:pt idx="39">
                        <c:v>0.25</c:v>
                      </c:pt>
                      <c:pt idx="40">
                        <c:v>5.16</c:v>
                      </c:pt>
                      <c:pt idx="41">
                        <c:v>3.21</c:v>
                      </c:pt>
                      <c:pt idx="42">
                        <c:v>1.62</c:v>
                      </c:pt>
                      <c:pt idx="43">
                        <c:v>0.81</c:v>
                      </c:pt>
                      <c:pt idx="44">
                        <c:v>8.39</c:v>
                      </c:pt>
                      <c:pt idx="45">
                        <c:v>4.84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'13. Pilotaje Rougher'!$M$19:$M$86</c15:sqref>
                        </c15:formulaRef>
                      </c:ext>
                    </c:extLst>
                    <c:numCache>
                      <c:formatCode>0.00</c:formatCode>
                      <c:ptCount val="68"/>
                      <c:pt idx="0" formatCode="0.000">
                        <c:v>1.95</c:v>
                      </c:pt>
                      <c:pt idx="1">
                        <c:v>1.87</c:v>
                      </c:pt>
                      <c:pt idx="2">
                        <c:v>2.11</c:v>
                      </c:pt>
                      <c:pt idx="3">
                        <c:v>2.2400000000000002</c:v>
                      </c:pt>
                      <c:pt idx="4">
                        <c:v>2.4</c:v>
                      </c:pt>
                      <c:pt idx="5">
                        <c:v>2.33</c:v>
                      </c:pt>
                      <c:pt idx="6">
                        <c:v>2.4700000000000002</c:v>
                      </c:pt>
                      <c:pt idx="7">
                        <c:v>2.3199999999999998</c:v>
                      </c:pt>
                      <c:pt idx="8">
                        <c:v>2.5</c:v>
                      </c:pt>
                      <c:pt idx="9">
                        <c:v>2.33</c:v>
                      </c:pt>
                      <c:pt idx="10">
                        <c:v>2.33</c:v>
                      </c:pt>
                      <c:pt idx="11">
                        <c:v>2.4300000000000002</c:v>
                      </c:pt>
                      <c:pt idx="12">
                        <c:v>2.2799999999999998</c:v>
                      </c:pt>
                      <c:pt idx="13">
                        <c:v>2.42</c:v>
                      </c:pt>
                      <c:pt idx="14">
                        <c:v>2.2999999999999998</c:v>
                      </c:pt>
                      <c:pt idx="15">
                        <c:v>2.4</c:v>
                      </c:pt>
                      <c:pt idx="16">
                        <c:v>2.39</c:v>
                      </c:pt>
                      <c:pt idx="17">
                        <c:v>2.27</c:v>
                      </c:pt>
                      <c:pt idx="18">
                        <c:v>2.38</c:v>
                      </c:pt>
                      <c:pt idx="19">
                        <c:v>2.33</c:v>
                      </c:pt>
                      <c:pt idx="20">
                        <c:v>2.36</c:v>
                      </c:pt>
                      <c:pt idx="21">
                        <c:v>2.35</c:v>
                      </c:pt>
                      <c:pt idx="22">
                        <c:v>2.46</c:v>
                      </c:pt>
                      <c:pt idx="23">
                        <c:v>2.34</c:v>
                      </c:pt>
                      <c:pt idx="24">
                        <c:v>2.34</c:v>
                      </c:pt>
                      <c:pt idx="25">
                        <c:v>2.37</c:v>
                      </c:pt>
                      <c:pt idx="26">
                        <c:v>2.2799999999999998</c:v>
                      </c:pt>
                      <c:pt idx="27">
                        <c:v>2.3199999999999998</c:v>
                      </c:pt>
                      <c:pt idx="28">
                        <c:v>2.37</c:v>
                      </c:pt>
                      <c:pt idx="29">
                        <c:v>2.36</c:v>
                      </c:pt>
                      <c:pt idx="30">
                        <c:v>2.34</c:v>
                      </c:pt>
                      <c:pt idx="31">
                        <c:v>2.2999999999999998</c:v>
                      </c:pt>
                      <c:pt idx="32">
                        <c:v>2.39</c:v>
                      </c:pt>
                      <c:pt idx="33">
                        <c:v>2.41</c:v>
                      </c:pt>
                      <c:pt idx="34">
                        <c:v>2.3562500000000002</c:v>
                      </c:pt>
                      <c:pt idx="37" formatCode="General">
                        <c:v>0</c:v>
                      </c:pt>
                      <c:pt idx="38">
                        <c:v>6.4045983590688457E-2</c:v>
                      </c:pt>
                      <c:pt idx="39">
                        <c:v>1.81966215784761E-2</c:v>
                      </c:pt>
                      <c:pt idx="42" formatCode="General">
                        <c:v>0</c:v>
                      </c:pt>
                      <c:pt idx="43">
                        <c:v>19.942536693436715</c:v>
                      </c:pt>
                      <c:pt idx="44">
                        <c:v>67.203582687851011</c:v>
                      </c:pt>
                      <c:pt idx="45">
                        <c:v>36.584189608821283</c:v>
                      </c:pt>
                      <c:pt idx="46">
                        <c:v>34.920409770511178</c:v>
                      </c:pt>
                      <c:pt idx="47">
                        <c:v>33.875504666093043</c:v>
                      </c:pt>
                      <c:pt idx="67" formatCode="General">
                        <c:v>0.66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531C-4CB1-A618-413EF07A6133}"/>
                  </c:ext>
                </c:extLst>
              </c15:ser>
            </c15:filteredBarSeries>
          </c:ext>
        </c:extLst>
      </c:barChart>
      <c:catAx>
        <c:axId val="49378387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493784351"/>
        <c:crosses val="autoZero"/>
        <c:auto val="1"/>
        <c:lblAlgn val="ctr"/>
        <c:lblOffset val="100"/>
        <c:noMultiLvlLbl val="0"/>
      </c:catAx>
      <c:valAx>
        <c:axId val="4937843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r>
                  <a:rPr lang="es-CL"/>
                  <a:t>Recuperación Cu</a:t>
                </a:r>
                <a:r>
                  <a:rPr lang="es-CL" baseline="0"/>
                  <a:t> %</a:t>
                </a: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ource Sans Pro" panose="020B0503030403020204" pitchFamily="34" charset="0"/>
                  <a:ea typeface="+mn-ea"/>
                  <a:cs typeface="+mn-cs"/>
                </a:defRPr>
              </a:pPr>
              <a:endParaRPr lang="es-C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endParaRPr lang="es-CL"/>
          </a:p>
        </c:txPr>
        <c:crossAx val="493783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ource Sans Pro" panose="020B0503030403020204" pitchFamily="34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Source Sans Pro" panose="020B0503030403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  <c:userShapes r:id="rId3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r>
              <a:rPr lang="en-US" b="1"/>
              <a:t>Mass</a:t>
            </a:r>
            <a:r>
              <a:rPr lang="en-US" b="1" baseline="0"/>
              <a:t> Pull vs Ley Cu Concentrado Rougher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ource Sans Pro" panose="020B0503030403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Pilotaje #1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'13. Pilotaje Rougher'!$I$20:$I$36</c:f>
              <c:numCache>
                <c:formatCode>0.00</c:formatCode>
                <c:ptCount val="17"/>
                <c:pt idx="0">
                  <c:v>23.068893528183711</c:v>
                </c:pt>
                <c:pt idx="1">
                  <c:v>15.618353084168945</c:v>
                </c:pt>
                <c:pt idx="2">
                  <c:v>14.795772636389604</c:v>
                </c:pt>
                <c:pt idx="3">
                  <c:v>7.9736408566721577</c:v>
                </c:pt>
                <c:pt idx="4">
                  <c:v>10.388888888888889</c:v>
                </c:pt>
                <c:pt idx="5">
                  <c:v>7.2947913826015816</c:v>
                </c:pt>
                <c:pt idx="6">
                  <c:v>11.305601317957164</c:v>
                </c:pt>
                <c:pt idx="7">
                  <c:v>9.184188393608073</c:v>
                </c:pt>
                <c:pt idx="8">
                  <c:v>9.7132927888792331</c:v>
                </c:pt>
                <c:pt idx="9">
                  <c:v>18.659098971266403</c:v>
                </c:pt>
                <c:pt idx="10">
                  <c:v>8.1663077687593191</c:v>
                </c:pt>
                <c:pt idx="11">
                  <c:v>9.1653865847414231</c:v>
                </c:pt>
                <c:pt idx="12">
                  <c:v>8.6557705136757832</c:v>
                </c:pt>
                <c:pt idx="13">
                  <c:v>7.4057450628366261</c:v>
                </c:pt>
                <c:pt idx="14">
                  <c:v>7.311636201515828</c:v>
                </c:pt>
                <c:pt idx="15">
                  <c:v>14.516129032258066</c:v>
                </c:pt>
                <c:pt idx="16">
                  <c:v>17.559429477020601</c:v>
                </c:pt>
              </c:numCache>
            </c:numRef>
          </c:xVal>
          <c:yVal>
            <c:numRef>
              <c:f>'13. Pilotaje Rougher'!$H$20:$H$36</c:f>
              <c:numCache>
                <c:formatCode>0.00</c:formatCode>
                <c:ptCount val="17"/>
                <c:pt idx="0">
                  <c:v>2.0830000000000002</c:v>
                </c:pt>
                <c:pt idx="1">
                  <c:v>3.415</c:v>
                </c:pt>
                <c:pt idx="2">
                  <c:v>3.629</c:v>
                </c:pt>
                <c:pt idx="3">
                  <c:v>6.22</c:v>
                </c:pt>
                <c:pt idx="4">
                  <c:v>5.55</c:v>
                </c:pt>
                <c:pt idx="5">
                  <c:v>7.48</c:v>
                </c:pt>
                <c:pt idx="6">
                  <c:v>5.01</c:v>
                </c:pt>
                <c:pt idx="7">
                  <c:v>6.09</c:v>
                </c:pt>
                <c:pt idx="8">
                  <c:v>5.91</c:v>
                </c:pt>
                <c:pt idx="9">
                  <c:v>2.984</c:v>
                </c:pt>
                <c:pt idx="10">
                  <c:v>6.22</c:v>
                </c:pt>
                <c:pt idx="11">
                  <c:v>6.02</c:v>
                </c:pt>
                <c:pt idx="12">
                  <c:v>6.16</c:v>
                </c:pt>
                <c:pt idx="13">
                  <c:v>6.87</c:v>
                </c:pt>
                <c:pt idx="14">
                  <c:v>6.92</c:v>
                </c:pt>
                <c:pt idx="15">
                  <c:v>3.8580000000000001</c:v>
                </c:pt>
                <c:pt idx="16">
                  <c:v>3.2730000000000001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E6-4648-8987-AAECFCB4BCB3}"/>
            </c:ext>
          </c:extLst>
        </c:ser>
        <c:ser>
          <c:idx val="3"/>
          <c:order val="3"/>
          <c:tx>
            <c:v>Pilotaje #2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'13. Pilotaje Rougher'!$I$37:$I$52</c:f>
              <c:numCache>
                <c:formatCode>0.00</c:formatCode>
                <c:ptCount val="16"/>
                <c:pt idx="0">
                  <c:v>15.066269948606978</c:v>
                </c:pt>
                <c:pt idx="1">
                  <c:v>17.015873015873019</c:v>
                </c:pt>
                <c:pt idx="2">
                  <c:v>10.916061339790154</c:v>
                </c:pt>
                <c:pt idx="3">
                  <c:v>20.874359984245768</c:v>
                </c:pt>
                <c:pt idx="4">
                  <c:v>17.055485498108446</c:v>
                </c:pt>
                <c:pt idx="5">
                  <c:v>13.297624592454587</c:v>
                </c:pt>
                <c:pt idx="6">
                  <c:v>18.993839835728956</c:v>
                </c:pt>
                <c:pt idx="7">
                  <c:v>16.606822262118492</c:v>
                </c:pt>
                <c:pt idx="8">
                  <c:v>16.603221083455345</c:v>
                </c:pt>
                <c:pt idx="9">
                  <c:v>22.837783977680353</c:v>
                </c:pt>
                <c:pt idx="10">
                  <c:v>19.098497495826376</c:v>
                </c:pt>
                <c:pt idx="11">
                  <c:v>21.309569934134061</c:v>
                </c:pt>
                <c:pt idx="12">
                  <c:v>26.881188118811885</c:v>
                </c:pt>
                <c:pt idx="13">
                  <c:v>27.063044592516661</c:v>
                </c:pt>
                <c:pt idx="14">
                  <c:v>25.069252077562332</c:v>
                </c:pt>
                <c:pt idx="15">
                  <c:v>15.031953320366769</c:v>
                </c:pt>
              </c:numCache>
            </c:numRef>
          </c:xVal>
          <c:yVal>
            <c:numRef>
              <c:f>'13. Pilotaje Rougher'!$H$37:$H$52</c:f>
              <c:numCache>
                <c:formatCode>0.00</c:formatCode>
                <c:ptCount val="16"/>
                <c:pt idx="0">
                  <c:v>3.8279999999999998</c:v>
                </c:pt>
                <c:pt idx="1">
                  <c:v>3.2949999999999999</c:v>
                </c:pt>
                <c:pt idx="2">
                  <c:v>5.08</c:v>
                </c:pt>
                <c:pt idx="3">
                  <c:v>2.6709999999999998</c:v>
                </c:pt>
                <c:pt idx="4">
                  <c:v>3.327</c:v>
                </c:pt>
                <c:pt idx="5">
                  <c:v>4.4169999999999998</c:v>
                </c:pt>
                <c:pt idx="6">
                  <c:v>3.0529999999999999</c:v>
                </c:pt>
                <c:pt idx="7">
                  <c:v>3.472</c:v>
                </c:pt>
                <c:pt idx="8">
                  <c:v>3.532</c:v>
                </c:pt>
                <c:pt idx="9">
                  <c:v>2.6259999999999999</c:v>
                </c:pt>
                <c:pt idx="10">
                  <c:v>3.1139999999999999</c:v>
                </c:pt>
                <c:pt idx="11">
                  <c:v>2.7090000000000001</c:v>
                </c:pt>
                <c:pt idx="12">
                  <c:v>2.153</c:v>
                </c:pt>
                <c:pt idx="13">
                  <c:v>2.0870000000000002</c:v>
                </c:pt>
                <c:pt idx="14">
                  <c:v>2.3029999999999999</c:v>
                </c:pt>
                <c:pt idx="15">
                  <c:v>3.7450000000000001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27-40FE-BBD8-3A357EC5F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3783871"/>
        <c:axId val="493784351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Estándar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'13. Pilotaje Rougher'!$I$19</c15:sqref>
                        </c15:formulaRef>
                      </c:ext>
                    </c:extLst>
                    <c:numCache>
                      <c:formatCode>0</c:formatCode>
                      <c:ptCount val="1"/>
                      <c:pt idx="0">
                        <c:v>12.537733950493056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'13. Pilotaje Rougher'!$H$19</c15:sqref>
                        </c15:formulaRef>
                      </c:ext>
                    </c:extLst>
                    <c:numCache>
                      <c:formatCode>0.000</c:formatCode>
                      <c:ptCount val="1"/>
                      <c:pt idx="0">
                        <c:v>4.46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C8E6-4648-8987-AAECFCB4BCB3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Cu Cabeza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2"/>
                      </a:solidFill>
                      <a:prstDash val="sysDash"/>
                    </a:ln>
                    <a:effectLst/>
                  </c:spPr>
                  <c:trendlineType val="linear"/>
                  <c:dispRSqr val="0"/>
                  <c:dispEq val="0"/>
                </c:trendline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'13. Pilotaje Rougher'!$E$19:$E$89</c15:sqref>
                        </c15:formulaRef>
                      </c:ext>
                    </c:extLst>
                    <c:strCache>
                      <c:ptCount val="46"/>
                      <c:pt idx="0">
                        <c:v>Cu</c:v>
                      </c:pt>
                      <c:pt idx="1">
                        <c:v>Cu</c:v>
                      </c:pt>
                      <c:pt idx="2">
                        <c:v>Cu</c:v>
                      </c:pt>
                      <c:pt idx="3">
                        <c:v>Cu</c:v>
                      </c:pt>
                      <c:pt idx="4">
                        <c:v>Cu</c:v>
                      </c:pt>
                      <c:pt idx="5">
                        <c:v>Cu</c:v>
                      </c:pt>
                      <c:pt idx="6">
                        <c:v>Cu</c:v>
                      </c:pt>
                      <c:pt idx="7">
                        <c:v>Cu</c:v>
                      </c:pt>
                      <c:pt idx="8">
                        <c:v>Cu</c:v>
                      </c:pt>
                      <c:pt idx="9">
                        <c:v>Cu</c:v>
                      </c:pt>
                      <c:pt idx="10">
                        <c:v>Cu</c:v>
                      </c:pt>
                      <c:pt idx="11">
                        <c:v>Cu</c:v>
                      </c:pt>
                      <c:pt idx="12">
                        <c:v>Cu</c:v>
                      </c:pt>
                      <c:pt idx="13">
                        <c:v>Cu</c:v>
                      </c:pt>
                      <c:pt idx="14">
                        <c:v>Cu</c:v>
                      </c:pt>
                      <c:pt idx="15">
                        <c:v>Cu</c:v>
                      </c:pt>
                      <c:pt idx="16">
                        <c:v>Cu</c:v>
                      </c:pt>
                      <c:pt idx="17">
                        <c:v>Cu</c:v>
                      </c:pt>
                      <c:pt idx="18">
                        <c:v>Cu</c:v>
                      </c:pt>
                      <c:pt idx="19">
                        <c:v>Cu</c:v>
                      </c:pt>
                      <c:pt idx="20">
                        <c:v>Cu</c:v>
                      </c:pt>
                      <c:pt idx="21">
                        <c:v>Cu</c:v>
                      </c:pt>
                      <c:pt idx="22">
                        <c:v>Cu</c:v>
                      </c:pt>
                      <c:pt idx="23">
                        <c:v>Cu</c:v>
                      </c:pt>
                      <c:pt idx="24">
                        <c:v>Cu</c:v>
                      </c:pt>
                      <c:pt idx="25">
                        <c:v>Cu</c:v>
                      </c:pt>
                      <c:pt idx="26">
                        <c:v>Cu</c:v>
                      </c:pt>
                      <c:pt idx="27">
                        <c:v>Cu</c:v>
                      </c:pt>
                      <c:pt idx="28">
                        <c:v>Cu</c:v>
                      </c:pt>
                      <c:pt idx="29">
                        <c:v>Cu</c:v>
                      </c:pt>
                      <c:pt idx="30">
                        <c:v>Cu</c:v>
                      </c:pt>
                      <c:pt idx="31">
                        <c:v>Cu</c:v>
                      </c:pt>
                      <c:pt idx="32">
                        <c:v>Cu</c:v>
                      </c:pt>
                      <c:pt idx="33">
                        <c:v>Cu</c:v>
                      </c:pt>
                      <c:pt idx="35">
                        <c:v>Cond #1</c:v>
                      </c:pt>
                      <c:pt idx="36">
                        <c:v>Cond #2</c:v>
                      </c:pt>
                      <c:pt idx="37">
                        <c:v>Conc. Ro</c:v>
                      </c:pt>
                      <c:pt idx="38">
                        <c:v>0.31</c:v>
                      </c:pt>
                      <c:pt idx="39">
                        <c:v>0.25</c:v>
                      </c:pt>
                      <c:pt idx="40">
                        <c:v>5.16</c:v>
                      </c:pt>
                      <c:pt idx="41">
                        <c:v>3.21</c:v>
                      </c:pt>
                      <c:pt idx="42">
                        <c:v>1.62</c:v>
                      </c:pt>
                      <c:pt idx="43">
                        <c:v>0.81</c:v>
                      </c:pt>
                      <c:pt idx="44">
                        <c:v>8.39</c:v>
                      </c:pt>
                      <c:pt idx="45">
                        <c:v>4.84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'13. Pilotaje Rougher'!$M$19:$M$86</c15:sqref>
                        </c15:formulaRef>
                      </c:ext>
                    </c:extLst>
                    <c:numCache>
                      <c:formatCode>0.00</c:formatCode>
                      <c:ptCount val="68"/>
                      <c:pt idx="0" formatCode="0.000">
                        <c:v>1.95</c:v>
                      </c:pt>
                      <c:pt idx="1">
                        <c:v>1.87</c:v>
                      </c:pt>
                      <c:pt idx="2">
                        <c:v>2.11</c:v>
                      </c:pt>
                      <c:pt idx="3">
                        <c:v>2.2400000000000002</c:v>
                      </c:pt>
                      <c:pt idx="4">
                        <c:v>2.4</c:v>
                      </c:pt>
                      <c:pt idx="5">
                        <c:v>2.33</c:v>
                      </c:pt>
                      <c:pt idx="6">
                        <c:v>2.4700000000000002</c:v>
                      </c:pt>
                      <c:pt idx="7">
                        <c:v>2.3199999999999998</c:v>
                      </c:pt>
                      <c:pt idx="8">
                        <c:v>2.5</c:v>
                      </c:pt>
                      <c:pt idx="9">
                        <c:v>2.33</c:v>
                      </c:pt>
                      <c:pt idx="10">
                        <c:v>2.33</c:v>
                      </c:pt>
                      <c:pt idx="11">
                        <c:v>2.4300000000000002</c:v>
                      </c:pt>
                      <c:pt idx="12">
                        <c:v>2.2799999999999998</c:v>
                      </c:pt>
                      <c:pt idx="13">
                        <c:v>2.42</c:v>
                      </c:pt>
                      <c:pt idx="14">
                        <c:v>2.2999999999999998</c:v>
                      </c:pt>
                      <c:pt idx="15">
                        <c:v>2.4</c:v>
                      </c:pt>
                      <c:pt idx="16">
                        <c:v>2.39</c:v>
                      </c:pt>
                      <c:pt idx="17">
                        <c:v>2.27</c:v>
                      </c:pt>
                      <c:pt idx="18">
                        <c:v>2.38</c:v>
                      </c:pt>
                      <c:pt idx="19">
                        <c:v>2.33</c:v>
                      </c:pt>
                      <c:pt idx="20">
                        <c:v>2.36</c:v>
                      </c:pt>
                      <c:pt idx="21">
                        <c:v>2.35</c:v>
                      </c:pt>
                      <c:pt idx="22">
                        <c:v>2.46</c:v>
                      </c:pt>
                      <c:pt idx="23">
                        <c:v>2.34</c:v>
                      </c:pt>
                      <c:pt idx="24">
                        <c:v>2.34</c:v>
                      </c:pt>
                      <c:pt idx="25">
                        <c:v>2.37</c:v>
                      </c:pt>
                      <c:pt idx="26">
                        <c:v>2.2799999999999998</c:v>
                      </c:pt>
                      <c:pt idx="27">
                        <c:v>2.3199999999999998</c:v>
                      </c:pt>
                      <c:pt idx="28">
                        <c:v>2.37</c:v>
                      </c:pt>
                      <c:pt idx="29">
                        <c:v>2.36</c:v>
                      </c:pt>
                      <c:pt idx="30">
                        <c:v>2.34</c:v>
                      </c:pt>
                      <c:pt idx="31">
                        <c:v>2.2999999999999998</c:v>
                      </c:pt>
                      <c:pt idx="32">
                        <c:v>2.39</c:v>
                      </c:pt>
                      <c:pt idx="33">
                        <c:v>2.41</c:v>
                      </c:pt>
                      <c:pt idx="34">
                        <c:v>2.3562500000000002</c:v>
                      </c:pt>
                      <c:pt idx="37" formatCode="General">
                        <c:v>0</c:v>
                      </c:pt>
                      <c:pt idx="38">
                        <c:v>6.4045983590688457E-2</c:v>
                      </c:pt>
                      <c:pt idx="39">
                        <c:v>1.81966215784761E-2</c:v>
                      </c:pt>
                      <c:pt idx="42" formatCode="General">
                        <c:v>0</c:v>
                      </c:pt>
                      <c:pt idx="43">
                        <c:v>19.942536693436715</c:v>
                      </c:pt>
                      <c:pt idx="44">
                        <c:v>67.203582687851011</c:v>
                      </c:pt>
                      <c:pt idx="45">
                        <c:v>36.584189608821283</c:v>
                      </c:pt>
                      <c:pt idx="46">
                        <c:v>34.920409770511178</c:v>
                      </c:pt>
                      <c:pt idx="47">
                        <c:v>33.875504666093043</c:v>
                      </c:pt>
                      <c:pt idx="67" formatCode="General">
                        <c:v>0.66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8E6-4648-8987-AAECFCB4BCB3}"/>
                  </c:ext>
                </c:extLst>
              </c15:ser>
            </c15:filteredScatterSeries>
          </c:ext>
        </c:extLst>
      </c:scatterChart>
      <c:valAx>
        <c:axId val="493783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r>
                  <a:rPr lang="en-US"/>
                  <a:t>Mas Pull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ource Sans Pro" panose="020B0503030403020204" pitchFamily="34" charset="0"/>
                  <a:ea typeface="+mn-ea"/>
                  <a:cs typeface="+mn-cs"/>
                </a:defRPr>
              </a:pPr>
              <a:endParaRPr lang="es-CL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endParaRPr lang="es-CL"/>
          </a:p>
        </c:txPr>
        <c:crossAx val="493784351"/>
        <c:crosses val="autoZero"/>
        <c:crossBetween val="midCat"/>
      </c:valAx>
      <c:valAx>
        <c:axId val="49378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r>
                  <a:rPr lang="es-CL"/>
                  <a:t>Ley Cu Concentrado Ro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ource Sans Pro" panose="020B0503030403020204" pitchFamily="34" charset="0"/>
                  <a:ea typeface="+mn-ea"/>
                  <a:cs typeface="+mn-cs"/>
                </a:defRPr>
              </a:pPr>
              <a:endParaRPr lang="es-C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endParaRPr lang="es-CL"/>
          </a:p>
        </c:txPr>
        <c:crossAx val="493783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ource Sans Pro" panose="020B0503030403020204" pitchFamily="34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Source Sans Pro" panose="020B0503030403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  <c:userShapes r:id="rId3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r>
              <a:rPr lang="en-US" b="1"/>
              <a:t>Mass</a:t>
            </a:r>
            <a:r>
              <a:rPr lang="en-US" b="1" baseline="0"/>
              <a:t> Pull vs Ley Fe Concentrado Rougher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ource Sans Pro" panose="020B0503030403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Pilotaje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'13. Pilotaje Rougher'!$P$19:$P$52</c:f>
              <c:numCache>
                <c:formatCode>0</c:formatCode>
                <c:ptCount val="34"/>
                <c:pt idx="0">
                  <c:v>12.537733950493056</c:v>
                </c:pt>
                <c:pt idx="1">
                  <c:v>15.428571428571431</c:v>
                </c:pt>
                <c:pt idx="2">
                  <c:v>17.302798982188293</c:v>
                </c:pt>
                <c:pt idx="3">
                  <c:v>15.312500000000002</c:v>
                </c:pt>
                <c:pt idx="4">
                  <c:v>9.433962264150944</c:v>
                </c:pt>
                <c:pt idx="5">
                  <c:v>12.107623318385649</c:v>
                </c:pt>
                <c:pt idx="6">
                  <c:v>5.9659090909090917</c:v>
                </c:pt>
                <c:pt idx="7">
                  <c:v>11.324376199616118</c:v>
                </c:pt>
                <c:pt idx="8">
                  <c:v>9.5846645367412169</c:v>
                </c:pt>
                <c:pt idx="9">
                  <c:v>9.4637223974763423</c:v>
                </c:pt>
                <c:pt idx="10">
                  <c:v>20.816326530612251</c:v>
                </c:pt>
                <c:pt idx="11">
                  <c:v>8.2432432432432439</c:v>
                </c:pt>
                <c:pt idx="12">
                  <c:v>7.943262411347515</c:v>
                </c:pt>
                <c:pt idx="13">
                  <c:v>8.1585081585081589</c:v>
                </c:pt>
                <c:pt idx="14">
                  <c:v>5.5732484076433098</c:v>
                </c:pt>
                <c:pt idx="15">
                  <c:v>5.4093567251462007</c:v>
                </c:pt>
                <c:pt idx="16">
                  <c:v>15.396825396825401</c:v>
                </c:pt>
                <c:pt idx="17">
                  <c:v>16.350710900473935</c:v>
                </c:pt>
                <c:pt idx="18">
                  <c:v>14.814814814814813</c:v>
                </c:pt>
                <c:pt idx="19">
                  <c:v>13.473053892215569</c:v>
                </c:pt>
                <c:pt idx="20">
                  <c:v>9.1877496671105181</c:v>
                </c:pt>
                <c:pt idx="21">
                  <c:v>19.448476052249635</c:v>
                </c:pt>
                <c:pt idx="22">
                  <c:v>15.665796344647518</c:v>
                </c:pt>
                <c:pt idx="23">
                  <c:v>10.538641686182668</c:v>
                </c:pt>
                <c:pt idx="24">
                  <c:v>19.054441260744984</c:v>
                </c:pt>
                <c:pt idx="25">
                  <c:v>13.804347826086955</c:v>
                </c:pt>
                <c:pt idx="26">
                  <c:v>10.946502057613166</c:v>
                </c:pt>
                <c:pt idx="27">
                  <c:v>22.508038585209004</c:v>
                </c:pt>
                <c:pt idx="28">
                  <c:v>14.29990069513406</c:v>
                </c:pt>
                <c:pt idx="29">
                  <c:v>20.982142857142858</c:v>
                </c:pt>
                <c:pt idx="30">
                  <c:v>28.27004219409282</c:v>
                </c:pt>
                <c:pt idx="31">
                  <c:v>27.548806941431671</c:v>
                </c:pt>
                <c:pt idx="32">
                  <c:v>23.247863247863251</c:v>
                </c:pt>
                <c:pt idx="33">
                  <c:v>13.555787278415016</c:v>
                </c:pt>
              </c:numCache>
            </c:numRef>
          </c:xVal>
          <c:yVal>
            <c:numRef>
              <c:f>'13. Pilotaje Rougher'!$O$19:$O$52</c:f>
              <c:numCache>
                <c:formatCode>0.00</c:formatCode>
                <c:ptCount val="34"/>
                <c:pt idx="0" formatCode="0.000">
                  <c:v>7.08</c:v>
                </c:pt>
                <c:pt idx="1">
                  <c:v>3.35</c:v>
                </c:pt>
                <c:pt idx="2">
                  <c:v>5.36</c:v>
                </c:pt>
                <c:pt idx="3">
                  <c:v>7.66</c:v>
                </c:pt>
                <c:pt idx="4">
                  <c:v>9.1199999999999992</c:v>
                </c:pt>
                <c:pt idx="5">
                  <c:v>8.2100000000000009</c:v>
                </c:pt>
                <c:pt idx="6">
                  <c:v>12.4</c:v>
                </c:pt>
                <c:pt idx="7">
                  <c:v>6.94</c:v>
                </c:pt>
                <c:pt idx="8">
                  <c:v>8.16</c:v>
                </c:pt>
                <c:pt idx="9">
                  <c:v>8.07</c:v>
                </c:pt>
                <c:pt idx="10">
                  <c:v>4.2699999999999996</c:v>
                </c:pt>
                <c:pt idx="11">
                  <c:v>9.2200000000000006</c:v>
                </c:pt>
                <c:pt idx="12">
                  <c:v>8.77</c:v>
                </c:pt>
                <c:pt idx="13">
                  <c:v>10.3</c:v>
                </c:pt>
                <c:pt idx="14">
                  <c:v>8.23</c:v>
                </c:pt>
                <c:pt idx="15">
                  <c:v>8.8699999999999992</c:v>
                </c:pt>
                <c:pt idx="16">
                  <c:v>7.72</c:v>
                </c:pt>
                <c:pt idx="17">
                  <c:v>9.33</c:v>
                </c:pt>
                <c:pt idx="18">
                  <c:v>10.199999999999999</c:v>
                </c:pt>
                <c:pt idx="19">
                  <c:v>11</c:v>
                </c:pt>
                <c:pt idx="20">
                  <c:v>16</c:v>
                </c:pt>
                <c:pt idx="21">
                  <c:v>7.9</c:v>
                </c:pt>
                <c:pt idx="22">
                  <c:v>8.92</c:v>
                </c:pt>
                <c:pt idx="23">
                  <c:v>13.8</c:v>
                </c:pt>
                <c:pt idx="24">
                  <c:v>7.99</c:v>
                </c:pt>
                <c:pt idx="25">
                  <c:v>10.3</c:v>
                </c:pt>
                <c:pt idx="26">
                  <c:v>13.1</c:v>
                </c:pt>
                <c:pt idx="27">
                  <c:v>7.14</c:v>
                </c:pt>
                <c:pt idx="28">
                  <c:v>11</c:v>
                </c:pt>
                <c:pt idx="29">
                  <c:v>7.67</c:v>
                </c:pt>
                <c:pt idx="30">
                  <c:v>5.74</c:v>
                </c:pt>
                <c:pt idx="31">
                  <c:v>5.64</c:v>
                </c:pt>
                <c:pt idx="32">
                  <c:v>6.88</c:v>
                </c:pt>
                <c:pt idx="33">
                  <c:v>10.7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E4-4B3B-9345-3B53C6C31D6C}"/>
            </c:ext>
          </c:extLst>
        </c:ser>
        <c:ser>
          <c:idx val="1"/>
          <c:order val="1"/>
          <c:tx>
            <c:v>Estándar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'13. Pilotaje Rougher'!$P$19</c:f>
              <c:numCache>
                <c:formatCode>0</c:formatCode>
                <c:ptCount val="1"/>
                <c:pt idx="0">
                  <c:v>12.537733950493056</c:v>
                </c:pt>
              </c:numCache>
            </c:numRef>
          </c:xVal>
          <c:yVal>
            <c:numRef>
              <c:f>'13. Pilotaje Rougher'!$H$19</c:f>
              <c:numCache>
                <c:formatCode>0.000</c:formatCode>
                <c:ptCount val="1"/>
                <c:pt idx="0">
                  <c:v>4.46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E4-4B3B-9345-3B53C6C31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3783871"/>
        <c:axId val="493784351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Cu Cabeza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2"/>
                      </a:solidFill>
                      <a:prstDash val="sysDash"/>
                    </a:ln>
                    <a:effectLst/>
                  </c:spPr>
                  <c:trendlineType val="linear"/>
                  <c:dispRSqr val="0"/>
                  <c:dispEq val="0"/>
                </c:trendline>
                <c:xVal>
                  <c:strRef>
                    <c:extLst>
                      <c:ext uri="{02D57815-91ED-43cb-92C2-25804820EDAC}">
                        <c15:formulaRef>
                          <c15:sqref>'13. Pilotaje Rougher'!$E$19:$E$89</c15:sqref>
                        </c15:formulaRef>
                      </c:ext>
                    </c:extLst>
                    <c:strCache>
                      <c:ptCount val="46"/>
                      <c:pt idx="0">
                        <c:v>Cu</c:v>
                      </c:pt>
                      <c:pt idx="1">
                        <c:v>Cu</c:v>
                      </c:pt>
                      <c:pt idx="2">
                        <c:v>Cu</c:v>
                      </c:pt>
                      <c:pt idx="3">
                        <c:v>Cu</c:v>
                      </c:pt>
                      <c:pt idx="4">
                        <c:v>Cu</c:v>
                      </c:pt>
                      <c:pt idx="5">
                        <c:v>Cu</c:v>
                      </c:pt>
                      <c:pt idx="6">
                        <c:v>Cu</c:v>
                      </c:pt>
                      <c:pt idx="7">
                        <c:v>Cu</c:v>
                      </c:pt>
                      <c:pt idx="8">
                        <c:v>Cu</c:v>
                      </c:pt>
                      <c:pt idx="9">
                        <c:v>Cu</c:v>
                      </c:pt>
                      <c:pt idx="10">
                        <c:v>Cu</c:v>
                      </c:pt>
                      <c:pt idx="11">
                        <c:v>Cu</c:v>
                      </c:pt>
                      <c:pt idx="12">
                        <c:v>Cu</c:v>
                      </c:pt>
                      <c:pt idx="13">
                        <c:v>Cu</c:v>
                      </c:pt>
                      <c:pt idx="14">
                        <c:v>Cu</c:v>
                      </c:pt>
                      <c:pt idx="15">
                        <c:v>Cu</c:v>
                      </c:pt>
                      <c:pt idx="16">
                        <c:v>Cu</c:v>
                      </c:pt>
                      <c:pt idx="17">
                        <c:v>Cu</c:v>
                      </c:pt>
                      <c:pt idx="18">
                        <c:v>Cu</c:v>
                      </c:pt>
                      <c:pt idx="19">
                        <c:v>Cu</c:v>
                      </c:pt>
                      <c:pt idx="20">
                        <c:v>Cu</c:v>
                      </c:pt>
                      <c:pt idx="21">
                        <c:v>Cu</c:v>
                      </c:pt>
                      <c:pt idx="22">
                        <c:v>Cu</c:v>
                      </c:pt>
                      <c:pt idx="23">
                        <c:v>Cu</c:v>
                      </c:pt>
                      <c:pt idx="24">
                        <c:v>Cu</c:v>
                      </c:pt>
                      <c:pt idx="25">
                        <c:v>Cu</c:v>
                      </c:pt>
                      <c:pt idx="26">
                        <c:v>Cu</c:v>
                      </c:pt>
                      <c:pt idx="27">
                        <c:v>Cu</c:v>
                      </c:pt>
                      <c:pt idx="28">
                        <c:v>Cu</c:v>
                      </c:pt>
                      <c:pt idx="29">
                        <c:v>Cu</c:v>
                      </c:pt>
                      <c:pt idx="30">
                        <c:v>Cu</c:v>
                      </c:pt>
                      <c:pt idx="31">
                        <c:v>Cu</c:v>
                      </c:pt>
                      <c:pt idx="32">
                        <c:v>Cu</c:v>
                      </c:pt>
                      <c:pt idx="33">
                        <c:v>Cu</c:v>
                      </c:pt>
                      <c:pt idx="35">
                        <c:v>Cond #1</c:v>
                      </c:pt>
                      <c:pt idx="36">
                        <c:v>Cond #2</c:v>
                      </c:pt>
                      <c:pt idx="37">
                        <c:v>Conc. Ro</c:v>
                      </c:pt>
                      <c:pt idx="38">
                        <c:v>0.31</c:v>
                      </c:pt>
                      <c:pt idx="39">
                        <c:v>0.25</c:v>
                      </c:pt>
                      <c:pt idx="40">
                        <c:v>5.16</c:v>
                      </c:pt>
                      <c:pt idx="41">
                        <c:v>3.21</c:v>
                      </c:pt>
                      <c:pt idx="42">
                        <c:v>1.62</c:v>
                      </c:pt>
                      <c:pt idx="43">
                        <c:v>0.81</c:v>
                      </c:pt>
                      <c:pt idx="44">
                        <c:v>8.39</c:v>
                      </c:pt>
                      <c:pt idx="45">
                        <c:v>4.84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'13. Pilotaje Rougher'!$M$19:$M$86</c15:sqref>
                        </c15:formulaRef>
                      </c:ext>
                    </c:extLst>
                    <c:numCache>
                      <c:formatCode>0.00</c:formatCode>
                      <c:ptCount val="68"/>
                      <c:pt idx="0" formatCode="0.000">
                        <c:v>1.95</c:v>
                      </c:pt>
                      <c:pt idx="1">
                        <c:v>1.87</c:v>
                      </c:pt>
                      <c:pt idx="2">
                        <c:v>2.11</c:v>
                      </c:pt>
                      <c:pt idx="3">
                        <c:v>2.2400000000000002</c:v>
                      </c:pt>
                      <c:pt idx="4">
                        <c:v>2.4</c:v>
                      </c:pt>
                      <c:pt idx="5">
                        <c:v>2.33</c:v>
                      </c:pt>
                      <c:pt idx="6">
                        <c:v>2.4700000000000002</c:v>
                      </c:pt>
                      <c:pt idx="7">
                        <c:v>2.3199999999999998</c:v>
                      </c:pt>
                      <c:pt idx="8">
                        <c:v>2.5</c:v>
                      </c:pt>
                      <c:pt idx="9">
                        <c:v>2.33</c:v>
                      </c:pt>
                      <c:pt idx="10">
                        <c:v>2.33</c:v>
                      </c:pt>
                      <c:pt idx="11">
                        <c:v>2.4300000000000002</c:v>
                      </c:pt>
                      <c:pt idx="12">
                        <c:v>2.2799999999999998</c:v>
                      </c:pt>
                      <c:pt idx="13">
                        <c:v>2.42</c:v>
                      </c:pt>
                      <c:pt idx="14">
                        <c:v>2.2999999999999998</c:v>
                      </c:pt>
                      <c:pt idx="15">
                        <c:v>2.4</c:v>
                      </c:pt>
                      <c:pt idx="16">
                        <c:v>2.39</c:v>
                      </c:pt>
                      <c:pt idx="17">
                        <c:v>2.27</c:v>
                      </c:pt>
                      <c:pt idx="18">
                        <c:v>2.38</c:v>
                      </c:pt>
                      <c:pt idx="19">
                        <c:v>2.33</c:v>
                      </c:pt>
                      <c:pt idx="20">
                        <c:v>2.36</c:v>
                      </c:pt>
                      <c:pt idx="21">
                        <c:v>2.35</c:v>
                      </c:pt>
                      <c:pt idx="22">
                        <c:v>2.46</c:v>
                      </c:pt>
                      <c:pt idx="23">
                        <c:v>2.34</c:v>
                      </c:pt>
                      <c:pt idx="24">
                        <c:v>2.34</c:v>
                      </c:pt>
                      <c:pt idx="25">
                        <c:v>2.37</c:v>
                      </c:pt>
                      <c:pt idx="26">
                        <c:v>2.2799999999999998</c:v>
                      </c:pt>
                      <c:pt idx="27">
                        <c:v>2.3199999999999998</c:v>
                      </c:pt>
                      <c:pt idx="28">
                        <c:v>2.37</c:v>
                      </c:pt>
                      <c:pt idx="29">
                        <c:v>2.36</c:v>
                      </c:pt>
                      <c:pt idx="30">
                        <c:v>2.34</c:v>
                      </c:pt>
                      <c:pt idx="31">
                        <c:v>2.2999999999999998</c:v>
                      </c:pt>
                      <c:pt idx="32">
                        <c:v>2.39</c:v>
                      </c:pt>
                      <c:pt idx="33">
                        <c:v>2.41</c:v>
                      </c:pt>
                      <c:pt idx="34">
                        <c:v>2.3562500000000002</c:v>
                      </c:pt>
                      <c:pt idx="37" formatCode="General">
                        <c:v>0</c:v>
                      </c:pt>
                      <c:pt idx="38">
                        <c:v>6.4045983590688457E-2</c:v>
                      </c:pt>
                      <c:pt idx="39">
                        <c:v>1.81966215784761E-2</c:v>
                      </c:pt>
                      <c:pt idx="42" formatCode="General">
                        <c:v>0</c:v>
                      </c:pt>
                      <c:pt idx="43">
                        <c:v>19.942536693436715</c:v>
                      </c:pt>
                      <c:pt idx="44">
                        <c:v>67.203582687851011</c:v>
                      </c:pt>
                      <c:pt idx="45">
                        <c:v>36.584189608821283</c:v>
                      </c:pt>
                      <c:pt idx="46">
                        <c:v>34.920409770511178</c:v>
                      </c:pt>
                      <c:pt idx="47">
                        <c:v>33.875504666093043</c:v>
                      </c:pt>
                      <c:pt idx="67" formatCode="General">
                        <c:v>0.66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DFE4-4B3B-9345-3B53C6C31D6C}"/>
                  </c:ext>
                </c:extLst>
              </c15:ser>
            </c15:filteredScatterSeries>
          </c:ext>
        </c:extLst>
      </c:scatterChart>
      <c:valAx>
        <c:axId val="493783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r>
                  <a:rPr lang="en-US"/>
                  <a:t>Mas Pull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ource Sans Pro" panose="020B0503030403020204" pitchFamily="34" charset="0"/>
                  <a:ea typeface="+mn-ea"/>
                  <a:cs typeface="+mn-cs"/>
                </a:defRPr>
              </a:pPr>
              <a:endParaRPr lang="es-CL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endParaRPr lang="es-CL"/>
          </a:p>
        </c:txPr>
        <c:crossAx val="493784351"/>
        <c:crosses val="autoZero"/>
        <c:crossBetween val="midCat"/>
        <c:majorUnit val="2"/>
      </c:valAx>
      <c:valAx>
        <c:axId val="49378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r>
                  <a:rPr lang="es-CL"/>
                  <a:t>Ley Fe Concentrado Ro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ource Sans Pro" panose="020B0503030403020204" pitchFamily="34" charset="0"/>
                  <a:ea typeface="+mn-ea"/>
                  <a:cs typeface="+mn-cs"/>
                </a:defRPr>
              </a:pPr>
              <a:endParaRPr lang="es-C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endParaRPr lang="es-CL"/>
          </a:p>
        </c:txPr>
        <c:crossAx val="493783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ource Sans Pro" panose="020B0503030403020204" pitchFamily="34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Source Sans Pro" panose="020B0503030403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  <c:userShapes r:id="rId3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r>
              <a:rPr lang="en-US" b="1"/>
              <a:t>Variaciones de la Recuperación másica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ource Sans Pro" panose="020B0503030403020204" pitchFamily="34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Pilotaje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725-4706-A4DA-37C50CC61B59}"/>
              </c:ext>
            </c:extLst>
          </c:dPt>
          <c:cat>
            <c:strRef>
              <c:f>'13. Pilotaje Rougher'!$E$19:$E$52</c:f>
              <c:strCache>
                <c:ptCount val="34"/>
                <c:pt idx="0">
                  <c:v>Cu</c:v>
                </c:pt>
                <c:pt idx="1">
                  <c:v>Cu</c:v>
                </c:pt>
                <c:pt idx="2">
                  <c:v>Cu</c:v>
                </c:pt>
                <c:pt idx="3">
                  <c:v>Cu</c:v>
                </c:pt>
                <c:pt idx="4">
                  <c:v>Cu</c:v>
                </c:pt>
                <c:pt idx="5">
                  <c:v>Cu</c:v>
                </c:pt>
                <c:pt idx="6">
                  <c:v>Cu</c:v>
                </c:pt>
                <c:pt idx="7">
                  <c:v>Cu</c:v>
                </c:pt>
                <c:pt idx="8">
                  <c:v>Cu</c:v>
                </c:pt>
                <c:pt idx="9">
                  <c:v>Cu</c:v>
                </c:pt>
                <c:pt idx="10">
                  <c:v>Cu</c:v>
                </c:pt>
                <c:pt idx="11">
                  <c:v>Cu</c:v>
                </c:pt>
                <c:pt idx="12">
                  <c:v>Cu</c:v>
                </c:pt>
                <c:pt idx="13">
                  <c:v>Cu</c:v>
                </c:pt>
                <c:pt idx="14">
                  <c:v>Cu</c:v>
                </c:pt>
                <c:pt idx="15">
                  <c:v>Cu</c:v>
                </c:pt>
                <c:pt idx="16">
                  <c:v>Cu</c:v>
                </c:pt>
                <c:pt idx="17">
                  <c:v>Cu</c:v>
                </c:pt>
                <c:pt idx="18">
                  <c:v>Cu</c:v>
                </c:pt>
                <c:pt idx="19">
                  <c:v>Cu</c:v>
                </c:pt>
                <c:pt idx="20">
                  <c:v>Cu</c:v>
                </c:pt>
                <c:pt idx="21">
                  <c:v>Cu</c:v>
                </c:pt>
                <c:pt idx="22">
                  <c:v>Cu</c:v>
                </c:pt>
                <c:pt idx="23">
                  <c:v>Cu</c:v>
                </c:pt>
                <c:pt idx="24">
                  <c:v>Cu</c:v>
                </c:pt>
                <c:pt idx="25">
                  <c:v>Cu</c:v>
                </c:pt>
                <c:pt idx="26">
                  <c:v>Cu</c:v>
                </c:pt>
                <c:pt idx="27">
                  <c:v>Cu</c:v>
                </c:pt>
                <c:pt idx="28">
                  <c:v>Cu</c:v>
                </c:pt>
                <c:pt idx="29">
                  <c:v>Cu</c:v>
                </c:pt>
                <c:pt idx="30">
                  <c:v>Cu</c:v>
                </c:pt>
                <c:pt idx="31">
                  <c:v>Cu</c:v>
                </c:pt>
                <c:pt idx="32">
                  <c:v>Cu</c:v>
                </c:pt>
                <c:pt idx="33">
                  <c:v>Cu</c:v>
                </c:pt>
              </c:strCache>
            </c:strRef>
          </c:cat>
          <c:val>
            <c:numRef>
              <c:f>'13. Pilotaje Rougher'!$I$19:$I$52</c:f>
              <c:numCache>
                <c:formatCode>0.00</c:formatCode>
                <c:ptCount val="34"/>
                <c:pt idx="0" formatCode="0">
                  <c:v>12.537733950493056</c:v>
                </c:pt>
                <c:pt idx="1">
                  <c:v>23.068893528183711</c:v>
                </c:pt>
                <c:pt idx="2">
                  <c:v>15.618353084168945</c:v>
                </c:pt>
                <c:pt idx="3">
                  <c:v>14.795772636389604</c:v>
                </c:pt>
                <c:pt idx="4">
                  <c:v>7.9736408566721577</c:v>
                </c:pt>
                <c:pt idx="5">
                  <c:v>10.388888888888889</c:v>
                </c:pt>
                <c:pt idx="6">
                  <c:v>7.2947913826015816</c:v>
                </c:pt>
                <c:pt idx="7">
                  <c:v>11.305601317957164</c:v>
                </c:pt>
                <c:pt idx="8">
                  <c:v>9.184188393608073</c:v>
                </c:pt>
                <c:pt idx="9">
                  <c:v>9.7132927888792331</c:v>
                </c:pt>
                <c:pt idx="10">
                  <c:v>18.659098971266403</c:v>
                </c:pt>
                <c:pt idx="11">
                  <c:v>8.1663077687593191</c:v>
                </c:pt>
                <c:pt idx="12">
                  <c:v>9.1653865847414231</c:v>
                </c:pt>
                <c:pt idx="13">
                  <c:v>8.6557705136757832</c:v>
                </c:pt>
                <c:pt idx="14">
                  <c:v>7.4057450628366261</c:v>
                </c:pt>
                <c:pt idx="15">
                  <c:v>7.311636201515828</c:v>
                </c:pt>
                <c:pt idx="16">
                  <c:v>14.516129032258066</c:v>
                </c:pt>
                <c:pt idx="17">
                  <c:v>17.559429477020601</c:v>
                </c:pt>
                <c:pt idx="18">
                  <c:v>15.066269948606978</c:v>
                </c:pt>
                <c:pt idx="19">
                  <c:v>17.015873015873019</c:v>
                </c:pt>
                <c:pt idx="20">
                  <c:v>10.916061339790154</c:v>
                </c:pt>
                <c:pt idx="21">
                  <c:v>20.874359984245768</c:v>
                </c:pt>
                <c:pt idx="22">
                  <c:v>17.055485498108446</c:v>
                </c:pt>
                <c:pt idx="23">
                  <c:v>13.297624592454587</c:v>
                </c:pt>
                <c:pt idx="24">
                  <c:v>18.993839835728956</c:v>
                </c:pt>
                <c:pt idx="25">
                  <c:v>16.606822262118492</c:v>
                </c:pt>
                <c:pt idx="26">
                  <c:v>16.603221083455345</c:v>
                </c:pt>
                <c:pt idx="27">
                  <c:v>22.837783977680353</c:v>
                </c:pt>
                <c:pt idx="28">
                  <c:v>19.098497495826376</c:v>
                </c:pt>
                <c:pt idx="29">
                  <c:v>21.309569934134061</c:v>
                </c:pt>
                <c:pt idx="30">
                  <c:v>26.881188118811885</c:v>
                </c:pt>
                <c:pt idx="31">
                  <c:v>27.063044592516661</c:v>
                </c:pt>
                <c:pt idx="32">
                  <c:v>25.069252077562332</c:v>
                </c:pt>
                <c:pt idx="33">
                  <c:v>15.031953320366769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25-4706-A4DA-37C50CC61B59}"/>
            </c:ext>
          </c:extLst>
        </c:ser>
        <c:ser>
          <c:idx val="1"/>
          <c:order val="1"/>
          <c:tx>
            <c:v>Estándar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'13. Pilotaje Rougher'!$E$19</c:f>
              <c:strCache>
                <c:ptCount val="1"/>
                <c:pt idx="0">
                  <c:v>Cu</c:v>
                </c:pt>
              </c:strCache>
            </c:strRef>
          </c:cat>
          <c:val>
            <c:numRef>
              <c:f>'13. Pilotaje Rougher'!$I$19</c:f>
              <c:numCache>
                <c:formatCode>0</c:formatCode>
                <c:ptCount val="1"/>
                <c:pt idx="0">
                  <c:v>12.537733950493056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25-4706-A4DA-37C50CC61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3783871"/>
        <c:axId val="493784351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v>Cu Cabeza</c:v>
                </c:tx>
                <c:spPr>
                  <a:solidFill>
                    <a:schemeClr val="accent3"/>
                  </a:solidFill>
                  <a:ln>
                    <a:solidFill>
                      <a:schemeClr val="accent2"/>
                    </a:solidFill>
                    <a:prstDash val="sysDash"/>
                  </a:ln>
                  <a:effectLst/>
                </c:spPr>
                <c:invertIfNegative val="0"/>
                <c:trendline>
                  <c:spPr>
                    <a:ln w="19050" cap="rnd">
                      <a:solidFill>
                        <a:schemeClr val="accent2"/>
                      </a:solidFill>
                      <a:prstDash val="sysDash"/>
                    </a:ln>
                    <a:effectLst/>
                  </c:spPr>
                  <c:trendlineType val="linear"/>
                  <c:dispRSqr val="0"/>
                  <c:dispEq val="0"/>
                </c:trendline>
                <c:cat>
                  <c:strRef>
                    <c:extLst>
                      <c:ext uri="{02D57815-91ED-43cb-92C2-25804820EDAC}">
                        <c15:formulaRef>
                          <c15:sqref>'13. Pilotaje Rougher'!$E$19:$E$89</c15:sqref>
                        </c15:formulaRef>
                      </c:ext>
                    </c:extLst>
                    <c:strCache>
                      <c:ptCount val="46"/>
                      <c:pt idx="0">
                        <c:v>Cu</c:v>
                      </c:pt>
                      <c:pt idx="1">
                        <c:v>Cu</c:v>
                      </c:pt>
                      <c:pt idx="2">
                        <c:v>Cu</c:v>
                      </c:pt>
                      <c:pt idx="3">
                        <c:v>Cu</c:v>
                      </c:pt>
                      <c:pt idx="4">
                        <c:v>Cu</c:v>
                      </c:pt>
                      <c:pt idx="5">
                        <c:v>Cu</c:v>
                      </c:pt>
                      <c:pt idx="6">
                        <c:v>Cu</c:v>
                      </c:pt>
                      <c:pt idx="7">
                        <c:v>Cu</c:v>
                      </c:pt>
                      <c:pt idx="8">
                        <c:v>Cu</c:v>
                      </c:pt>
                      <c:pt idx="9">
                        <c:v>Cu</c:v>
                      </c:pt>
                      <c:pt idx="10">
                        <c:v>Cu</c:v>
                      </c:pt>
                      <c:pt idx="11">
                        <c:v>Cu</c:v>
                      </c:pt>
                      <c:pt idx="12">
                        <c:v>Cu</c:v>
                      </c:pt>
                      <c:pt idx="13">
                        <c:v>Cu</c:v>
                      </c:pt>
                      <c:pt idx="14">
                        <c:v>Cu</c:v>
                      </c:pt>
                      <c:pt idx="15">
                        <c:v>Cu</c:v>
                      </c:pt>
                      <c:pt idx="16">
                        <c:v>Cu</c:v>
                      </c:pt>
                      <c:pt idx="17">
                        <c:v>Cu</c:v>
                      </c:pt>
                      <c:pt idx="18">
                        <c:v>Cu</c:v>
                      </c:pt>
                      <c:pt idx="19">
                        <c:v>Cu</c:v>
                      </c:pt>
                      <c:pt idx="20">
                        <c:v>Cu</c:v>
                      </c:pt>
                      <c:pt idx="21">
                        <c:v>Cu</c:v>
                      </c:pt>
                      <c:pt idx="22">
                        <c:v>Cu</c:v>
                      </c:pt>
                      <c:pt idx="23">
                        <c:v>Cu</c:v>
                      </c:pt>
                      <c:pt idx="24">
                        <c:v>Cu</c:v>
                      </c:pt>
                      <c:pt idx="25">
                        <c:v>Cu</c:v>
                      </c:pt>
                      <c:pt idx="26">
                        <c:v>Cu</c:v>
                      </c:pt>
                      <c:pt idx="27">
                        <c:v>Cu</c:v>
                      </c:pt>
                      <c:pt idx="28">
                        <c:v>Cu</c:v>
                      </c:pt>
                      <c:pt idx="29">
                        <c:v>Cu</c:v>
                      </c:pt>
                      <c:pt idx="30">
                        <c:v>Cu</c:v>
                      </c:pt>
                      <c:pt idx="31">
                        <c:v>Cu</c:v>
                      </c:pt>
                      <c:pt idx="32">
                        <c:v>Cu</c:v>
                      </c:pt>
                      <c:pt idx="33">
                        <c:v>Cu</c:v>
                      </c:pt>
                      <c:pt idx="35">
                        <c:v>Cond #1</c:v>
                      </c:pt>
                      <c:pt idx="36">
                        <c:v>Cond #2</c:v>
                      </c:pt>
                      <c:pt idx="37">
                        <c:v>Conc. Ro</c:v>
                      </c:pt>
                      <c:pt idx="38">
                        <c:v>0.31</c:v>
                      </c:pt>
                      <c:pt idx="39">
                        <c:v>0.25</c:v>
                      </c:pt>
                      <c:pt idx="40">
                        <c:v>5.16</c:v>
                      </c:pt>
                      <c:pt idx="41">
                        <c:v>3.21</c:v>
                      </c:pt>
                      <c:pt idx="42">
                        <c:v>1.62</c:v>
                      </c:pt>
                      <c:pt idx="43">
                        <c:v>0.81</c:v>
                      </c:pt>
                      <c:pt idx="44">
                        <c:v>8.39</c:v>
                      </c:pt>
                      <c:pt idx="45">
                        <c:v>4.84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'13. Pilotaje Rougher'!$M$19:$M$86</c15:sqref>
                        </c15:formulaRef>
                      </c:ext>
                    </c:extLst>
                    <c:numCache>
                      <c:formatCode>0.00</c:formatCode>
                      <c:ptCount val="68"/>
                      <c:pt idx="0" formatCode="0.000">
                        <c:v>1.95</c:v>
                      </c:pt>
                      <c:pt idx="1">
                        <c:v>1.87</c:v>
                      </c:pt>
                      <c:pt idx="2">
                        <c:v>2.11</c:v>
                      </c:pt>
                      <c:pt idx="3">
                        <c:v>2.2400000000000002</c:v>
                      </c:pt>
                      <c:pt idx="4">
                        <c:v>2.4</c:v>
                      </c:pt>
                      <c:pt idx="5">
                        <c:v>2.33</c:v>
                      </c:pt>
                      <c:pt idx="6">
                        <c:v>2.4700000000000002</c:v>
                      </c:pt>
                      <c:pt idx="7">
                        <c:v>2.3199999999999998</c:v>
                      </c:pt>
                      <c:pt idx="8">
                        <c:v>2.5</c:v>
                      </c:pt>
                      <c:pt idx="9">
                        <c:v>2.33</c:v>
                      </c:pt>
                      <c:pt idx="10">
                        <c:v>2.33</c:v>
                      </c:pt>
                      <c:pt idx="11">
                        <c:v>2.4300000000000002</c:v>
                      </c:pt>
                      <c:pt idx="12">
                        <c:v>2.2799999999999998</c:v>
                      </c:pt>
                      <c:pt idx="13">
                        <c:v>2.42</c:v>
                      </c:pt>
                      <c:pt idx="14">
                        <c:v>2.2999999999999998</c:v>
                      </c:pt>
                      <c:pt idx="15">
                        <c:v>2.4</c:v>
                      </c:pt>
                      <c:pt idx="16">
                        <c:v>2.39</c:v>
                      </c:pt>
                      <c:pt idx="17">
                        <c:v>2.27</c:v>
                      </c:pt>
                      <c:pt idx="18">
                        <c:v>2.38</c:v>
                      </c:pt>
                      <c:pt idx="19">
                        <c:v>2.33</c:v>
                      </c:pt>
                      <c:pt idx="20">
                        <c:v>2.36</c:v>
                      </c:pt>
                      <c:pt idx="21">
                        <c:v>2.35</c:v>
                      </c:pt>
                      <c:pt idx="22">
                        <c:v>2.46</c:v>
                      </c:pt>
                      <c:pt idx="23">
                        <c:v>2.34</c:v>
                      </c:pt>
                      <c:pt idx="24">
                        <c:v>2.34</c:v>
                      </c:pt>
                      <c:pt idx="25">
                        <c:v>2.37</c:v>
                      </c:pt>
                      <c:pt idx="26">
                        <c:v>2.2799999999999998</c:v>
                      </c:pt>
                      <c:pt idx="27">
                        <c:v>2.3199999999999998</c:v>
                      </c:pt>
                      <c:pt idx="28">
                        <c:v>2.37</c:v>
                      </c:pt>
                      <c:pt idx="29">
                        <c:v>2.36</c:v>
                      </c:pt>
                      <c:pt idx="30">
                        <c:v>2.34</c:v>
                      </c:pt>
                      <c:pt idx="31">
                        <c:v>2.2999999999999998</c:v>
                      </c:pt>
                      <c:pt idx="32">
                        <c:v>2.39</c:v>
                      </c:pt>
                      <c:pt idx="33">
                        <c:v>2.41</c:v>
                      </c:pt>
                      <c:pt idx="34">
                        <c:v>2.3562500000000002</c:v>
                      </c:pt>
                      <c:pt idx="37" formatCode="General">
                        <c:v>0</c:v>
                      </c:pt>
                      <c:pt idx="38">
                        <c:v>6.4045983590688457E-2</c:v>
                      </c:pt>
                      <c:pt idx="39">
                        <c:v>1.81966215784761E-2</c:v>
                      </c:pt>
                      <c:pt idx="42" formatCode="General">
                        <c:v>0</c:v>
                      </c:pt>
                      <c:pt idx="43">
                        <c:v>19.942536693436715</c:v>
                      </c:pt>
                      <c:pt idx="44">
                        <c:v>67.203582687851011</c:v>
                      </c:pt>
                      <c:pt idx="45">
                        <c:v>36.584189608821283</c:v>
                      </c:pt>
                      <c:pt idx="46">
                        <c:v>34.920409770511178</c:v>
                      </c:pt>
                      <c:pt idx="47">
                        <c:v>33.875504666093043</c:v>
                      </c:pt>
                      <c:pt idx="67" formatCode="General">
                        <c:v>0.66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A725-4706-A4DA-37C50CC61B59}"/>
                  </c:ext>
                </c:extLst>
              </c15:ser>
            </c15:filteredBarSeries>
          </c:ext>
        </c:extLst>
      </c:barChart>
      <c:catAx>
        <c:axId val="49378387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493784351"/>
        <c:crosses val="autoZero"/>
        <c:auto val="1"/>
        <c:lblAlgn val="ctr"/>
        <c:lblOffset val="100"/>
        <c:noMultiLvlLbl val="0"/>
      </c:catAx>
      <c:valAx>
        <c:axId val="4937843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r>
                  <a:rPr lang="es-CL"/>
                  <a:t>Recuperación Cu</a:t>
                </a:r>
                <a:r>
                  <a:rPr lang="es-CL" baseline="0"/>
                  <a:t> %</a:t>
                </a: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ource Sans Pro" panose="020B0503030403020204" pitchFamily="34" charset="0"/>
                  <a:ea typeface="+mn-ea"/>
                  <a:cs typeface="+mn-cs"/>
                </a:defRPr>
              </a:pPr>
              <a:endParaRPr lang="es-C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endParaRPr lang="es-CL"/>
          </a:p>
        </c:txPr>
        <c:crossAx val="493783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ource Sans Pro" panose="020B0503030403020204" pitchFamily="34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Source Sans Pro" panose="020B0503030403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  <c:userShapes r:id="rId3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r>
              <a:rPr lang="en-US" b="1"/>
              <a:t>Razón Enriquecimiento vs Mass</a:t>
            </a:r>
            <a:r>
              <a:rPr lang="en-US" b="1" baseline="0"/>
              <a:t> Pull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ource Sans Pro" panose="020B0503030403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Pilotaje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'13. Pilotaje Rougher'!$I$19:$I$52</c:f>
              <c:numCache>
                <c:formatCode>0.00</c:formatCode>
                <c:ptCount val="34"/>
                <c:pt idx="0" formatCode="0">
                  <c:v>12.537733950493056</c:v>
                </c:pt>
                <c:pt idx="1">
                  <c:v>23.068893528183711</c:v>
                </c:pt>
                <c:pt idx="2">
                  <c:v>15.618353084168945</c:v>
                </c:pt>
                <c:pt idx="3">
                  <c:v>14.795772636389604</c:v>
                </c:pt>
                <c:pt idx="4">
                  <c:v>7.9736408566721577</c:v>
                </c:pt>
                <c:pt idx="5">
                  <c:v>10.388888888888889</c:v>
                </c:pt>
                <c:pt idx="6">
                  <c:v>7.2947913826015816</c:v>
                </c:pt>
                <c:pt idx="7">
                  <c:v>11.305601317957164</c:v>
                </c:pt>
                <c:pt idx="8">
                  <c:v>9.184188393608073</c:v>
                </c:pt>
                <c:pt idx="9">
                  <c:v>9.7132927888792331</c:v>
                </c:pt>
                <c:pt idx="10">
                  <c:v>18.659098971266403</c:v>
                </c:pt>
                <c:pt idx="11">
                  <c:v>8.1663077687593191</c:v>
                </c:pt>
                <c:pt idx="12">
                  <c:v>9.1653865847414231</c:v>
                </c:pt>
                <c:pt idx="13">
                  <c:v>8.6557705136757832</c:v>
                </c:pt>
                <c:pt idx="14">
                  <c:v>7.4057450628366261</c:v>
                </c:pt>
                <c:pt idx="15">
                  <c:v>7.311636201515828</c:v>
                </c:pt>
                <c:pt idx="16">
                  <c:v>14.516129032258066</c:v>
                </c:pt>
                <c:pt idx="17">
                  <c:v>17.559429477020601</c:v>
                </c:pt>
                <c:pt idx="18">
                  <c:v>15.066269948606978</c:v>
                </c:pt>
                <c:pt idx="19">
                  <c:v>17.015873015873019</c:v>
                </c:pt>
                <c:pt idx="20">
                  <c:v>10.916061339790154</c:v>
                </c:pt>
                <c:pt idx="21">
                  <c:v>20.874359984245768</c:v>
                </c:pt>
                <c:pt idx="22">
                  <c:v>17.055485498108446</c:v>
                </c:pt>
                <c:pt idx="23">
                  <c:v>13.297624592454587</c:v>
                </c:pt>
                <c:pt idx="24">
                  <c:v>18.993839835728956</c:v>
                </c:pt>
                <c:pt idx="25">
                  <c:v>16.606822262118492</c:v>
                </c:pt>
                <c:pt idx="26">
                  <c:v>16.603221083455345</c:v>
                </c:pt>
                <c:pt idx="27">
                  <c:v>22.837783977680353</c:v>
                </c:pt>
                <c:pt idx="28">
                  <c:v>19.098497495826376</c:v>
                </c:pt>
                <c:pt idx="29">
                  <c:v>21.309569934134061</c:v>
                </c:pt>
                <c:pt idx="30">
                  <c:v>26.881188118811885</c:v>
                </c:pt>
                <c:pt idx="31">
                  <c:v>27.063044592516661</c:v>
                </c:pt>
                <c:pt idx="32">
                  <c:v>25.069252077562332</c:v>
                </c:pt>
                <c:pt idx="33">
                  <c:v>15.031953320366769</c:v>
                </c:pt>
              </c:numCache>
            </c:numRef>
          </c:xVal>
          <c:yVal>
            <c:numRef>
              <c:f>'13. Pilotaje Rougher'!$J$19:$J$52</c:f>
              <c:numCache>
                <c:formatCode>0.000</c:formatCode>
                <c:ptCount val="34"/>
                <c:pt idx="0">
                  <c:v>6.8615384615384611</c:v>
                </c:pt>
                <c:pt idx="1">
                  <c:v>3.4203612479474552</c:v>
                </c:pt>
                <c:pt idx="2">
                  <c:v>5.3526645768025078</c:v>
                </c:pt>
                <c:pt idx="3">
                  <c:v>5.617647058823529</c:v>
                </c:pt>
                <c:pt idx="4">
                  <c:v>9.8107255520504726</c:v>
                </c:pt>
                <c:pt idx="5">
                  <c:v>7.8059071729957807</c:v>
                </c:pt>
                <c:pt idx="6">
                  <c:v>10.983847283406755</c:v>
                </c:pt>
                <c:pt idx="7">
                  <c:v>7.1266002844950211</c:v>
                </c:pt>
                <c:pt idx="8">
                  <c:v>8.813314037626629</c:v>
                </c:pt>
                <c:pt idx="9">
                  <c:v>8.2773109243697487</c:v>
                </c:pt>
                <c:pt idx="10">
                  <c:v>4.3183791606367583</c:v>
                </c:pt>
                <c:pt idx="11">
                  <c:v>9.2011834319526624</c:v>
                </c:pt>
                <c:pt idx="12">
                  <c:v>8.6246418338108874</c:v>
                </c:pt>
                <c:pt idx="13">
                  <c:v>9.0190336749633957</c:v>
                </c:pt>
                <c:pt idx="14">
                  <c:v>10.088105726872246</c:v>
                </c:pt>
                <c:pt idx="15">
                  <c:v>10.131771595900439</c:v>
                </c:pt>
                <c:pt idx="16">
                  <c:v>5.6902654867256635</c:v>
                </c:pt>
                <c:pt idx="17">
                  <c:v>4.8705357142857144</c:v>
                </c:pt>
                <c:pt idx="18">
                  <c:v>5.5639534883720936</c:v>
                </c:pt>
                <c:pt idx="19">
                  <c:v>4.8384728340675469</c:v>
                </c:pt>
                <c:pt idx="20">
                  <c:v>7.6390977443609023</c:v>
                </c:pt>
                <c:pt idx="21">
                  <c:v>4.0347432024169176</c:v>
                </c:pt>
                <c:pt idx="22">
                  <c:v>4.7801724137931041</c:v>
                </c:pt>
                <c:pt idx="23">
                  <c:v>6.3645533141210375</c:v>
                </c:pt>
                <c:pt idx="24">
                  <c:v>4.4504373177842558</c:v>
                </c:pt>
                <c:pt idx="25">
                  <c:v>5.0686131386861311</c:v>
                </c:pt>
                <c:pt idx="26">
                  <c:v>5.1637426900584789</c:v>
                </c:pt>
                <c:pt idx="27">
                  <c:v>3.8057971014492753</c:v>
                </c:pt>
                <c:pt idx="28">
                  <c:v>4.506512301013025</c:v>
                </c:pt>
                <c:pt idx="29">
                  <c:v>3.9955752212389379</c:v>
                </c:pt>
                <c:pt idx="30">
                  <c:v>3.1849112426035502</c:v>
                </c:pt>
                <c:pt idx="31">
                  <c:v>3.1430722891566267</c:v>
                </c:pt>
                <c:pt idx="32">
                  <c:v>3.3867647058823525</c:v>
                </c:pt>
                <c:pt idx="33">
                  <c:v>5.4512372634643373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3D-41E1-9679-EBFCF8DB5395}"/>
            </c:ext>
          </c:extLst>
        </c:ser>
        <c:ser>
          <c:idx val="1"/>
          <c:order val="1"/>
          <c:tx>
            <c:v>Estándar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'13. Pilotaje Rougher'!$I$19</c:f>
              <c:numCache>
                <c:formatCode>0</c:formatCode>
                <c:ptCount val="1"/>
                <c:pt idx="0">
                  <c:v>12.537733950493056</c:v>
                </c:pt>
              </c:numCache>
            </c:numRef>
          </c:xVal>
          <c:yVal>
            <c:numRef>
              <c:f>'13. Pilotaje Rougher'!$J$19</c:f>
              <c:numCache>
                <c:formatCode>0.000</c:formatCode>
                <c:ptCount val="1"/>
                <c:pt idx="0">
                  <c:v>6.8615384615384611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3D-41E1-9679-EBFCF8DB5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3783871"/>
        <c:axId val="493784351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Cu Cabeza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2"/>
                      </a:solidFill>
                      <a:prstDash val="sysDash"/>
                    </a:ln>
                    <a:effectLst/>
                  </c:spPr>
                  <c:trendlineType val="linear"/>
                  <c:dispRSqr val="0"/>
                  <c:dispEq val="0"/>
                </c:trendline>
                <c:xVal>
                  <c:strRef>
                    <c:extLst>
                      <c:ext uri="{02D57815-91ED-43cb-92C2-25804820EDAC}">
                        <c15:formulaRef>
                          <c15:sqref>'13. Pilotaje Rougher'!$E$19:$E$89</c15:sqref>
                        </c15:formulaRef>
                      </c:ext>
                    </c:extLst>
                    <c:strCache>
                      <c:ptCount val="46"/>
                      <c:pt idx="0">
                        <c:v>Cu</c:v>
                      </c:pt>
                      <c:pt idx="1">
                        <c:v>Cu</c:v>
                      </c:pt>
                      <c:pt idx="2">
                        <c:v>Cu</c:v>
                      </c:pt>
                      <c:pt idx="3">
                        <c:v>Cu</c:v>
                      </c:pt>
                      <c:pt idx="4">
                        <c:v>Cu</c:v>
                      </c:pt>
                      <c:pt idx="5">
                        <c:v>Cu</c:v>
                      </c:pt>
                      <c:pt idx="6">
                        <c:v>Cu</c:v>
                      </c:pt>
                      <c:pt idx="7">
                        <c:v>Cu</c:v>
                      </c:pt>
                      <c:pt idx="8">
                        <c:v>Cu</c:v>
                      </c:pt>
                      <c:pt idx="9">
                        <c:v>Cu</c:v>
                      </c:pt>
                      <c:pt idx="10">
                        <c:v>Cu</c:v>
                      </c:pt>
                      <c:pt idx="11">
                        <c:v>Cu</c:v>
                      </c:pt>
                      <c:pt idx="12">
                        <c:v>Cu</c:v>
                      </c:pt>
                      <c:pt idx="13">
                        <c:v>Cu</c:v>
                      </c:pt>
                      <c:pt idx="14">
                        <c:v>Cu</c:v>
                      </c:pt>
                      <c:pt idx="15">
                        <c:v>Cu</c:v>
                      </c:pt>
                      <c:pt idx="16">
                        <c:v>Cu</c:v>
                      </c:pt>
                      <c:pt idx="17">
                        <c:v>Cu</c:v>
                      </c:pt>
                      <c:pt idx="18">
                        <c:v>Cu</c:v>
                      </c:pt>
                      <c:pt idx="19">
                        <c:v>Cu</c:v>
                      </c:pt>
                      <c:pt idx="20">
                        <c:v>Cu</c:v>
                      </c:pt>
                      <c:pt idx="21">
                        <c:v>Cu</c:v>
                      </c:pt>
                      <c:pt idx="22">
                        <c:v>Cu</c:v>
                      </c:pt>
                      <c:pt idx="23">
                        <c:v>Cu</c:v>
                      </c:pt>
                      <c:pt idx="24">
                        <c:v>Cu</c:v>
                      </c:pt>
                      <c:pt idx="25">
                        <c:v>Cu</c:v>
                      </c:pt>
                      <c:pt idx="26">
                        <c:v>Cu</c:v>
                      </c:pt>
                      <c:pt idx="27">
                        <c:v>Cu</c:v>
                      </c:pt>
                      <c:pt idx="28">
                        <c:v>Cu</c:v>
                      </c:pt>
                      <c:pt idx="29">
                        <c:v>Cu</c:v>
                      </c:pt>
                      <c:pt idx="30">
                        <c:v>Cu</c:v>
                      </c:pt>
                      <c:pt idx="31">
                        <c:v>Cu</c:v>
                      </c:pt>
                      <c:pt idx="32">
                        <c:v>Cu</c:v>
                      </c:pt>
                      <c:pt idx="33">
                        <c:v>Cu</c:v>
                      </c:pt>
                      <c:pt idx="35">
                        <c:v>Cond #1</c:v>
                      </c:pt>
                      <c:pt idx="36">
                        <c:v>Cond #2</c:v>
                      </c:pt>
                      <c:pt idx="37">
                        <c:v>Conc. Ro</c:v>
                      </c:pt>
                      <c:pt idx="38">
                        <c:v>0.31</c:v>
                      </c:pt>
                      <c:pt idx="39">
                        <c:v>0.25</c:v>
                      </c:pt>
                      <c:pt idx="40">
                        <c:v>5.16</c:v>
                      </c:pt>
                      <c:pt idx="41">
                        <c:v>3.21</c:v>
                      </c:pt>
                      <c:pt idx="42">
                        <c:v>1.62</c:v>
                      </c:pt>
                      <c:pt idx="43">
                        <c:v>0.81</c:v>
                      </c:pt>
                      <c:pt idx="44">
                        <c:v>8.39</c:v>
                      </c:pt>
                      <c:pt idx="45">
                        <c:v>4.84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'13. Pilotaje Rougher'!$M$19:$M$86</c15:sqref>
                        </c15:formulaRef>
                      </c:ext>
                    </c:extLst>
                    <c:numCache>
                      <c:formatCode>0.00</c:formatCode>
                      <c:ptCount val="68"/>
                      <c:pt idx="0" formatCode="0.000">
                        <c:v>1.95</c:v>
                      </c:pt>
                      <c:pt idx="1">
                        <c:v>1.87</c:v>
                      </c:pt>
                      <c:pt idx="2">
                        <c:v>2.11</c:v>
                      </c:pt>
                      <c:pt idx="3">
                        <c:v>2.2400000000000002</c:v>
                      </c:pt>
                      <c:pt idx="4">
                        <c:v>2.4</c:v>
                      </c:pt>
                      <c:pt idx="5">
                        <c:v>2.33</c:v>
                      </c:pt>
                      <c:pt idx="6">
                        <c:v>2.4700000000000002</c:v>
                      </c:pt>
                      <c:pt idx="7">
                        <c:v>2.3199999999999998</c:v>
                      </c:pt>
                      <c:pt idx="8">
                        <c:v>2.5</c:v>
                      </c:pt>
                      <c:pt idx="9">
                        <c:v>2.33</c:v>
                      </c:pt>
                      <c:pt idx="10">
                        <c:v>2.33</c:v>
                      </c:pt>
                      <c:pt idx="11">
                        <c:v>2.4300000000000002</c:v>
                      </c:pt>
                      <c:pt idx="12">
                        <c:v>2.2799999999999998</c:v>
                      </c:pt>
                      <c:pt idx="13">
                        <c:v>2.42</c:v>
                      </c:pt>
                      <c:pt idx="14">
                        <c:v>2.2999999999999998</c:v>
                      </c:pt>
                      <c:pt idx="15">
                        <c:v>2.4</c:v>
                      </c:pt>
                      <c:pt idx="16">
                        <c:v>2.39</c:v>
                      </c:pt>
                      <c:pt idx="17">
                        <c:v>2.27</c:v>
                      </c:pt>
                      <c:pt idx="18">
                        <c:v>2.38</c:v>
                      </c:pt>
                      <c:pt idx="19">
                        <c:v>2.33</c:v>
                      </c:pt>
                      <c:pt idx="20">
                        <c:v>2.36</c:v>
                      </c:pt>
                      <c:pt idx="21">
                        <c:v>2.35</c:v>
                      </c:pt>
                      <c:pt idx="22">
                        <c:v>2.46</c:v>
                      </c:pt>
                      <c:pt idx="23">
                        <c:v>2.34</c:v>
                      </c:pt>
                      <c:pt idx="24">
                        <c:v>2.34</c:v>
                      </c:pt>
                      <c:pt idx="25">
                        <c:v>2.37</c:v>
                      </c:pt>
                      <c:pt idx="26">
                        <c:v>2.2799999999999998</c:v>
                      </c:pt>
                      <c:pt idx="27">
                        <c:v>2.3199999999999998</c:v>
                      </c:pt>
                      <c:pt idx="28">
                        <c:v>2.37</c:v>
                      </c:pt>
                      <c:pt idx="29">
                        <c:v>2.36</c:v>
                      </c:pt>
                      <c:pt idx="30">
                        <c:v>2.34</c:v>
                      </c:pt>
                      <c:pt idx="31">
                        <c:v>2.2999999999999998</c:v>
                      </c:pt>
                      <c:pt idx="32">
                        <c:v>2.39</c:v>
                      </c:pt>
                      <c:pt idx="33">
                        <c:v>2.41</c:v>
                      </c:pt>
                      <c:pt idx="34">
                        <c:v>2.3562500000000002</c:v>
                      </c:pt>
                      <c:pt idx="37" formatCode="General">
                        <c:v>0</c:v>
                      </c:pt>
                      <c:pt idx="38">
                        <c:v>6.4045983590688457E-2</c:v>
                      </c:pt>
                      <c:pt idx="39">
                        <c:v>1.81966215784761E-2</c:v>
                      </c:pt>
                      <c:pt idx="42" formatCode="General">
                        <c:v>0</c:v>
                      </c:pt>
                      <c:pt idx="43">
                        <c:v>19.942536693436715</c:v>
                      </c:pt>
                      <c:pt idx="44">
                        <c:v>67.203582687851011</c:v>
                      </c:pt>
                      <c:pt idx="45">
                        <c:v>36.584189608821283</c:v>
                      </c:pt>
                      <c:pt idx="46">
                        <c:v>34.920409770511178</c:v>
                      </c:pt>
                      <c:pt idx="47">
                        <c:v>33.875504666093043</c:v>
                      </c:pt>
                      <c:pt idx="67" formatCode="General">
                        <c:v>0.66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113D-41E1-9679-EBFCF8DB5395}"/>
                  </c:ext>
                </c:extLst>
              </c15:ser>
            </c15:filteredScatterSeries>
          </c:ext>
        </c:extLst>
      </c:scatterChart>
      <c:valAx>
        <c:axId val="493783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r>
                  <a:rPr lang="en-US"/>
                  <a:t>Razón</a:t>
                </a:r>
                <a:r>
                  <a:rPr lang="en-US" baseline="0"/>
                  <a:t> Enriquecimiento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ource Sans Pro" panose="020B0503030403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endParaRPr lang="es-CL"/>
          </a:p>
        </c:txPr>
        <c:crossAx val="493784351"/>
        <c:crosses val="autoZero"/>
        <c:crossBetween val="midCat"/>
        <c:majorUnit val="2"/>
      </c:valAx>
      <c:valAx>
        <c:axId val="49378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r>
                  <a:rPr lang="es-CL"/>
                  <a:t>Mass</a:t>
                </a:r>
                <a:r>
                  <a:rPr lang="es-CL" baseline="0"/>
                  <a:t> Pull </a:t>
                </a:r>
                <a:r>
                  <a:rPr lang="es-CL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ource Sans Pro" panose="020B0503030403020204" pitchFamily="34" charset="0"/>
                  <a:ea typeface="+mn-ea"/>
                  <a:cs typeface="+mn-cs"/>
                </a:defRPr>
              </a:pPr>
              <a:endParaRPr lang="es-C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endParaRPr lang="es-CL"/>
          </a:p>
        </c:txPr>
        <c:crossAx val="493783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ource Sans Pro" panose="020B0503030403020204" pitchFamily="34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Source Sans Pro" panose="020B0503030403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r>
              <a:rPr lang="en-US" b="1"/>
              <a:t>Mass</a:t>
            </a:r>
            <a:r>
              <a:rPr lang="en-US" b="1" baseline="0"/>
              <a:t> Pull vs Ley Cu Concentrado Rougher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ource Sans Pro" panose="020B0503030403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Pilotaje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CE4-490D-BB03-729F3D7E9A71}"/>
              </c:ext>
            </c:extLst>
          </c:dPt>
          <c:xVal>
            <c:numRef>
              <c:f>'13. Pilotaje Rougher'!$P$19:$P$52</c:f>
              <c:numCache>
                <c:formatCode>0</c:formatCode>
                <c:ptCount val="34"/>
                <c:pt idx="0">
                  <c:v>12.537733950493056</c:v>
                </c:pt>
                <c:pt idx="1">
                  <c:v>15.428571428571431</c:v>
                </c:pt>
                <c:pt idx="2">
                  <c:v>17.302798982188293</c:v>
                </c:pt>
                <c:pt idx="3">
                  <c:v>15.312500000000002</c:v>
                </c:pt>
                <c:pt idx="4">
                  <c:v>9.433962264150944</c:v>
                </c:pt>
                <c:pt idx="5">
                  <c:v>12.107623318385649</c:v>
                </c:pt>
                <c:pt idx="6">
                  <c:v>5.9659090909090917</c:v>
                </c:pt>
                <c:pt idx="7">
                  <c:v>11.324376199616118</c:v>
                </c:pt>
                <c:pt idx="8">
                  <c:v>9.5846645367412169</c:v>
                </c:pt>
                <c:pt idx="9">
                  <c:v>9.4637223974763423</c:v>
                </c:pt>
                <c:pt idx="10">
                  <c:v>20.816326530612251</c:v>
                </c:pt>
                <c:pt idx="11">
                  <c:v>8.2432432432432439</c:v>
                </c:pt>
                <c:pt idx="12">
                  <c:v>7.943262411347515</c:v>
                </c:pt>
                <c:pt idx="13">
                  <c:v>8.1585081585081589</c:v>
                </c:pt>
                <c:pt idx="14">
                  <c:v>5.5732484076433098</c:v>
                </c:pt>
                <c:pt idx="15">
                  <c:v>5.4093567251462007</c:v>
                </c:pt>
                <c:pt idx="16">
                  <c:v>15.396825396825401</c:v>
                </c:pt>
                <c:pt idx="17">
                  <c:v>16.350710900473935</c:v>
                </c:pt>
                <c:pt idx="18">
                  <c:v>14.814814814814813</c:v>
                </c:pt>
                <c:pt idx="19">
                  <c:v>13.473053892215569</c:v>
                </c:pt>
                <c:pt idx="20">
                  <c:v>9.1877496671105181</c:v>
                </c:pt>
                <c:pt idx="21">
                  <c:v>19.448476052249635</c:v>
                </c:pt>
                <c:pt idx="22">
                  <c:v>15.665796344647518</c:v>
                </c:pt>
                <c:pt idx="23">
                  <c:v>10.538641686182668</c:v>
                </c:pt>
                <c:pt idx="24">
                  <c:v>19.054441260744984</c:v>
                </c:pt>
                <c:pt idx="25">
                  <c:v>13.804347826086955</c:v>
                </c:pt>
                <c:pt idx="26">
                  <c:v>10.946502057613166</c:v>
                </c:pt>
                <c:pt idx="27">
                  <c:v>22.508038585209004</c:v>
                </c:pt>
                <c:pt idx="28">
                  <c:v>14.29990069513406</c:v>
                </c:pt>
                <c:pt idx="29">
                  <c:v>20.982142857142858</c:v>
                </c:pt>
                <c:pt idx="30">
                  <c:v>28.27004219409282</c:v>
                </c:pt>
                <c:pt idx="31">
                  <c:v>27.548806941431671</c:v>
                </c:pt>
                <c:pt idx="32">
                  <c:v>23.247863247863251</c:v>
                </c:pt>
                <c:pt idx="33">
                  <c:v>13.555787278415016</c:v>
                </c:pt>
              </c:numCache>
            </c:numRef>
          </c:xVal>
          <c:yVal>
            <c:numRef>
              <c:f>'13. Pilotaje Rougher'!$Q$19:$Q$52</c:f>
              <c:numCache>
                <c:formatCode>0.000</c:formatCode>
                <c:ptCount val="34"/>
                <c:pt idx="0">
                  <c:v>3.6307692307692307</c:v>
                </c:pt>
                <c:pt idx="1">
                  <c:v>1.7914438502673797</c:v>
                </c:pt>
                <c:pt idx="2">
                  <c:v>2.5402843601895739</c:v>
                </c:pt>
                <c:pt idx="3">
                  <c:v>3.4196428571428568</c:v>
                </c:pt>
                <c:pt idx="4">
                  <c:v>3.8</c:v>
                </c:pt>
                <c:pt idx="5">
                  <c:v>3.5236051502145926</c:v>
                </c:pt>
                <c:pt idx="6">
                  <c:v>5.0202429149797565</c:v>
                </c:pt>
                <c:pt idx="7">
                  <c:v>2.9913793103448278</c:v>
                </c:pt>
                <c:pt idx="8">
                  <c:v>3.2640000000000002</c:v>
                </c:pt>
                <c:pt idx="9">
                  <c:v>3.4635193133047211</c:v>
                </c:pt>
                <c:pt idx="10">
                  <c:v>1.8326180257510727</c:v>
                </c:pt>
                <c:pt idx="11">
                  <c:v>3.7942386831275718</c:v>
                </c:pt>
                <c:pt idx="12">
                  <c:v>3.8464912280701755</c:v>
                </c:pt>
                <c:pt idx="13">
                  <c:v>4.2561983471074383</c:v>
                </c:pt>
                <c:pt idx="14">
                  <c:v>3.5782608695652178</c:v>
                </c:pt>
                <c:pt idx="15">
                  <c:v>3.6958333333333333</c:v>
                </c:pt>
                <c:pt idx="16">
                  <c:v>3.2301255230125521</c:v>
                </c:pt>
                <c:pt idx="17">
                  <c:v>4.1101321585903081</c:v>
                </c:pt>
                <c:pt idx="18">
                  <c:v>4.2857142857142856</c:v>
                </c:pt>
                <c:pt idx="19">
                  <c:v>4.7210300429184544</c:v>
                </c:pt>
                <c:pt idx="20">
                  <c:v>6.7796610169491531</c:v>
                </c:pt>
                <c:pt idx="21">
                  <c:v>3.3617021276595747</c:v>
                </c:pt>
                <c:pt idx="22">
                  <c:v>3.6260162601626016</c:v>
                </c:pt>
                <c:pt idx="23">
                  <c:v>5.8974358974358978</c:v>
                </c:pt>
                <c:pt idx="24">
                  <c:v>3.4145299145299148</c:v>
                </c:pt>
                <c:pt idx="25">
                  <c:v>4.3459915611814344</c:v>
                </c:pt>
                <c:pt idx="26">
                  <c:v>5.7456140350877201</c:v>
                </c:pt>
                <c:pt idx="27">
                  <c:v>3.0775862068965516</c:v>
                </c:pt>
                <c:pt idx="28">
                  <c:v>4.6413502109704643</c:v>
                </c:pt>
                <c:pt idx="29">
                  <c:v>3.25</c:v>
                </c:pt>
                <c:pt idx="30">
                  <c:v>2.4529914529914532</c:v>
                </c:pt>
                <c:pt idx="31">
                  <c:v>2.4521739130434783</c:v>
                </c:pt>
                <c:pt idx="32">
                  <c:v>2.8786610878661087</c:v>
                </c:pt>
                <c:pt idx="33">
                  <c:v>4.4398340248962649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7F-4459-A5BB-35E5EEC781AE}"/>
            </c:ext>
          </c:extLst>
        </c:ser>
        <c:ser>
          <c:idx val="1"/>
          <c:order val="1"/>
          <c:tx>
            <c:v>Estándar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'13. Pilotaje Rougher'!$P$19</c:f>
              <c:numCache>
                <c:formatCode>0</c:formatCode>
                <c:ptCount val="1"/>
                <c:pt idx="0">
                  <c:v>12.537733950493056</c:v>
                </c:pt>
              </c:numCache>
            </c:numRef>
          </c:xVal>
          <c:yVal>
            <c:numRef>
              <c:f>'13. Pilotaje Rougher'!$Q$19</c:f>
              <c:numCache>
                <c:formatCode>0.000</c:formatCode>
                <c:ptCount val="1"/>
                <c:pt idx="0">
                  <c:v>3.6307692307692307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7F-4459-A5BB-35E5EEC78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3783871"/>
        <c:axId val="493784351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Cu Cabeza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2"/>
                      </a:solidFill>
                      <a:prstDash val="sysDash"/>
                    </a:ln>
                    <a:effectLst/>
                  </c:spPr>
                  <c:trendlineType val="linear"/>
                  <c:dispRSqr val="0"/>
                  <c:dispEq val="0"/>
                </c:trendline>
                <c:xVal>
                  <c:strRef>
                    <c:extLst>
                      <c:ext uri="{02D57815-91ED-43cb-92C2-25804820EDAC}">
                        <c15:formulaRef>
                          <c15:sqref>'13. Pilotaje Rougher'!$E$19:$E$89</c15:sqref>
                        </c15:formulaRef>
                      </c:ext>
                    </c:extLst>
                    <c:strCache>
                      <c:ptCount val="46"/>
                      <c:pt idx="0">
                        <c:v>Cu</c:v>
                      </c:pt>
                      <c:pt idx="1">
                        <c:v>Cu</c:v>
                      </c:pt>
                      <c:pt idx="2">
                        <c:v>Cu</c:v>
                      </c:pt>
                      <c:pt idx="3">
                        <c:v>Cu</c:v>
                      </c:pt>
                      <c:pt idx="4">
                        <c:v>Cu</c:v>
                      </c:pt>
                      <c:pt idx="5">
                        <c:v>Cu</c:v>
                      </c:pt>
                      <c:pt idx="6">
                        <c:v>Cu</c:v>
                      </c:pt>
                      <c:pt idx="7">
                        <c:v>Cu</c:v>
                      </c:pt>
                      <c:pt idx="8">
                        <c:v>Cu</c:v>
                      </c:pt>
                      <c:pt idx="9">
                        <c:v>Cu</c:v>
                      </c:pt>
                      <c:pt idx="10">
                        <c:v>Cu</c:v>
                      </c:pt>
                      <c:pt idx="11">
                        <c:v>Cu</c:v>
                      </c:pt>
                      <c:pt idx="12">
                        <c:v>Cu</c:v>
                      </c:pt>
                      <c:pt idx="13">
                        <c:v>Cu</c:v>
                      </c:pt>
                      <c:pt idx="14">
                        <c:v>Cu</c:v>
                      </c:pt>
                      <c:pt idx="15">
                        <c:v>Cu</c:v>
                      </c:pt>
                      <c:pt idx="16">
                        <c:v>Cu</c:v>
                      </c:pt>
                      <c:pt idx="17">
                        <c:v>Cu</c:v>
                      </c:pt>
                      <c:pt idx="18">
                        <c:v>Cu</c:v>
                      </c:pt>
                      <c:pt idx="19">
                        <c:v>Cu</c:v>
                      </c:pt>
                      <c:pt idx="20">
                        <c:v>Cu</c:v>
                      </c:pt>
                      <c:pt idx="21">
                        <c:v>Cu</c:v>
                      </c:pt>
                      <c:pt idx="22">
                        <c:v>Cu</c:v>
                      </c:pt>
                      <c:pt idx="23">
                        <c:v>Cu</c:v>
                      </c:pt>
                      <c:pt idx="24">
                        <c:v>Cu</c:v>
                      </c:pt>
                      <c:pt idx="25">
                        <c:v>Cu</c:v>
                      </c:pt>
                      <c:pt idx="26">
                        <c:v>Cu</c:v>
                      </c:pt>
                      <c:pt idx="27">
                        <c:v>Cu</c:v>
                      </c:pt>
                      <c:pt idx="28">
                        <c:v>Cu</c:v>
                      </c:pt>
                      <c:pt idx="29">
                        <c:v>Cu</c:v>
                      </c:pt>
                      <c:pt idx="30">
                        <c:v>Cu</c:v>
                      </c:pt>
                      <c:pt idx="31">
                        <c:v>Cu</c:v>
                      </c:pt>
                      <c:pt idx="32">
                        <c:v>Cu</c:v>
                      </c:pt>
                      <c:pt idx="33">
                        <c:v>Cu</c:v>
                      </c:pt>
                      <c:pt idx="35">
                        <c:v>Cond #1</c:v>
                      </c:pt>
                      <c:pt idx="36">
                        <c:v>Cond #2</c:v>
                      </c:pt>
                      <c:pt idx="37">
                        <c:v>Conc. Ro</c:v>
                      </c:pt>
                      <c:pt idx="38">
                        <c:v>0.31</c:v>
                      </c:pt>
                      <c:pt idx="39">
                        <c:v>0.25</c:v>
                      </c:pt>
                      <c:pt idx="40">
                        <c:v>5.16</c:v>
                      </c:pt>
                      <c:pt idx="41">
                        <c:v>3.21</c:v>
                      </c:pt>
                      <c:pt idx="42">
                        <c:v>1.62</c:v>
                      </c:pt>
                      <c:pt idx="43">
                        <c:v>0.81</c:v>
                      </c:pt>
                      <c:pt idx="44">
                        <c:v>8.39</c:v>
                      </c:pt>
                      <c:pt idx="45">
                        <c:v>4.84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'13. Pilotaje Rougher'!$M$19:$M$86</c15:sqref>
                        </c15:formulaRef>
                      </c:ext>
                    </c:extLst>
                    <c:numCache>
                      <c:formatCode>0.00</c:formatCode>
                      <c:ptCount val="68"/>
                      <c:pt idx="0" formatCode="0.000">
                        <c:v>1.95</c:v>
                      </c:pt>
                      <c:pt idx="1">
                        <c:v>1.87</c:v>
                      </c:pt>
                      <c:pt idx="2">
                        <c:v>2.11</c:v>
                      </c:pt>
                      <c:pt idx="3">
                        <c:v>2.2400000000000002</c:v>
                      </c:pt>
                      <c:pt idx="4">
                        <c:v>2.4</c:v>
                      </c:pt>
                      <c:pt idx="5">
                        <c:v>2.33</c:v>
                      </c:pt>
                      <c:pt idx="6">
                        <c:v>2.4700000000000002</c:v>
                      </c:pt>
                      <c:pt idx="7">
                        <c:v>2.3199999999999998</c:v>
                      </c:pt>
                      <c:pt idx="8">
                        <c:v>2.5</c:v>
                      </c:pt>
                      <c:pt idx="9">
                        <c:v>2.33</c:v>
                      </c:pt>
                      <c:pt idx="10">
                        <c:v>2.33</c:v>
                      </c:pt>
                      <c:pt idx="11">
                        <c:v>2.4300000000000002</c:v>
                      </c:pt>
                      <c:pt idx="12">
                        <c:v>2.2799999999999998</c:v>
                      </c:pt>
                      <c:pt idx="13">
                        <c:v>2.42</c:v>
                      </c:pt>
                      <c:pt idx="14">
                        <c:v>2.2999999999999998</c:v>
                      </c:pt>
                      <c:pt idx="15">
                        <c:v>2.4</c:v>
                      </c:pt>
                      <c:pt idx="16">
                        <c:v>2.39</c:v>
                      </c:pt>
                      <c:pt idx="17">
                        <c:v>2.27</c:v>
                      </c:pt>
                      <c:pt idx="18">
                        <c:v>2.38</c:v>
                      </c:pt>
                      <c:pt idx="19">
                        <c:v>2.33</c:v>
                      </c:pt>
                      <c:pt idx="20">
                        <c:v>2.36</c:v>
                      </c:pt>
                      <c:pt idx="21">
                        <c:v>2.35</c:v>
                      </c:pt>
                      <c:pt idx="22">
                        <c:v>2.46</c:v>
                      </c:pt>
                      <c:pt idx="23">
                        <c:v>2.34</c:v>
                      </c:pt>
                      <c:pt idx="24">
                        <c:v>2.34</c:v>
                      </c:pt>
                      <c:pt idx="25">
                        <c:v>2.37</c:v>
                      </c:pt>
                      <c:pt idx="26">
                        <c:v>2.2799999999999998</c:v>
                      </c:pt>
                      <c:pt idx="27">
                        <c:v>2.3199999999999998</c:v>
                      </c:pt>
                      <c:pt idx="28">
                        <c:v>2.37</c:v>
                      </c:pt>
                      <c:pt idx="29">
                        <c:v>2.36</c:v>
                      </c:pt>
                      <c:pt idx="30">
                        <c:v>2.34</c:v>
                      </c:pt>
                      <c:pt idx="31">
                        <c:v>2.2999999999999998</c:v>
                      </c:pt>
                      <c:pt idx="32">
                        <c:v>2.39</c:v>
                      </c:pt>
                      <c:pt idx="33">
                        <c:v>2.41</c:v>
                      </c:pt>
                      <c:pt idx="34">
                        <c:v>2.3562500000000002</c:v>
                      </c:pt>
                      <c:pt idx="37" formatCode="General">
                        <c:v>0</c:v>
                      </c:pt>
                      <c:pt idx="38">
                        <c:v>6.4045983590688457E-2</c:v>
                      </c:pt>
                      <c:pt idx="39">
                        <c:v>1.81966215784761E-2</c:v>
                      </c:pt>
                      <c:pt idx="42" formatCode="General">
                        <c:v>0</c:v>
                      </c:pt>
                      <c:pt idx="43">
                        <c:v>19.942536693436715</c:v>
                      </c:pt>
                      <c:pt idx="44">
                        <c:v>67.203582687851011</c:v>
                      </c:pt>
                      <c:pt idx="45">
                        <c:v>36.584189608821283</c:v>
                      </c:pt>
                      <c:pt idx="46">
                        <c:v>34.920409770511178</c:v>
                      </c:pt>
                      <c:pt idx="47">
                        <c:v>33.875504666093043</c:v>
                      </c:pt>
                      <c:pt idx="67" formatCode="General">
                        <c:v>0.66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427F-4459-A5BB-35E5EEC781AE}"/>
                  </c:ext>
                </c:extLst>
              </c15:ser>
            </c15:filteredScatterSeries>
          </c:ext>
        </c:extLst>
      </c:scatterChart>
      <c:valAx>
        <c:axId val="493783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r>
                  <a:rPr lang="en-US"/>
                  <a:t>Razón</a:t>
                </a:r>
                <a:r>
                  <a:rPr lang="en-US" baseline="0"/>
                  <a:t> Enriquecimiento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ource Sans Pro" panose="020B0503030403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endParaRPr lang="es-CL"/>
          </a:p>
        </c:txPr>
        <c:crossAx val="493784351"/>
        <c:crosses val="autoZero"/>
        <c:crossBetween val="midCat"/>
        <c:majorUnit val="2"/>
      </c:valAx>
      <c:valAx>
        <c:axId val="49378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r>
                  <a:rPr lang="es-CL"/>
                  <a:t>Mass</a:t>
                </a:r>
                <a:r>
                  <a:rPr lang="es-CL" baseline="0"/>
                  <a:t> Pull </a:t>
                </a:r>
                <a:r>
                  <a:rPr lang="es-CL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ource Sans Pro" panose="020B0503030403020204" pitchFamily="34" charset="0"/>
                  <a:ea typeface="+mn-ea"/>
                  <a:cs typeface="+mn-cs"/>
                </a:defRPr>
              </a:pPr>
              <a:endParaRPr lang="es-C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endParaRPr lang="es-CL"/>
          </a:p>
        </c:txPr>
        <c:crossAx val="493783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ource Sans Pro" panose="020B0503030403020204" pitchFamily="34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Source Sans Pro" panose="020B0503030403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r>
              <a:rPr lang="en-US" b="1"/>
              <a:t>Variaciones de la Recuperación de Cu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ource Sans Pro" panose="020B0503030403020204" pitchFamily="34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Pilotaje</c:v>
          </c:tx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E7F-4FFF-9A73-9EC3A17E3E16}"/>
              </c:ext>
            </c:extLst>
          </c:dPt>
          <c:cat>
            <c:strRef>
              <c:f>'13. Pilotaje Rougher'!$E$19:$E$52</c:f>
              <c:strCache>
                <c:ptCount val="34"/>
                <c:pt idx="0">
                  <c:v>Cu</c:v>
                </c:pt>
                <c:pt idx="1">
                  <c:v>Cu</c:v>
                </c:pt>
                <c:pt idx="2">
                  <c:v>Cu</c:v>
                </c:pt>
                <c:pt idx="3">
                  <c:v>Cu</c:v>
                </c:pt>
                <c:pt idx="4">
                  <c:v>Cu</c:v>
                </c:pt>
                <c:pt idx="5">
                  <c:v>Cu</c:v>
                </c:pt>
                <c:pt idx="6">
                  <c:v>Cu</c:v>
                </c:pt>
                <c:pt idx="7">
                  <c:v>Cu</c:v>
                </c:pt>
                <c:pt idx="8">
                  <c:v>Cu</c:v>
                </c:pt>
                <c:pt idx="9">
                  <c:v>Cu</c:v>
                </c:pt>
                <c:pt idx="10">
                  <c:v>Cu</c:v>
                </c:pt>
                <c:pt idx="11">
                  <c:v>Cu</c:v>
                </c:pt>
                <c:pt idx="12">
                  <c:v>Cu</c:v>
                </c:pt>
                <c:pt idx="13">
                  <c:v>Cu</c:v>
                </c:pt>
                <c:pt idx="14">
                  <c:v>Cu</c:v>
                </c:pt>
                <c:pt idx="15">
                  <c:v>Cu</c:v>
                </c:pt>
                <c:pt idx="16">
                  <c:v>Cu</c:v>
                </c:pt>
                <c:pt idx="17">
                  <c:v>Cu</c:v>
                </c:pt>
                <c:pt idx="18">
                  <c:v>Cu</c:v>
                </c:pt>
                <c:pt idx="19">
                  <c:v>Cu</c:v>
                </c:pt>
                <c:pt idx="20">
                  <c:v>Cu</c:v>
                </c:pt>
                <c:pt idx="21">
                  <c:v>Cu</c:v>
                </c:pt>
                <c:pt idx="22">
                  <c:v>Cu</c:v>
                </c:pt>
                <c:pt idx="23">
                  <c:v>Cu</c:v>
                </c:pt>
                <c:pt idx="24">
                  <c:v>Cu</c:v>
                </c:pt>
                <c:pt idx="25">
                  <c:v>Cu</c:v>
                </c:pt>
                <c:pt idx="26">
                  <c:v>Cu</c:v>
                </c:pt>
                <c:pt idx="27">
                  <c:v>Cu</c:v>
                </c:pt>
                <c:pt idx="28">
                  <c:v>Cu</c:v>
                </c:pt>
                <c:pt idx="29">
                  <c:v>Cu</c:v>
                </c:pt>
                <c:pt idx="30">
                  <c:v>Cu</c:v>
                </c:pt>
                <c:pt idx="31">
                  <c:v>Cu</c:v>
                </c:pt>
                <c:pt idx="32">
                  <c:v>Cu</c:v>
                </c:pt>
                <c:pt idx="33">
                  <c:v>Cu</c:v>
                </c:pt>
              </c:strCache>
            </c:strRef>
          </c:cat>
          <c:val>
            <c:numRef>
              <c:f>'13. Pilotaje Rougher'!$K$19:$K$52</c:f>
              <c:numCache>
                <c:formatCode>0</c:formatCode>
                <c:ptCount val="34"/>
                <c:pt idx="0">
                  <c:v>86.345466728301076</c:v>
                </c:pt>
                <c:pt idx="1">
                  <c:v>78.903949456825416</c:v>
                </c:pt>
                <c:pt idx="2">
                  <c:v>83.599805301625324</c:v>
                </c:pt>
                <c:pt idx="3">
                  <c:v>83.117428633835715</c:v>
                </c:pt>
                <c:pt idx="4">
                  <c:v>78.227202095427174</c:v>
                </c:pt>
                <c:pt idx="5">
                  <c:v>81.094702297233951</c:v>
                </c:pt>
                <c:pt idx="6">
                  <c:v>80.124874510807373</c:v>
                </c:pt>
                <c:pt idx="7">
                  <c:v>80.570501568940827</c:v>
                </c:pt>
                <c:pt idx="8">
                  <c:v>80.943136493593585</c:v>
                </c:pt>
                <c:pt idx="9">
                  <c:v>80.399944512991979</c:v>
                </c:pt>
                <c:pt idx="10">
                  <c:v>80.577064153775609</c:v>
                </c:pt>
                <c:pt idx="11">
                  <c:v>75.139695742134549</c:v>
                </c:pt>
                <c:pt idx="12">
                  <c:v>79.048176561809967</c:v>
                </c:pt>
                <c:pt idx="13">
                  <c:v>78.066685745597113</c:v>
                </c:pt>
                <c:pt idx="14">
                  <c:v>74.709939180158031</c:v>
                </c:pt>
                <c:pt idx="15">
                  <c:v>74.079827986075429</c:v>
                </c:pt>
                <c:pt idx="16">
                  <c:v>82.600628033114461</c:v>
                </c:pt>
                <c:pt idx="17">
                  <c:v>85.523828390310157</c:v>
                </c:pt>
                <c:pt idx="18">
                  <c:v>83.828025237307415</c:v>
                </c:pt>
                <c:pt idx="19">
                  <c:v>82.330839335244619</c:v>
                </c:pt>
                <c:pt idx="20">
                  <c:v>83.3888595580962</c:v>
                </c:pt>
                <c:pt idx="21">
                  <c:v>84.222682051239346</c:v>
                </c:pt>
                <c:pt idx="22">
                  <c:v>81.528161281906335</c:v>
                </c:pt>
                <c:pt idx="23">
                  <c:v>84.633440669844248</c:v>
                </c:pt>
                <c:pt idx="24">
                  <c:v>84.53089361294532</c:v>
                </c:pt>
                <c:pt idx="25">
                  <c:v>84.173557509599135</c:v>
                </c:pt>
                <c:pt idx="26">
                  <c:v>85.734761501117347</c:v>
                </c:pt>
                <c:pt idx="27">
                  <c:v>86.915972065780593</c:v>
                </c:pt>
                <c:pt idx="28">
                  <c:v>86.067613895808009</c:v>
                </c:pt>
                <c:pt idx="29">
                  <c:v>85.143989604084297</c:v>
                </c:pt>
                <c:pt idx="30">
                  <c:v>85.614198254144952</c:v>
                </c:pt>
                <c:pt idx="31">
                  <c:v>85.061105518949205</c:v>
                </c:pt>
                <c:pt idx="32">
                  <c:v>84.903658139155951</c:v>
                </c:pt>
                <c:pt idx="33">
                  <c:v>81.94274408263982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7F-4FFF-9A73-9EC3A17E3E16}"/>
            </c:ext>
          </c:extLst>
        </c:ser>
        <c:ser>
          <c:idx val="1"/>
          <c:order val="1"/>
          <c:tx>
            <c:v>Estándar</c:v>
          </c:tx>
          <c:spPr>
            <a:solidFill>
              <a:schemeClr val="accent2"/>
            </a:solidFill>
            <a:ln w="25400">
              <a:noFill/>
            </a:ln>
            <a:effectLst/>
          </c:spPr>
          <c:invertIfNegative val="0"/>
          <c:cat>
            <c:strRef>
              <c:f>'13. Pilotaje Rougher'!$E$19</c:f>
              <c:strCache>
                <c:ptCount val="1"/>
                <c:pt idx="0">
                  <c:v>Cu</c:v>
                </c:pt>
              </c:strCache>
            </c:strRef>
          </c:cat>
          <c:val>
            <c:numRef>
              <c:f>'13. Pilotaje Rougher'!$K$19</c:f>
              <c:numCache>
                <c:formatCode>0</c:formatCode>
                <c:ptCount val="1"/>
                <c:pt idx="0">
                  <c:v>86.345466728301076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7F-4FFF-9A73-9EC3A17E3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3783871"/>
        <c:axId val="493784351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v>Cu Cabeza</c:v>
                </c:tx>
                <c:spPr>
                  <a:solidFill>
                    <a:schemeClr val="accent3"/>
                  </a:solidFill>
                  <a:ln>
                    <a:solidFill>
                      <a:schemeClr val="accent2"/>
                    </a:solidFill>
                    <a:prstDash val="sysDash"/>
                  </a:ln>
                  <a:effectLst/>
                </c:spPr>
                <c:invertIfNegative val="0"/>
                <c:trendline>
                  <c:spPr>
                    <a:ln w="19050" cap="rnd">
                      <a:solidFill>
                        <a:schemeClr val="accent2"/>
                      </a:solidFill>
                      <a:prstDash val="sysDash"/>
                    </a:ln>
                    <a:effectLst/>
                  </c:spPr>
                  <c:trendlineType val="linear"/>
                  <c:dispRSqr val="0"/>
                  <c:dispEq val="0"/>
                </c:trendline>
                <c:cat>
                  <c:strRef>
                    <c:extLst>
                      <c:ext uri="{02D57815-91ED-43cb-92C2-25804820EDAC}">
                        <c15:formulaRef>
                          <c15:sqref>'13. Pilotaje Rougher'!$E$19:$E$89</c15:sqref>
                        </c15:formulaRef>
                      </c:ext>
                    </c:extLst>
                    <c:strCache>
                      <c:ptCount val="46"/>
                      <c:pt idx="0">
                        <c:v>Cu</c:v>
                      </c:pt>
                      <c:pt idx="1">
                        <c:v>Cu</c:v>
                      </c:pt>
                      <c:pt idx="2">
                        <c:v>Cu</c:v>
                      </c:pt>
                      <c:pt idx="3">
                        <c:v>Cu</c:v>
                      </c:pt>
                      <c:pt idx="4">
                        <c:v>Cu</c:v>
                      </c:pt>
                      <c:pt idx="5">
                        <c:v>Cu</c:v>
                      </c:pt>
                      <c:pt idx="6">
                        <c:v>Cu</c:v>
                      </c:pt>
                      <c:pt idx="7">
                        <c:v>Cu</c:v>
                      </c:pt>
                      <c:pt idx="8">
                        <c:v>Cu</c:v>
                      </c:pt>
                      <c:pt idx="9">
                        <c:v>Cu</c:v>
                      </c:pt>
                      <c:pt idx="10">
                        <c:v>Cu</c:v>
                      </c:pt>
                      <c:pt idx="11">
                        <c:v>Cu</c:v>
                      </c:pt>
                      <c:pt idx="12">
                        <c:v>Cu</c:v>
                      </c:pt>
                      <c:pt idx="13">
                        <c:v>Cu</c:v>
                      </c:pt>
                      <c:pt idx="14">
                        <c:v>Cu</c:v>
                      </c:pt>
                      <c:pt idx="15">
                        <c:v>Cu</c:v>
                      </c:pt>
                      <c:pt idx="16">
                        <c:v>Cu</c:v>
                      </c:pt>
                      <c:pt idx="17">
                        <c:v>Cu</c:v>
                      </c:pt>
                      <c:pt idx="18">
                        <c:v>Cu</c:v>
                      </c:pt>
                      <c:pt idx="19">
                        <c:v>Cu</c:v>
                      </c:pt>
                      <c:pt idx="20">
                        <c:v>Cu</c:v>
                      </c:pt>
                      <c:pt idx="21">
                        <c:v>Cu</c:v>
                      </c:pt>
                      <c:pt idx="22">
                        <c:v>Cu</c:v>
                      </c:pt>
                      <c:pt idx="23">
                        <c:v>Cu</c:v>
                      </c:pt>
                      <c:pt idx="24">
                        <c:v>Cu</c:v>
                      </c:pt>
                      <c:pt idx="25">
                        <c:v>Cu</c:v>
                      </c:pt>
                      <c:pt idx="26">
                        <c:v>Cu</c:v>
                      </c:pt>
                      <c:pt idx="27">
                        <c:v>Cu</c:v>
                      </c:pt>
                      <c:pt idx="28">
                        <c:v>Cu</c:v>
                      </c:pt>
                      <c:pt idx="29">
                        <c:v>Cu</c:v>
                      </c:pt>
                      <c:pt idx="30">
                        <c:v>Cu</c:v>
                      </c:pt>
                      <c:pt idx="31">
                        <c:v>Cu</c:v>
                      </c:pt>
                      <c:pt idx="32">
                        <c:v>Cu</c:v>
                      </c:pt>
                      <c:pt idx="33">
                        <c:v>Cu</c:v>
                      </c:pt>
                      <c:pt idx="35">
                        <c:v>Cond #1</c:v>
                      </c:pt>
                      <c:pt idx="36">
                        <c:v>Cond #2</c:v>
                      </c:pt>
                      <c:pt idx="37">
                        <c:v>Conc. Ro</c:v>
                      </c:pt>
                      <c:pt idx="38">
                        <c:v>0.31</c:v>
                      </c:pt>
                      <c:pt idx="39">
                        <c:v>0.25</c:v>
                      </c:pt>
                      <c:pt idx="40">
                        <c:v>5.16</c:v>
                      </c:pt>
                      <c:pt idx="41">
                        <c:v>3.21</c:v>
                      </c:pt>
                      <c:pt idx="42">
                        <c:v>1.62</c:v>
                      </c:pt>
                      <c:pt idx="43">
                        <c:v>0.81</c:v>
                      </c:pt>
                      <c:pt idx="44">
                        <c:v>8.39</c:v>
                      </c:pt>
                      <c:pt idx="45">
                        <c:v>4.84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'13. Pilotaje Rougher'!$M$19:$M$86</c15:sqref>
                        </c15:formulaRef>
                      </c:ext>
                    </c:extLst>
                    <c:numCache>
                      <c:formatCode>0.00</c:formatCode>
                      <c:ptCount val="68"/>
                      <c:pt idx="0" formatCode="0.000">
                        <c:v>1.95</c:v>
                      </c:pt>
                      <c:pt idx="1">
                        <c:v>1.87</c:v>
                      </c:pt>
                      <c:pt idx="2">
                        <c:v>2.11</c:v>
                      </c:pt>
                      <c:pt idx="3">
                        <c:v>2.2400000000000002</c:v>
                      </c:pt>
                      <c:pt idx="4">
                        <c:v>2.4</c:v>
                      </c:pt>
                      <c:pt idx="5">
                        <c:v>2.33</c:v>
                      </c:pt>
                      <c:pt idx="6">
                        <c:v>2.4700000000000002</c:v>
                      </c:pt>
                      <c:pt idx="7">
                        <c:v>2.3199999999999998</c:v>
                      </c:pt>
                      <c:pt idx="8">
                        <c:v>2.5</c:v>
                      </c:pt>
                      <c:pt idx="9">
                        <c:v>2.33</c:v>
                      </c:pt>
                      <c:pt idx="10">
                        <c:v>2.33</c:v>
                      </c:pt>
                      <c:pt idx="11">
                        <c:v>2.4300000000000002</c:v>
                      </c:pt>
                      <c:pt idx="12">
                        <c:v>2.2799999999999998</c:v>
                      </c:pt>
                      <c:pt idx="13">
                        <c:v>2.42</c:v>
                      </c:pt>
                      <c:pt idx="14">
                        <c:v>2.2999999999999998</c:v>
                      </c:pt>
                      <c:pt idx="15">
                        <c:v>2.4</c:v>
                      </c:pt>
                      <c:pt idx="16">
                        <c:v>2.39</c:v>
                      </c:pt>
                      <c:pt idx="17">
                        <c:v>2.27</c:v>
                      </c:pt>
                      <c:pt idx="18">
                        <c:v>2.38</c:v>
                      </c:pt>
                      <c:pt idx="19">
                        <c:v>2.33</c:v>
                      </c:pt>
                      <c:pt idx="20">
                        <c:v>2.36</c:v>
                      </c:pt>
                      <c:pt idx="21">
                        <c:v>2.35</c:v>
                      </c:pt>
                      <c:pt idx="22">
                        <c:v>2.46</c:v>
                      </c:pt>
                      <c:pt idx="23">
                        <c:v>2.34</c:v>
                      </c:pt>
                      <c:pt idx="24">
                        <c:v>2.34</c:v>
                      </c:pt>
                      <c:pt idx="25">
                        <c:v>2.37</c:v>
                      </c:pt>
                      <c:pt idx="26">
                        <c:v>2.2799999999999998</c:v>
                      </c:pt>
                      <c:pt idx="27">
                        <c:v>2.3199999999999998</c:v>
                      </c:pt>
                      <c:pt idx="28">
                        <c:v>2.37</c:v>
                      </c:pt>
                      <c:pt idx="29">
                        <c:v>2.36</c:v>
                      </c:pt>
                      <c:pt idx="30">
                        <c:v>2.34</c:v>
                      </c:pt>
                      <c:pt idx="31">
                        <c:v>2.2999999999999998</c:v>
                      </c:pt>
                      <c:pt idx="32">
                        <c:v>2.39</c:v>
                      </c:pt>
                      <c:pt idx="33">
                        <c:v>2.41</c:v>
                      </c:pt>
                      <c:pt idx="34">
                        <c:v>2.3562500000000002</c:v>
                      </c:pt>
                      <c:pt idx="37" formatCode="General">
                        <c:v>0</c:v>
                      </c:pt>
                      <c:pt idx="38">
                        <c:v>6.4045983590688457E-2</c:v>
                      </c:pt>
                      <c:pt idx="39">
                        <c:v>1.81966215784761E-2</c:v>
                      </c:pt>
                      <c:pt idx="42" formatCode="General">
                        <c:v>0</c:v>
                      </c:pt>
                      <c:pt idx="43">
                        <c:v>19.942536693436715</c:v>
                      </c:pt>
                      <c:pt idx="44">
                        <c:v>67.203582687851011</c:v>
                      </c:pt>
                      <c:pt idx="45">
                        <c:v>36.584189608821283</c:v>
                      </c:pt>
                      <c:pt idx="46">
                        <c:v>34.920409770511178</c:v>
                      </c:pt>
                      <c:pt idx="47">
                        <c:v>33.875504666093043</c:v>
                      </c:pt>
                      <c:pt idx="67" formatCode="General">
                        <c:v>0.66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FE7F-4FFF-9A73-9EC3A17E3E1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v>Ley Cu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'13. Pilotaje Rougher'!$H$19:$H$52</c:f>
              <c:numCache>
                <c:formatCode>0.00</c:formatCode>
                <c:ptCount val="34"/>
                <c:pt idx="0" formatCode="0.000">
                  <c:v>4.46</c:v>
                </c:pt>
                <c:pt idx="1">
                  <c:v>2.0830000000000002</c:v>
                </c:pt>
                <c:pt idx="2">
                  <c:v>3.415</c:v>
                </c:pt>
                <c:pt idx="3">
                  <c:v>3.629</c:v>
                </c:pt>
                <c:pt idx="4">
                  <c:v>6.22</c:v>
                </c:pt>
                <c:pt idx="5">
                  <c:v>5.55</c:v>
                </c:pt>
                <c:pt idx="6">
                  <c:v>7.48</c:v>
                </c:pt>
                <c:pt idx="7">
                  <c:v>5.01</c:v>
                </c:pt>
                <c:pt idx="8">
                  <c:v>6.09</c:v>
                </c:pt>
                <c:pt idx="9">
                  <c:v>5.91</c:v>
                </c:pt>
                <c:pt idx="10">
                  <c:v>2.984</c:v>
                </c:pt>
                <c:pt idx="11">
                  <c:v>6.22</c:v>
                </c:pt>
                <c:pt idx="12">
                  <c:v>6.02</c:v>
                </c:pt>
                <c:pt idx="13">
                  <c:v>6.16</c:v>
                </c:pt>
                <c:pt idx="14">
                  <c:v>6.87</c:v>
                </c:pt>
                <c:pt idx="15">
                  <c:v>6.92</c:v>
                </c:pt>
                <c:pt idx="16">
                  <c:v>3.8580000000000001</c:v>
                </c:pt>
                <c:pt idx="17">
                  <c:v>3.2730000000000001</c:v>
                </c:pt>
                <c:pt idx="18">
                  <c:v>3.8279999999999998</c:v>
                </c:pt>
                <c:pt idx="19">
                  <c:v>3.2949999999999999</c:v>
                </c:pt>
                <c:pt idx="20">
                  <c:v>5.08</c:v>
                </c:pt>
                <c:pt idx="21">
                  <c:v>2.6709999999999998</c:v>
                </c:pt>
                <c:pt idx="22">
                  <c:v>3.327</c:v>
                </c:pt>
                <c:pt idx="23">
                  <c:v>4.4169999999999998</c:v>
                </c:pt>
                <c:pt idx="24">
                  <c:v>3.0529999999999999</c:v>
                </c:pt>
                <c:pt idx="25">
                  <c:v>3.472</c:v>
                </c:pt>
                <c:pt idx="26">
                  <c:v>3.532</c:v>
                </c:pt>
                <c:pt idx="27">
                  <c:v>2.6259999999999999</c:v>
                </c:pt>
                <c:pt idx="28">
                  <c:v>3.1139999999999999</c:v>
                </c:pt>
                <c:pt idx="29">
                  <c:v>2.7090000000000001</c:v>
                </c:pt>
                <c:pt idx="30">
                  <c:v>2.153</c:v>
                </c:pt>
                <c:pt idx="31">
                  <c:v>2.0870000000000002</c:v>
                </c:pt>
                <c:pt idx="32">
                  <c:v>2.3029999999999999</c:v>
                </c:pt>
                <c:pt idx="33">
                  <c:v>3.7450000000000001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E7F-4FFF-9A73-9EC3A17E3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9723471"/>
        <c:axId val="529699471"/>
      </c:lineChart>
      <c:catAx>
        <c:axId val="49378387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493784351"/>
        <c:crosses val="autoZero"/>
        <c:auto val="1"/>
        <c:lblAlgn val="ctr"/>
        <c:lblOffset val="100"/>
        <c:noMultiLvlLbl val="0"/>
      </c:catAx>
      <c:valAx>
        <c:axId val="4937843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r>
                  <a:rPr lang="es-CL"/>
                  <a:t>Recuperación Cu</a:t>
                </a:r>
                <a:r>
                  <a:rPr lang="es-CL" baseline="0"/>
                  <a:t> %</a:t>
                </a: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ource Sans Pro" panose="020B0503030403020204" pitchFamily="34" charset="0"/>
                  <a:ea typeface="+mn-ea"/>
                  <a:cs typeface="+mn-cs"/>
                </a:defRPr>
              </a:pPr>
              <a:endParaRPr lang="es-C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endParaRPr lang="es-CL"/>
          </a:p>
        </c:txPr>
        <c:crossAx val="493783871"/>
        <c:crosses val="autoZero"/>
        <c:crossBetween val="between"/>
      </c:valAx>
      <c:valAx>
        <c:axId val="529699471"/>
        <c:scaling>
          <c:orientation val="minMax"/>
          <c:max val="8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r>
                  <a:rPr lang="es-CL"/>
                  <a:t>Ley Cu Concentrado Ro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ource Sans Pro" panose="020B0503030403020204" pitchFamily="34" charset="0"/>
                  <a:ea typeface="+mn-ea"/>
                  <a:cs typeface="+mn-cs"/>
                </a:defRPr>
              </a:pPr>
              <a:endParaRPr lang="es-CL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endParaRPr lang="es-CL"/>
          </a:p>
        </c:txPr>
        <c:crossAx val="529723471"/>
        <c:crosses val="max"/>
        <c:crossBetween val="between"/>
      </c:valAx>
      <c:catAx>
        <c:axId val="529723471"/>
        <c:scaling>
          <c:orientation val="minMax"/>
        </c:scaling>
        <c:delete val="1"/>
        <c:axPos val="b"/>
        <c:majorTickMark val="out"/>
        <c:minorTickMark val="none"/>
        <c:tickLblPos val="nextTo"/>
        <c:crossAx val="5296994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ource Sans Pro" panose="020B0503030403020204" pitchFamily="34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Source Sans Pro" panose="020B0503030403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  <c:userShapes r:id="rId3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r>
              <a:rPr lang="en-US" b="1"/>
              <a:t>Variaciones de la Recuperación de Fe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ource Sans Pro" panose="020B0503030403020204" pitchFamily="34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Pilotaje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C36-478B-B6F6-861BCCBD347D}"/>
              </c:ext>
            </c:extLst>
          </c:dPt>
          <c:cat>
            <c:strRef>
              <c:f>'13. Pilotaje Rougher'!$E$19:$E$52</c:f>
              <c:strCache>
                <c:ptCount val="34"/>
                <c:pt idx="0">
                  <c:v>Cu</c:v>
                </c:pt>
                <c:pt idx="1">
                  <c:v>Cu</c:v>
                </c:pt>
                <c:pt idx="2">
                  <c:v>Cu</c:v>
                </c:pt>
                <c:pt idx="3">
                  <c:v>Cu</c:v>
                </c:pt>
                <c:pt idx="4">
                  <c:v>Cu</c:v>
                </c:pt>
                <c:pt idx="5">
                  <c:v>Cu</c:v>
                </c:pt>
                <c:pt idx="6">
                  <c:v>Cu</c:v>
                </c:pt>
                <c:pt idx="7">
                  <c:v>Cu</c:v>
                </c:pt>
                <c:pt idx="8">
                  <c:v>Cu</c:v>
                </c:pt>
                <c:pt idx="9">
                  <c:v>Cu</c:v>
                </c:pt>
                <c:pt idx="10">
                  <c:v>Cu</c:v>
                </c:pt>
                <c:pt idx="11">
                  <c:v>Cu</c:v>
                </c:pt>
                <c:pt idx="12">
                  <c:v>Cu</c:v>
                </c:pt>
                <c:pt idx="13">
                  <c:v>Cu</c:v>
                </c:pt>
                <c:pt idx="14">
                  <c:v>Cu</c:v>
                </c:pt>
                <c:pt idx="15">
                  <c:v>Cu</c:v>
                </c:pt>
                <c:pt idx="16">
                  <c:v>Cu</c:v>
                </c:pt>
                <c:pt idx="17">
                  <c:v>Cu</c:v>
                </c:pt>
                <c:pt idx="18">
                  <c:v>Cu</c:v>
                </c:pt>
                <c:pt idx="19">
                  <c:v>Cu</c:v>
                </c:pt>
                <c:pt idx="20">
                  <c:v>Cu</c:v>
                </c:pt>
                <c:pt idx="21">
                  <c:v>Cu</c:v>
                </c:pt>
                <c:pt idx="22">
                  <c:v>Cu</c:v>
                </c:pt>
                <c:pt idx="23">
                  <c:v>Cu</c:v>
                </c:pt>
                <c:pt idx="24">
                  <c:v>Cu</c:v>
                </c:pt>
                <c:pt idx="25">
                  <c:v>Cu</c:v>
                </c:pt>
                <c:pt idx="26">
                  <c:v>Cu</c:v>
                </c:pt>
                <c:pt idx="27">
                  <c:v>Cu</c:v>
                </c:pt>
                <c:pt idx="28">
                  <c:v>Cu</c:v>
                </c:pt>
                <c:pt idx="29">
                  <c:v>Cu</c:v>
                </c:pt>
                <c:pt idx="30">
                  <c:v>Cu</c:v>
                </c:pt>
                <c:pt idx="31">
                  <c:v>Cu</c:v>
                </c:pt>
                <c:pt idx="32">
                  <c:v>Cu</c:v>
                </c:pt>
                <c:pt idx="33">
                  <c:v>Cu</c:v>
                </c:pt>
              </c:strCache>
            </c:strRef>
          </c:cat>
          <c:val>
            <c:numRef>
              <c:f>'13. Pilotaje Rougher'!$R$19:$R$52</c:f>
              <c:numCache>
                <c:formatCode>0</c:formatCode>
                <c:ptCount val="34"/>
                <c:pt idx="0">
                  <c:v>45.418571677594606</c:v>
                </c:pt>
                <c:pt idx="1">
                  <c:v>27.639419404125288</c:v>
                </c:pt>
                <c:pt idx="2">
                  <c:v>43.954029641956993</c:v>
                </c:pt>
                <c:pt idx="3">
                  <c:v>52.363281250000007</c:v>
                </c:pt>
                <c:pt idx="4">
                  <c:v>35.84905660377359</c:v>
                </c:pt>
                <c:pt idx="5">
                  <c:v>42.662483881521965</c:v>
                </c:pt>
                <c:pt idx="6">
                  <c:v>29.950312845049687</c:v>
                </c:pt>
                <c:pt idx="7">
                  <c:v>33.875504666093043</c:v>
                </c:pt>
                <c:pt idx="8">
                  <c:v>31.284345047923328</c:v>
                </c:pt>
                <c:pt idx="9">
                  <c:v>32.777785299413772</c:v>
                </c:pt>
                <c:pt idx="10">
                  <c:v>38.148375229920298</c:v>
                </c:pt>
                <c:pt idx="11">
                  <c:v>31.2768323879435</c:v>
                </c:pt>
                <c:pt idx="12">
                  <c:v>30.553689187507771</c:v>
                </c:pt>
                <c:pt idx="13">
                  <c:v>34.724228939104975</c:v>
                </c:pt>
                <c:pt idx="14">
                  <c:v>19.942536693436715</c:v>
                </c:pt>
                <c:pt idx="15">
                  <c:v>19.992080896686161</c:v>
                </c:pt>
                <c:pt idx="16">
                  <c:v>49.733678687653594</c:v>
                </c:pt>
                <c:pt idx="17">
                  <c:v>67.203582687851011</c:v>
                </c:pt>
                <c:pt idx="18">
                  <c:v>63.492063492063487</c:v>
                </c:pt>
                <c:pt idx="19">
                  <c:v>63.606692195009131</c:v>
                </c:pt>
                <c:pt idx="20">
                  <c:v>62.289828251596745</c:v>
                </c:pt>
                <c:pt idx="21">
                  <c:v>65.379983324583876</c:v>
                </c:pt>
                <c:pt idx="22">
                  <c:v>56.804432274087759</c:v>
                </c:pt>
                <c:pt idx="23">
                  <c:v>62.150963790308047</c:v>
                </c:pt>
                <c:pt idx="24">
                  <c:v>65.061959689466846</c:v>
                </c:pt>
                <c:pt idx="25">
                  <c:v>59.993579159787188</c:v>
                </c:pt>
                <c:pt idx="26">
                  <c:v>62.894375857338815</c:v>
                </c:pt>
                <c:pt idx="27">
                  <c:v>69.270429094134599</c:v>
                </c:pt>
                <c:pt idx="28">
                  <c:v>66.370847108217163</c:v>
                </c:pt>
                <c:pt idx="29">
                  <c:v>68.191964285714292</c:v>
                </c:pt>
                <c:pt idx="30">
                  <c:v>69.34617187781744</c:v>
                </c:pt>
                <c:pt idx="31">
                  <c:v>67.55446571724984</c:v>
                </c:pt>
                <c:pt idx="32">
                  <c:v>66.922719307656536</c:v>
                </c:pt>
                <c:pt idx="33">
                  <c:v>60.185445592962928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36-478B-B6F6-861BCCBD347D}"/>
            </c:ext>
          </c:extLst>
        </c:ser>
        <c:ser>
          <c:idx val="1"/>
          <c:order val="1"/>
          <c:tx>
            <c:v>Estándar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'13. Pilotaje Rougher'!$E$19</c:f>
              <c:strCache>
                <c:ptCount val="1"/>
                <c:pt idx="0">
                  <c:v>Cu</c:v>
                </c:pt>
              </c:strCache>
            </c:strRef>
          </c:cat>
          <c:val>
            <c:numRef>
              <c:f>'13. Pilotaje Rougher'!$R$19</c:f>
              <c:numCache>
                <c:formatCode>0</c:formatCode>
                <c:ptCount val="1"/>
                <c:pt idx="0">
                  <c:v>45.418571677594606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36-478B-B6F6-861BCCBD3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3783871"/>
        <c:axId val="493784351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v>Cu Cabeza</c:v>
                </c:tx>
                <c:spPr>
                  <a:solidFill>
                    <a:schemeClr val="accent3"/>
                  </a:solidFill>
                  <a:ln>
                    <a:solidFill>
                      <a:schemeClr val="accent2"/>
                    </a:solidFill>
                    <a:prstDash val="sysDash"/>
                  </a:ln>
                  <a:effectLst/>
                </c:spPr>
                <c:invertIfNegative val="0"/>
                <c:trendline>
                  <c:spPr>
                    <a:ln w="19050" cap="rnd">
                      <a:solidFill>
                        <a:schemeClr val="accent2"/>
                      </a:solidFill>
                      <a:prstDash val="sysDash"/>
                    </a:ln>
                    <a:effectLst/>
                  </c:spPr>
                  <c:trendlineType val="linear"/>
                  <c:dispRSqr val="0"/>
                  <c:dispEq val="0"/>
                </c:trendline>
                <c:cat>
                  <c:strRef>
                    <c:extLst>
                      <c:ext uri="{02D57815-91ED-43cb-92C2-25804820EDAC}">
                        <c15:formulaRef>
                          <c15:sqref>'13. Pilotaje Rougher'!$E$19:$E$89</c15:sqref>
                        </c15:formulaRef>
                      </c:ext>
                    </c:extLst>
                    <c:strCache>
                      <c:ptCount val="46"/>
                      <c:pt idx="0">
                        <c:v>Cu</c:v>
                      </c:pt>
                      <c:pt idx="1">
                        <c:v>Cu</c:v>
                      </c:pt>
                      <c:pt idx="2">
                        <c:v>Cu</c:v>
                      </c:pt>
                      <c:pt idx="3">
                        <c:v>Cu</c:v>
                      </c:pt>
                      <c:pt idx="4">
                        <c:v>Cu</c:v>
                      </c:pt>
                      <c:pt idx="5">
                        <c:v>Cu</c:v>
                      </c:pt>
                      <c:pt idx="6">
                        <c:v>Cu</c:v>
                      </c:pt>
                      <c:pt idx="7">
                        <c:v>Cu</c:v>
                      </c:pt>
                      <c:pt idx="8">
                        <c:v>Cu</c:v>
                      </c:pt>
                      <c:pt idx="9">
                        <c:v>Cu</c:v>
                      </c:pt>
                      <c:pt idx="10">
                        <c:v>Cu</c:v>
                      </c:pt>
                      <c:pt idx="11">
                        <c:v>Cu</c:v>
                      </c:pt>
                      <c:pt idx="12">
                        <c:v>Cu</c:v>
                      </c:pt>
                      <c:pt idx="13">
                        <c:v>Cu</c:v>
                      </c:pt>
                      <c:pt idx="14">
                        <c:v>Cu</c:v>
                      </c:pt>
                      <c:pt idx="15">
                        <c:v>Cu</c:v>
                      </c:pt>
                      <c:pt idx="16">
                        <c:v>Cu</c:v>
                      </c:pt>
                      <c:pt idx="17">
                        <c:v>Cu</c:v>
                      </c:pt>
                      <c:pt idx="18">
                        <c:v>Cu</c:v>
                      </c:pt>
                      <c:pt idx="19">
                        <c:v>Cu</c:v>
                      </c:pt>
                      <c:pt idx="20">
                        <c:v>Cu</c:v>
                      </c:pt>
                      <c:pt idx="21">
                        <c:v>Cu</c:v>
                      </c:pt>
                      <c:pt idx="22">
                        <c:v>Cu</c:v>
                      </c:pt>
                      <c:pt idx="23">
                        <c:v>Cu</c:v>
                      </c:pt>
                      <c:pt idx="24">
                        <c:v>Cu</c:v>
                      </c:pt>
                      <c:pt idx="25">
                        <c:v>Cu</c:v>
                      </c:pt>
                      <c:pt idx="26">
                        <c:v>Cu</c:v>
                      </c:pt>
                      <c:pt idx="27">
                        <c:v>Cu</c:v>
                      </c:pt>
                      <c:pt idx="28">
                        <c:v>Cu</c:v>
                      </c:pt>
                      <c:pt idx="29">
                        <c:v>Cu</c:v>
                      </c:pt>
                      <c:pt idx="30">
                        <c:v>Cu</c:v>
                      </c:pt>
                      <c:pt idx="31">
                        <c:v>Cu</c:v>
                      </c:pt>
                      <c:pt idx="32">
                        <c:v>Cu</c:v>
                      </c:pt>
                      <c:pt idx="33">
                        <c:v>Cu</c:v>
                      </c:pt>
                      <c:pt idx="35">
                        <c:v>Cond #1</c:v>
                      </c:pt>
                      <c:pt idx="36">
                        <c:v>Cond #2</c:v>
                      </c:pt>
                      <c:pt idx="37">
                        <c:v>Conc. Ro</c:v>
                      </c:pt>
                      <c:pt idx="38">
                        <c:v>0.31</c:v>
                      </c:pt>
                      <c:pt idx="39">
                        <c:v>0.25</c:v>
                      </c:pt>
                      <c:pt idx="40">
                        <c:v>5.16</c:v>
                      </c:pt>
                      <c:pt idx="41">
                        <c:v>3.21</c:v>
                      </c:pt>
                      <c:pt idx="42">
                        <c:v>1.62</c:v>
                      </c:pt>
                      <c:pt idx="43">
                        <c:v>0.81</c:v>
                      </c:pt>
                      <c:pt idx="44">
                        <c:v>8.39</c:v>
                      </c:pt>
                      <c:pt idx="45">
                        <c:v>4.84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'13. Pilotaje Rougher'!$M$19:$M$86</c15:sqref>
                        </c15:formulaRef>
                      </c:ext>
                    </c:extLst>
                    <c:numCache>
                      <c:formatCode>0.00</c:formatCode>
                      <c:ptCount val="68"/>
                      <c:pt idx="0" formatCode="0.000">
                        <c:v>1.95</c:v>
                      </c:pt>
                      <c:pt idx="1">
                        <c:v>1.87</c:v>
                      </c:pt>
                      <c:pt idx="2">
                        <c:v>2.11</c:v>
                      </c:pt>
                      <c:pt idx="3">
                        <c:v>2.2400000000000002</c:v>
                      </c:pt>
                      <c:pt idx="4">
                        <c:v>2.4</c:v>
                      </c:pt>
                      <c:pt idx="5">
                        <c:v>2.33</c:v>
                      </c:pt>
                      <c:pt idx="6">
                        <c:v>2.4700000000000002</c:v>
                      </c:pt>
                      <c:pt idx="7">
                        <c:v>2.3199999999999998</c:v>
                      </c:pt>
                      <c:pt idx="8">
                        <c:v>2.5</c:v>
                      </c:pt>
                      <c:pt idx="9">
                        <c:v>2.33</c:v>
                      </c:pt>
                      <c:pt idx="10">
                        <c:v>2.33</c:v>
                      </c:pt>
                      <c:pt idx="11">
                        <c:v>2.4300000000000002</c:v>
                      </c:pt>
                      <c:pt idx="12">
                        <c:v>2.2799999999999998</c:v>
                      </c:pt>
                      <c:pt idx="13">
                        <c:v>2.42</c:v>
                      </c:pt>
                      <c:pt idx="14">
                        <c:v>2.2999999999999998</c:v>
                      </c:pt>
                      <c:pt idx="15">
                        <c:v>2.4</c:v>
                      </c:pt>
                      <c:pt idx="16">
                        <c:v>2.39</c:v>
                      </c:pt>
                      <c:pt idx="17">
                        <c:v>2.27</c:v>
                      </c:pt>
                      <c:pt idx="18">
                        <c:v>2.38</c:v>
                      </c:pt>
                      <c:pt idx="19">
                        <c:v>2.33</c:v>
                      </c:pt>
                      <c:pt idx="20">
                        <c:v>2.36</c:v>
                      </c:pt>
                      <c:pt idx="21">
                        <c:v>2.35</c:v>
                      </c:pt>
                      <c:pt idx="22">
                        <c:v>2.46</c:v>
                      </c:pt>
                      <c:pt idx="23">
                        <c:v>2.34</c:v>
                      </c:pt>
                      <c:pt idx="24">
                        <c:v>2.34</c:v>
                      </c:pt>
                      <c:pt idx="25">
                        <c:v>2.37</c:v>
                      </c:pt>
                      <c:pt idx="26">
                        <c:v>2.2799999999999998</c:v>
                      </c:pt>
                      <c:pt idx="27">
                        <c:v>2.3199999999999998</c:v>
                      </c:pt>
                      <c:pt idx="28">
                        <c:v>2.37</c:v>
                      </c:pt>
                      <c:pt idx="29">
                        <c:v>2.36</c:v>
                      </c:pt>
                      <c:pt idx="30">
                        <c:v>2.34</c:v>
                      </c:pt>
                      <c:pt idx="31">
                        <c:v>2.2999999999999998</c:v>
                      </c:pt>
                      <c:pt idx="32">
                        <c:v>2.39</c:v>
                      </c:pt>
                      <c:pt idx="33">
                        <c:v>2.41</c:v>
                      </c:pt>
                      <c:pt idx="34">
                        <c:v>2.3562500000000002</c:v>
                      </c:pt>
                      <c:pt idx="37" formatCode="General">
                        <c:v>0</c:v>
                      </c:pt>
                      <c:pt idx="38">
                        <c:v>6.4045983590688457E-2</c:v>
                      </c:pt>
                      <c:pt idx="39">
                        <c:v>1.81966215784761E-2</c:v>
                      </c:pt>
                      <c:pt idx="42" formatCode="General">
                        <c:v>0</c:v>
                      </c:pt>
                      <c:pt idx="43">
                        <c:v>19.942536693436715</c:v>
                      </c:pt>
                      <c:pt idx="44">
                        <c:v>67.203582687851011</c:v>
                      </c:pt>
                      <c:pt idx="45">
                        <c:v>36.584189608821283</c:v>
                      </c:pt>
                      <c:pt idx="46">
                        <c:v>34.920409770511178</c:v>
                      </c:pt>
                      <c:pt idx="47">
                        <c:v>33.875504666093043</c:v>
                      </c:pt>
                      <c:pt idx="67" formatCode="General">
                        <c:v>0.66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0C36-478B-B6F6-861BCCBD347D}"/>
                  </c:ext>
                </c:extLst>
              </c15:ser>
            </c15:filteredBarSeries>
          </c:ext>
        </c:extLst>
      </c:barChart>
      <c:catAx>
        <c:axId val="49378387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493784351"/>
        <c:crosses val="autoZero"/>
        <c:auto val="1"/>
        <c:lblAlgn val="ctr"/>
        <c:lblOffset val="100"/>
        <c:noMultiLvlLbl val="0"/>
      </c:catAx>
      <c:valAx>
        <c:axId val="4937843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r>
                  <a:rPr lang="es-CL"/>
                  <a:t>Recuperación Fe</a:t>
                </a:r>
                <a:r>
                  <a:rPr lang="es-CL" baseline="0"/>
                  <a:t> %</a:t>
                </a: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ource Sans Pro" panose="020B0503030403020204" pitchFamily="34" charset="0"/>
                  <a:ea typeface="+mn-ea"/>
                  <a:cs typeface="+mn-cs"/>
                </a:defRPr>
              </a:pPr>
              <a:endParaRPr lang="es-C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endParaRPr lang="es-CL"/>
          </a:p>
        </c:txPr>
        <c:crossAx val="493783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ource Sans Pro" panose="020B0503030403020204" pitchFamily="34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Source Sans Pro" panose="020B0503030403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  <c:userShapes r:id="rId3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r>
              <a:rPr lang="en-US" b="1"/>
              <a:t>Variaciones de la ley de Cu en el Concentrado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ource Sans Pro" panose="020B0503030403020204" pitchFamily="34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Pilotaje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'13. Pilotaje Rougher'!$E$19:$E$52</c:f>
              <c:strCache>
                <c:ptCount val="34"/>
                <c:pt idx="0">
                  <c:v>Cu</c:v>
                </c:pt>
                <c:pt idx="1">
                  <c:v>Cu</c:v>
                </c:pt>
                <c:pt idx="2">
                  <c:v>Cu</c:v>
                </c:pt>
                <c:pt idx="3">
                  <c:v>Cu</c:v>
                </c:pt>
                <c:pt idx="4">
                  <c:v>Cu</c:v>
                </c:pt>
                <c:pt idx="5">
                  <c:v>Cu</c:v>
                </c:pt>
                <c:pt idx="6">
                  <c:v>Cu</c:v>
                </c:pt>
                <c:pt idx="7">
                  <c:v>Cu</c:v>
                </c:pt>
                <c:pt idx="8">
                  <c:v>Cu</c:v>
                </c:pt>
                <c:pt idx="9">
                  <c:v>Cu</c:v>
                </c:pt>
                <c:pt idx="10">
                  <c:v>Cu</c:v>
                </c:pt>
                <c:pt idx="11">
                  <c:v>Cu</c:v>
                </c:pt>
                <c:pt idx="12">
                  <c:v>Cu</c:v>
                </c:pt>
                <c:pt idx="13">
                  <c:v>Cu</c:v>
                </c:pt>
                <c:pt idx="14">
                  <c:v>Cu</c:v>
                </c:pt>
                <c:pt idx="15">
                  <c:v>Cu</c:v>
                </c:pt>
                <c:pt idx="16">
                  <c:v>Cu</c:v>
                </c:pt>
                <c:pt idx="17">
                  <c:v>Cu</c:v>
                </c:pt>
                <c:pt idx="18">
                  <c:v>Cu</c:v>
                </c:pt>
                <c:pt idx="19">
                  <c:v>Cu</c:v>
                </c:pt>
                <c:pt idx="20">
                  <c:v>Cu</c:v>
                </c:pt>
                <c:pt idx="21">
                  <c:v>Cu</c:v>
                </c:pt>
                <c:pt idx="22">
                  <c:v>Cu</c:v>
                </c:pt>
                <c:pt idx="23">
                  <c:v>Cu</c:v>
                </c:pt>
                <c:pt idx="24">
                  <c:v>Cu</c:v>
                </c:pt>
                <c:pt idx="25">
                  <c:v>Cu</c:v>
                </c:pt>
                <c:pt idx="26">
                  <c:v>Cu</c:v>
                </c:pt>
                <c:pt idx="27">
                  <c:v>Cu</c:v>
                </c:pt>
                <c:pt idx="28">
                  <c:v>Cu</c:v>
                </c:pt>
                <c:pt idx="29">
                  <c:v>Cu</c:v>
                </c:pt>
                <c:pt idx="30">
                  <c:v>Cu</c:v>
                </c:pt>
                <c:pt idx="31">
                  <c:v>Cu</c:v>
                </c:pt>
                <c:pt idx="32">
                  <c:v>Cu</c:v>
                </c:pt>
                <c:pt idx="33">
                  <c:v>Cu</c:v>
                </c:pt>
              </c:strCache>
            </c:strRef>
          </c:xVal>
          <c:yVal>
            <c:numRef>
              <c:f>'13. Pilotaje Rougher'!$H$19:$H$52</c:f>
              <c:numCache>
                <c:formatCode>0.00</c:formatCode>
                <c:ptCount val="34"/>
                <c:pt idx="0" formatCode="0.000">
                  <c:v>4.46</c:v>
                </c:pt>
                <c:pt idx="1">
                  <c:v>2.0830000000000002</c:v>
                </c:pt>
                <c:pt idx="2">
                  <c:v>3.415</c:v>
                </c:pt>
                <c:pt idx="3">
                  <c:v>3.629</c:v>
                </c:pt>
                <c:pt idx="4">
                  <c:v>6.22</c:v>
                </c:pt>
                <c:pt idx="5">
                  <c:v>5.55</c:v>
                </c:pt>
                <c:pt idx="6">
                  <c:v>7.48</c:v>
                </c:pt>
                <c:pt idx="7">
                  <c:v>5.01</c:v>
                </c:pt>
                <c:pt idx="8">
                  <c:v>6.09</c:v>
                </c:pt>
                <c:pt idx="9">
                  <c:v>5.91</c:v>
                </c:pt>
                <c:pt idx="10">
                  <c:v>2.984</c:v>
                </c:pt>
                <c:pt idx="11">
                  <c:v>6.22</c:v>
                </c:pt>
                <c:pt idx="12">
                  <c:v>6.02</c:v>
                </c:pt>
                <c:pt idx="13">
                  <c:v>6.16</c:v>
                </c:pt>
                <c:pt idx="14">
                  <c:v>6.87</c:v>
                </c:pt>
                <c:pt idx="15">
                  <c:v>6.92</c:v>
                </c:pt>
                <c:pt idx="16">
                  <c:v>3.8580000000000001</c:v>
                </c:pt>
                <c:pt idx="17">
                  <c:v>3.2730000000000001</c:v>
                </c:pt>
                <c:pt idx="18">
                  <c:v>3.8279999999999998</c:v>
                </c:pt>
                <c:pt idx="19">
                  <c:v>3.2949999999999999</c:v>
                </c:pt>
                <c:pt idx="20">
                  <c:v>5.08</c:v>
                </c:pt>
                <c:pt idx="21">
                  <c:v>2.6709999999999998</c:v>
                </c:pt>
                <c:pt idx="22">
                  <c:v>3.327</c:v>
                </c:pt>
                <c:pt idx="23">
                  <c:v>4.4169999999999998</c:v>
                </c:pt>
                <c:pt idx="24">
                  <c:v>3.0529999999999999</c:v>
                </c:pt>
                <c:pt idx="25">
                  <c:v>3.472</c:v>
                </c:pt>
                <c:pt idx="26">
                  <c:v>3.532</c:v>
                </c:pt>
                <c:pt idx="27">
                  <c:v>2.6259999999999999</c:v>
                </c:pt>
                <c:pt idx="28">
                  <c:v>3.1139999999999999</c:v>
                </c:pt>
                <c:pt idx="29">
                  <c:v>2.7090000000000001</c:v>
                </c:pt>
                <c:pt idx="30">
                  <c:v>2.153</c:v>
                </c:pt>
                <c:pt idx="31">
                  <c:v>2.0870000000000002</c:v>
                </c:pt>
                <c:pt idx="32">
                  <c:v>2.3029999999999999</c:v>
                </c:pt>
                <c:pt idx="33">
                  <c:v>3.7450000000000001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A6-47B7-B0D7-8BAE0900781E}"/>
            </c:ext>
          </c:extLst>
        </c:ser>
        <c:ser>
          <c:idx val="5"/>
          <c:order val="3"/>
          <c:tx>
            <c:v>Límite superior #2</c:v>
          </c:tx>
          <c:spPr>
            <a:ln w="254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9"/>
            <c:marker>
              <c:symbol val="none"/>
            </c:marker>
            <c:bubble3D val="0"/>
            <c:spPr>
              <a:ln w="25400" cap="rnd">
                <a:noFill/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FA6-47B7-B0D7-8BAE0900781E}"/>
              </c:ext>
            </c:extLst>
          </c:dPt>
          <c:xVal>
            <c:strRef>
              <c:f>'13. Pilotaje Rougher'!$E$19:$E$52</c:f>
              <c:strCache>
                <c:ptCount val="34"/>
                <c:pt idx="0">
                  <c:v>Cu</c:v>
                </c:pt>
                <c:pt idx="1">
                  <c:v>Cu</c:v>
                </c:pt>
                <c:pt idx="2">
                  <c:v>Cu</c:v>
                </c:pt>
                <c:pt idx="3">
                  <c:v>Cu</c:v>
                </c:pt>
                <c:pt idx="4">
                  <c:v>Cu</c:v>
                </c:pt>
                <c:pt idx="5">
                  <c:v>Cu</c:v>
                </c:pt>
                <c:pt idx="6">
                  <c:v>Cu</c:v>
                </c:pt>
                <c:pt idx="7">
                  <c:v>Cu</c:v>
                </c:pt>
                <c:pt idx="8">
                  <c:v>Cu</c:v>
                </c:pt>
                <c:pt idx="9">
                  <c:v>Cu</c:v>
                </c:pt>
                <c:pt idx="10">
                  <c:v>Cu</c:v>
                </c:pt>
                <c:pt idx="11">
                  <c:v>Cu</c:v>
                </c:pt>
                <c:pt idx="12">
                  <c:v>Cu</c:v>
                </c:pt>
                <c:pt idx="13">
                  <c:v>Cu</c:v>
                </c:pt>
                <c:pt idx="14">
                  <c:v>Cu</c:v>
                </c:pt>
                <c:pt idx="15">
                  <c:v>Cu</c:v>
                </c:pt>
                <c:pt idx="16">
                  <c:v>Cu</c:v>
                </c:pt>
                <c:pt idx="17">
                  <c:v>Cu</c:v>
                </c:pt>
                <c:pt idx="18">
                  <c:v>Cu</c:v>
                </c:pt>
                <c:pt idx="19">
                  <c:v>Cu</c:v>
                </c:pt>
                <c:pt idx="20">
                  <c:v>Cu</c:v>
                </c:pt>
                <c:pt idx="21">
                  <c:v>Cu</c:v>
                </c:pt>
                <c:pt idx="22">
                  <c:v>Cu</c:v>
                </c:pt>
                <c:pt idx="23">
                  <c:v>Cu</c:v>
                </c:pt>
                <c:pt idx="24">
                  <c:v>Cu</c:v>
                </c:pt>
                <c:pt idx="25">
                  <c:v>Cu</c:v>
                </c:pt>
                <c:pt idx="26">
                  <c:v>Cu</c:v>
                </c:pt>
                <c:pt idx="27">
                  <c:v>Cu</c:v>
                </c:pt>
                <c:pt idx="28">
                  <c:v>Cu</c:v>
                </c:pt>
                <c:pt idx="29">
                  <c:v>Cu</c:v>
                </c:pt>
                <c:pt idx="30">
                  <c:v>Cu</c:v>
                </c:pt>
                <c:pt idx="31">
                  <c:v>Cu</c:v>
                </c:pt>
                <c:pt idx="32">
                  <c:v>Cu</c:v>
                </c:pt>
                <c:pt idx="33">
                  <c:v>Cu</c:v>
                </c:pt>
              </c:strCache>
            </c:strRef>
          </c:xVal>
          <c:yVal>
            <c:numLit>
              <c:formatCode>General</c:formatCode>
              <c:ptCount val="3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4.84</c:v>
              </c:pt>
              <c:pt idx="20">
                <c:v>4.84</c:v>
              </c:pt>
              <c:pt idx="21">
                <c:v>4.84</c:v>
              </c:pt>
              <c:pt idx="22">
                <c:v>4.84</c:v>
              </c:pt>
              <c:pt idx="23">
                <c:v>4.84</c:v>
              </c:pt>
              <c:pt idx="24">
                <c:v>4.84</c:v>
              </c:pt>
              <c:pt idx="25">
                <c:v>4.84</c:v>
              </c:pt>
              <c:pt idx="26">
                <c:v>4.84</c:v>
              </c:pt>
              <c:pt idx="27">
                <c:v>4.84</c:v>
              </c:pt>
              <c:pt idx="28">
                <c:v>4.84</c:v>
              </c:pt>
              <c:pt idx="29">
                <c:v>4.84</c:v>
              </c:pt>
              <c:pt idx="30">
                <c:v>4.84</c:v>
              </c:pt>
              <c:pt idx="31">
                <c:v>4.84</c:v>
              </c:pt>
              <c:pt idx="32">
                <c:v>4.84</c:v>
              </c:pt>
              <c:pt idx="33">
                <c:v>4.84</c:v>
              </c:pt>
              <c:pt idx="34">
                <c:v>4.84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0FA6-47B7-B0D7-8BAE0900781E}"/>
            </c:ext>
          </c:extLst>
        </c:ser>
        <c:ser>
          <c:idx val="3"/>
          <c:order val="4"/>
          <c:tx>
            <c:v>Límite superior e inferior #1 y #2</c:v>
          </c:tx>
          <c:spPr>
            <a:ln w="254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strRef>
              <c:f>'13. Pilotaje Rougher'!$E$19:$E$36</c:f>
              <c:strCache>
                <c:ptCount val="18"/>
                <c:pt idx="0">
                  <c:v>Cu</c:v>
                </c:pt>
                <c:pt idx="1">
                  <c:v>Cu</c:v>
                </c:pt>
                <c:pt idx="2">
                  <c:v>Cu</c:v>
                </c:pt>
                <c:pt idx="3">
                  <c:v>Cu</c:v>
                </c:pt>
                <c:pt idx="4">
                  <c:v>Cu</c:v>
                </c:pt>
                <c:pt idx="5">
                  <c:v>Cu</c:v>
                </c:pt>
                <c:pt idx="6">
                  <c:v>Cu</c:v>
                </c:pt>
                <c:pt idx="7">
                  <c:v>Cu</c:v>
                </c:pt>
                <c:pt idx="8">
                  <c:v>Cu</c:v>
                </c:pt>
                <c:pt idx="9">
                  <c:v>Cu</c:v>
                </c:pt>
                <c:pt idx="10">
                  <c:v>Cu</c:v>
                </c:pt>
                <c:pt idx="11">
                  <c:v>Cu</c:v>
                </c:pt>
                <c:pt idx="12">
                  <c:v>Cu</c:v>
                </c:pt>
                <c:pt idx="13">
                  <c:v>Cu</c:v>
                </c:pt>
                <c:pt idx="14">
                  <c:v>Cu</c:v>
                </c:pt>
                <c:pt idx="15">
                  <c:v>Cu</c:v>
                </c:pt>
                <c:pt idx="16">
                  <c:v>Cu</c:v>
                </c:pt>
                <c:pt idx="17">
                  <c:v>Cu</c:v>
                </c:pt>
              </c:strCache>
            </c:strRef>
          </c:xVal>
          <c:yVal>
            <c:numLit>
              <c:formatCode>General</c:formatCode>
              <c:ptCount val="18"/>
              <c:pt idx="0">
                <c:v>8.39</c:v>
              </c:pt>
              <c:pt idx="1">
                <c:v>8.39</c:v>
              </c:pt>
              <c:pt idx="2">
                <c:v>8.39</c:v>
              </c:pt>
              <c:pt idx="3">
                <c:v>8.39</c:v>
              </c:pt>
              <c:pt idx="4">
                <c:v>8.39</c:v>
              </c:pt>
              <c:pt idx="5">
                <c:v>8.39</c:v>
              </c:pt>
              <c:pt idx="6">
                <c:v>8.39</c:v>
              </c:pt>
              <c:pt idx="7">
                <c:v>8.39</c:v>
              </c:pt>
              <c:pt idx="8">
                <c:v>8.39</c:v>
              </c:pt>
              <c:pt idx="9">
                <c:v>8.39</c:v>
              </c:pt>
              <c:pt idx="10">
                <c:v>8.39</c:v>
              </c:pt>
              <c:pt idx="11">
                <c:v>8.39</c:v>
              </c:pt>
              <c:pt idx="12">
                <c:v>8.39</c:v>
              </c:pt>
              <c:pt idx="13">
                <c:v>8.39</c:v>
              </c:pt>
              <c:pt idx="14">
                <c:v>8.39</c:v>
              </c:pt>
              <c:pt idx="15">
                <c:v>8.39</c:v>
              </c:pt>
              <c:pt idx="16">
                <c:v>8.39</c:v>
              </c:pt>
              <c:pt idx="17">
                <c:v>8.39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0FA6-47B7-B0D7-8BAE0900781E}"/>
            </c:ext>
          </c:extLst>
        </c:ser>
        <c:ser>
          <c:idx val="4"/>
          <c:order val="5"/>
          <c:tx>
            <c:v>Límite inferior #1</c:v>
          </c:tx>
          <c:spPr>
            <a:ln w="254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strRef>
              <c:f>'13. Pilotaje Rougher'!$E$19:$E$36</c:f>
              <c:strCache>
                <c:ptCount val="18"/>
                <c:pt idx="0">
                  <c:v>Cu</c:v>
                </c:pt>
                <c:pt idx="1">
                  <c:v>Cu</c:v>
                </c:pt>
                <c:pt idx="2">
                  <c:v>Cu</c:v>
                </c:pt>
                <c:pt idx="3">
                  <c:v>Cu</c:v>
                </c:pt>
                <c:pt idx="4">
                  <c:v>Cu</c:v>
                </c:pt>
                <c:pt idx="5">
                  <c:v>Cu</c:v>
                </c:pt>
                <c:pt idx="6">
                  <c:v>Cu</c:v>
                </c:pt>
                <c:pt idx="7">
                  <c:v>Cu</c:v>
                </c:pt>
                <c:pt idx="8">
                  <c:v>Cu</c:v>
                </c:pt>
                <c:pt idx="9">
                  <c:v>Cu</c:v>
                </c:pt>
                <c:pt idx="10">
                  <c:v>Cu</c:v>
                </c:pt>
                <c:pt idx="11">
                  <c:v>Cu</c:v>
                </c:pt>
                <c:pt idx="12">
                  <c:v>Cu</c:v>
                </c:pt>
                <c:pt idx="13">
                  <c:v>Cu</c:v>
                </c:pt>
                <c:pt idx="14">
                  <c:v>Cu</c:v>
                </c:pt>
                <c:pt idx="15">
                  <c:v>Cu</c:v>
                </c:pt>
                <c:pt idx="16">
                  <c:v>Cu</c:v>
                </c:pt>
                <c:pt idx="17">
                  <c:v>Cu</c:v>
                </c:pt>
              </c:strCache>
            </c:strRef>
          </c:xVal>
          <c:yVal>
            <c:numLit>
              <c:formatCode>General</c:formatCode>
              <c:ptCount val="18"/>
              <c:pt idx="0">
                <c:v>1.92</c:v>
              </c:pt>
              <c:pt idx="1">
                <c:v>1.92</c:v>
              </c:pt>
              <c:pt idx="2">
                <c:v>1.92</c:v>
              </c:pt>
              <c:pt idx="3">
                <c:v>1.92</c:v>
              </c:pt>
              <c:pt idx="4">
                <c:v>1.92</c:v>
              </c:pt>
              <c:pt idx="5">
                <c:v>1.92</c:v>
              </c:pt>
              <c:pt idx="6">
                <c:v>1.92</c:v>
              </c:pt>
              <c:pt idx="7">
                <c:v>1.92</c:v>
              </c:pt>
              <c:pt idx="8">
                <c:v>1.92</c:v>
              </c:pt>
              <c:pt idx="9">
                <c:v>1.92</c:v>
              </c:pt>
              <c:pt idx="10">
                <c:v>1.92</c:v>
              </c:pt>
              <c:pt idx="11">
                <c:v>1.92</c:v>
              </c:pt>
              <c:pt idx="12">
                <c:v>1.92</c:v>
              </c:pt>
              <c:pt idx="13">
                <c:v>1.92</c:v>
              </c:pt>
              <c:pt idx="14">
                <c:v>1.92</c:v>
              </c:pt>
              <c:pt idx="15">
                <c:v>1.92</c:v>
              </c:pt>
              <c:pt idx="16">
                <c:v>1.92</c:v>
              </c:pt>
              <c:pt idx="17">
                <c:v>1.92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0FA6-47B7-B0D7-8BAE0900781E}"/>
            </c:ext>
          </c:extLst>
        </c:ser>
        <c:ser>
          <c:idx val="6"/>
          <c:order val="6"/>
          <c:tx>
            <c:v>Límite inferior #2</c:v>
          </c:tx>
          <c:spPr>
            <a:ln w="254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9"/>
            <c:marker>
              <c:symbol val="none"/>
            </c:marker>
            <c:bubble3D val="0"/>
            <c:spPr>
              <a:ln w="25400" cap="rnd">
                <a:noFill/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0FA6-47B7-B0D7-8BAE0900781E}"/>
              </c:ext>
            </c:extLst>
          </c:dPt>
          <c:xVal>
            <c:strRef>
              <c:f>'13. Pilotaje Rougher'!$E$19:$E$52</c:f>
              <c:strCache>
                <c:ptCount val="34"/>
                <c:pt idx="0">
                  <c:v>Cu</c:v>
                </c:pt>
                <c:pt idx="1">
                  <c:v>Cu</c:v>
                </c:pt>
                <c:pt idx="2">
                  <c:v>Cu</c:v>
                </c:pt>
                <c:pt idx="3">
                  <c:v>Cu</c:v>
                </c:pt>
                <c:pt idx="4">
                  <c:v>Cu</c:v>
                </c:pt>
                <c:pt idx="5">
                  <c:v>Cu</c:v>
                </c:pt>
                <c:pt idx="6">
                  <c:v>Cu</c:v>
                </c:pt>
                <c:pt idx="7">
                  <c:v>Cu</c:v>
                </c:pt>
                <c:pt idx="8">
                  <c:v>Cu</c:v>
                </c:pt>
                <c:pt idx="9">
                  <c:v>Cu</c:v>
                </c:pt>
                <c:pt idx="10">
                  <c:v>Cu</c:v>
                </c:pt>
                <c:pt idx="11">
                  <c:v>Cu</c:v>
                </c:pt>
                <c:pt idx="12">
                  <c:v>Cu</c:v>
                </c:pt>
                <c:pt idx="13">
                  <c:v>Cu</c:v>
                </c:pt>
                <c:pt idx="14">
                  <c:v>Cu</c:v>
                </c:pt>
                <c:pt idx="15">
                  <c:v>Cu</c:v>
                </c:pt>
                <c:pt idx="16">
                  <c:v>Cu</c:v>
                </c:pt>
                <c:pt idx="17">
                  <c:v>Cu</c:v>
                </c:pt>
                <c:pt idx="18">
                  <c:v>Cu</c:v>
                </c:pt>
                <c:pt idx="19">
                  <c:v>Cu</c:v>
                </c:pt>
                <c:pt idx="20">
                  <c:v>Cu</c:v>
                </c:pt>
                <c:pt idx="21">
                  <c:v>Cu</c:v>
                </c:pt>
                <c:pt idx="22">
                  <c:v>Cu</c:v>
                </c:pt>
                <c:pt idx="23">
                  <c:v>Cu</c:v>
                </c:pt>
                <c:pt idx="24">
                  <c:v>Cu</c:v>
                </c:pt>
                <c:pt idx="25">
                  <c:v>Cu</c:v>
                </c:pt>
                <c:pt idx="26">
                  <c:v>Cu</c:v>
                </c:pt>
                <c:pt idx="27">
                  <c:v>Cu</c:v>
                </c:pt>
                <c:pt idx="28">
                  <c:v>Cu</c:v>
                </c:pt>
                <c:pt idx="29">
                  <c:v>Cu</c:v>
                </c:pt>
                <c:pt idx="30">
                  <c:v>Cu</c:v>
                </c:pt>
                <c:pt idx="31">
                  <c:v>Cu</c:v>
                </c:pt>
                <c:pt idx="32">
                  <c:v>Cu</c:v>
                </c:pt>
                <c:pt idx="33">
                  <c:v>Cu</c:v>
                </c:pt>
              </c:strCache>
            </c:strRef>
          </c:xVal>
          <c:yVal>
            <c:numLit>
              <c:formatCode>General</c:formatCode>
              <c:ptCount val="3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1.59</c:v>
              </c:pt>
              <c:pt idx="20">
                <c:v>1.59</c:v>
              </c:pt>
              <c:pt idx="21">
                <c:v>1.59</c:v>
              </c:pt>
              <c:pt idx="22">
                <c:v>1.59</c:v>
              </c:pt>
              <c:pt idx="23">
                <c:v>1.59</c:v>
              </c:pt>
              <c:pt idx="24">
                <c:v>1.59</c:v>
              </c:pt>
              <c:pt idx="25">
                <c:v>1.59</c:v>
              </c:pt>
              <c:pt idx="26">
                <c:v>1.59</c:v>
              </c:pt>
              <c:pt idx="27">
                <c:v>1.59</c:v>
              </c:pt>
              <c:pt idx="28">
                <c:v>1.59</c:v>
              </c:pt>
              <c:pt idx="29">
                <c:v>1.59</c:v>
              </c:pt>
              <c:pt idx="30">
                <c:v>1.59</c:v>
              </c:pt>
              <c:pt idx="31">
                <c:v>1.59</c:v>
              </c:pt>
              <c:pt idx="32">
                <c:v>1.59</c:v>
              </c:pt>
              <c:pt idx="33">
                <c:v>1.59</c:v>
              </c:pt>
              <c:pt idx="34">
                <c:v>1.59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9-0FA6-47B7-B0D7-8BAE09007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3783871"/>
        <c:axId val="493784351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Estándar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strRef>
                    <c:extLst>
                      <c:ext uri="{02D57815-91ED-43cb-92C2-25804820EDAC}">
                        <c15:formulaRef>
                          <c15:sqref>'13. Pilotaje Rougher'!$E$19</c15:sqref>
                        </c15:formulaRef>
                      </c:ext>
                    </c:extLst>
                    <c:strCache>
                      <c:ptCount val="1"/>
                      <c:pt idx="0">
                        <c:v>Cu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'13. Pilotaje Rougher'!$H$19</c15:sqref>
                        </c15:formulaRef>
                      </c:ext>
                    </c:extLst>
                    <c:numCache>
                      <c:formatCode>0.000</c:formatCode>
                      <c:ptCount val="1"/>
                      <c:pt idx="0">
                        <c:v>4.46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0FA6-47B7-B0D7-8BAE0900781E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Cu Cabeza</c:v>
                </c:tx>
                <c:spPr>
                  <a:ln w="19050" cap="rnd">
                    <a:solidFill>
                      <a:schemeClr val="accent2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2"/>
                      </a:solidFill>
                      <a:prstDash val="sysDash"/>
                    </a:ln>
                    <a:effectLst/>
                  </c:spPr>
                  <c:trendlineType val="linear"/>
                  <c:dispRSqr val="0"/>
                  <c:dispEq val="0"/>
                </c:trendline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'13. Pilotaje Rougher'!$E$19:$E$89</c15:sqref>
                        </c15:formulaRef>
                      </c:ext>
                    </c:extLst>
                    <c:strCache>
                      <c:ptCount val="46"/>
                      <c:pt idx="0">
                        <c:v>Cu</c:v>
                      </c:pt>
                      <c:pt idx="1">
                        <c:v>Cu</c:v>
                      </c:pt>
                      <c:pt idx="2">
                        <c:v>Cu</c:v>
                      </c:pt>
                      <c:pt idx="3">
                        <c:v>Cu</c:v>
                      </c:pt>
                      <c:pt idx="4">
                        <c:v>Cu</c:v>
                      </c:pt>
                      <c:pt idx="5">
                        <c:v>Cu</c:v>
                      </c:pt>
                      <c:pt idx="6">
                        <c:v>Cu</c:v>
                      </c:pt>
                      <c:pt idx="7">
                        <c:v>Cu</c:v>
                      </c:pt>
                      <c:pt idx="8">
                        <c:v>Cu</c:v>
                      </c:pt>
                      <c:pt idx="9">
                        <c:v>Cu</c:v>
                      </c:pt>
                      <c:pt idx="10">
                        <c:v>Cu</c:v>
                      </c:pt>
                      <c:pt idx="11">
                        <c:v>Cu</c:v>
                      </c:pt>
                      <c:pt idx="12">
                        <c:v>Cu</c:v>
                      </c:pt>
                      <c:pt idx="13">
                        <c:v>Cu</c:v>
                      </c:pt>
                      <c:pt idx="14">
                        <c:v>Cu</c:v>
                      </c:pt>
                      <c:pt idx="15">
                        <c:v>Cu</c:v>
                      </c:pt>
                      <c:pt idx="16">
                        <c:v>Cu</c:v>
                      </c:pt>
                      <c:pt idx="17">
                        <c:v>Cu</c:v>
                      </c:pt>
                      <c:pt idx="18">
                        <c:v>Cu</c:v>
                      </c:pt>
                      <c:pt idx="19">
                        <c:v>Cu</c:v>
                      </c:pt>
                      <c:pt idx="20">
                        <c:v>Cu</c:v>
                      </c:pt>
                      <c:pt idx="21">
                        <c:v>Cu</c:v>
                      </c:pt>
                      <c:pt idx="22">
                        <c:v>Cu</c:v>
                      </c:pt>
                      <c:pt idx="23">
                        <c:v>Cu</c:v>
                      </c:pt>
                      <c:pt idx="24">
                        <c:v>Cu</c:v>
                      </c:pt>
                      <c:pt idx="25">
                        <c:v>Cu</c:v>
                      </c:pt>
                      <c:pt idx="26">
                        <c:v>Cu</c:v>
                      </c:pt>
                      <c:pt idx="27">
                        <c:v>Cu</c:v>
                      </c:pt>
                      <c:pt idx="28">
                        <c:v>Cu</c:v>
                      </c:pt>
                      <c:pt idx="29">
                        <c:v>Cu</c:v>
                      </c:pt>
                      <c:pt idx="30">
                        <c:v>Cu</c:v>
                      </c:pt>
                      <c:pt idx="31">
                        <c:v>Cu</c:v>
                      </c:pt>
                      <c:pt idx="32">
                        <c:v>Cu</c:v>
                      </c:pt>
                      <c:pt idx="33">
                        <c:v>Cu</c:v>
                      </c:pt>
                      <c:pt idx="35">
                        <c:v>Cond #1</c:v>
                      </c:pt>
                      <c:pt idx="36">
                        <c:v>Cond #2</c:v>
                      </c:pt>
                      <c:pt idx="37">
                        <c:v>Conc. Ro</c:v>
                      </c:pt>
                      <c:pt idx="38">
                        <c:v>0.31</c:v>
                      </c:pt>
                      <c:pt idx="39">
                        <c:v>0.25</c:v>
                      </c:pt>
                      <c:pt idx="40">
                        <c:v>5.16</c:v>
                      </c:pt>
                      <c:pt idx="41">
                        <c:v>3.21</c:v>
                      </c:pt>
                      <c:pt idx="42">
                        <c:v>1.62</c:v>
                      </c:pt>
                      <c:pt idx="43">
                        <c:v>0.81</c:v>
                      </c:pt>
                      <c:pt idx="44">
                        <c:v>8.39</c:v>
                      </c:pt>
                      <c:pt idx="45">
                        <c:v>4.84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'13. Pilotaje Rougher'!$M$19:$M$86</c15:sqref>
                        </c15:formulaRef>
                      </c:ext>
                    </c:extLst>
                    <c:numCache>
                      <c:formatCode>0.00</c:formatCode>
                      <c:ptCount val="68"/>
                      <c:pt idx="0" formatCode="0.000">
                        <c:v>1.95</c:v>
                      </c:pt>
                      <c:pt idx="1">
                        <c:v>1.87</c:v>
                      </c:pt>
                      <c:pt idx="2">
                        <c:v>2.11</c:v>
                      </c:pt>
                      <c:pt idx="3">
                        <c:v>2.2400000000000002</c:v>
                      </c:pt>
                      <c:pt idx="4">
                        <c:v>2.4</c:v>
                      </c:pt>
                      <c:pt idx="5">
                        <c:v>2.33</c:v>
                      </c:pt>
                      <c:pt idx="6">
                        <c:v>2.4700000000000002</c:v>
                      </c:pt>
                      <c:pt idx="7">
                        <c:v>2.3199999999999998</c:v>
                      </c:pt>
                      <c:pt idx="8">
                        <c:v>2.5</c:v>
                      </c:pt>
                      <c:pt idx="9">
                        <c:v>2.33</c:v>
                      </c:pt>
                      <c:pt idx="10">
                        <c:v>2.33</c:v>
                      </c:pt>
                      <c:pt idx="11">
                        <c:v>2.4300000000000002</c:v>
                      </c:pt>
                      <c:pt idx="12">
                        <c:v>2.2799999999999998</c:v>
                      </c:pt>
                      <c:pt idx="13">
                        <c:v>2.42</c:v>
                      </c:pt>
                      <c:pt idx="14">
                        <c:v>2.2999999999999998</c:v>
                      </c:pt>
                      <c:pt idx="15">
                        <c:v>2.4</c:v>
                      </c:pt>
                      <c:pt idx="16">
                        <c:v>2.39</c:v>
                      </c:pt>
                      <c:pt idx="17">
                        <c:v>2.27</c:v>
                      </c:pt>
                      <c:pt idx="18">
                        <c:v>2.38</c:v>
                      </c:pt>
                      <c:pt idx="19">
                        <c:v>2.33</c:v>
                      </c:pt>
                      <c:pt idx="20">
                        <c:v>2.36</c:v>
                      </c:pt>
                      <c:pt idx="21">
                        <c:v>2.35</c:v>
                      </c:pt>
                      <c:pt idx="22">
                        <c:v>2.46</c:v>
                      </c:pt>
                      <c:pt idx="23">
                        <c:v>2.34</c:v>
                      </c:pt>
                      <c:pt idx="24">
                        <c:v>2.34</c:v>
                      </c:pt>
                      <c:pt idx="25">
                        <c:v>2.37</c:v>
                      </c:pt>
                      <c:pt idx="26">
                        <c:v>2.2799999999999998</c:v>
                      </c:pt>
                      <c:pt idx="27">
                        <c:v>2.3199999999999998</c:v>
                      </c:pt>
                      <c:pt idx="28">
                        <c:v>2.37</c:v>
                      </c:pt>
                      <c:pt idx="29">
                        <c:v>2.36</c:v>
                      </c:pt>
                      <c:pt idx="30">
                        <c:v>2.34</c:v>
                      </c:pt>
                      <c:pt idx="31">
                        <c:v>2.2999999999999998</c:v>
                      </c:pt>
                      <c:pt idx="32">
                        <c:v>2.39</c:v>
                      </c:pt>
                      <c:pt idx="33">
                        <c:v>2.41</c:v>
                      </c:pt>
                      <c:pt idx="34">
                        <c:v>2.3562500000000002</c:v>
                      </c:pt>
                      <c:pt idx="37" formatCode="General">
                        <c:v>0</c:v>
                      </c:pt>
                      <c:pt idx="38">
                        <c:v>6.4045983590688457E-2</c:v>
                      </c:pt>
                      <c:pt idx="39">
                        <c:v>1.81966215784761E-2</c:v>
                      </c:pt>
                      <c:pt idx="42" formatCode="General">
                        <c:v>0</c:v>
                      </c:pt>
                      <c:pt idx="43">
                        <c:v>19.942536693436715</c:v>
                      </c:pt>
                      <c:pt idx="44">
                        <c:v>67.203582687851011</c:v>
                      </c:pt>
                      <c:pt idx="45">
                        <c:v>36.584189608821283</c:v>
                      </c:pt>
                      <c:pt idx="46">
                        <c:v>34.920409770511178</c:v>
                      </c:pt>
                      <c:pt idx="47">
                        <c:v>33.875504666093043</c:v>
                      </c:pt>
                      <c:pt idx="67" formatCode="General">
                        <c:v>0.66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0FA6-47B7-B0D7-8BAE0900781E}"/>
                  </c:ext>
                </c:extLst>
              </c15:ser>
            </c15:filteredScatterSeries>
          </c:ext>
        </c:extLst>
      </c:scatterChart>
      <c:valAx>
        <c:axId val="493783871"/>
        <c:scaling>
          <c:orientation val="minMax"/>
          <c:max val="3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r>
                  <a:rPr lang="es-CL"/>
                  <a:t>Concentrado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ource Sans Pro" panose="020B0503030403020204" pitchFamily="34" charset="0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endParaRPr lang="es-CL"/>
          </a:p>
        </c:txPr>
        <c:crossAx val="493784351"/>
        <c:crosses val="autoZero"/>
        <c:crossBetween val="midCat"/>
      </c:valAx>
      <c:valAx>
        <c:axId val="493784351"/>
        <c:scaling>
          <c:orientation val="minMax"/>
          <c:max val="9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r>
                  <a:rPr lang="es-CL"/>
                  <a:t>Cu</a:t>
                </a:r>
                <a:r>
                  <a:rPr lang="es-CL" baseline="0"/>
                  <a:t> %</a:t>
                </a: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ource Sans Pro" panose="020B0503030403020204" pitchFamily="34" charset="0"/>
                  <a:ea typeface="+mn-ea"/>
                  <a:cs typeface="+mn-cs"/>
                </a:defRPr>
              </a:pPr>
              <a:endParaRPr lang="es-C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endParaRPr lang="es-CL"/>
          </a:p>
        </c:txPr>
        <c:crossAx val="493783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ource Sans Pro" panose="020B0503030403020204" pitchFamily="34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Source Sans Pro" panose="020B0503030403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  <c:userShapes r:id="rId3"/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Source Sans Pro" panose="020B0503030403020204" pitchFamily="34" charset="0"/>
                <a:cs typeface="+mn-cs"/>
              </a:defRPr>
            </a:pPr>
            <a:r>
              <a:rPr lang="es-CL"/>
              <a:t>Recuperació</a:t>
            </a:r>
            <a:r>
              <a:rPr lang="es-CL" baseline="0"/>
              <a:t>n Cu vs Ley Cu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ource Sans Pro" panose="020B0503030403020204" pitchFamily="34" charset="0"/>
              <a:ea typeface="Source Sans Pro" panose="020B0503030403020204" pitchFamily="34" charset="0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'14. Cinética Rougher'!$B$3</c:f>
              <c:strCache>
                <c:ptCount val="1"/>
                <c:pt idx="0">
                  <c:v>P80 165 um</c:v>
                </c:pt>
              </c:strCache>
            </c:strRef>
          </c:tx>
          <c:spPr>
            <a:ln w="25400" cap="rnd">
              <a:solidFill>
                <a:srgbClr val="47647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476475"/>
              </a:solidFill>
              <a:ln w="9525">
                <a:solidFill>
                  <a:srgbClr val="476475"/>
                </a:solidFill>
              </a:ln>
              <a:effectLst/>
            </c:spPr>
          </c:marker>
          <c:xVal>
            <c:numRef>
              <c:f>'14. Cinética Rougher'!$K$6:$K$11</c:f>
              <c:numCache>
                <c:formatCode>0.0</c:formatCode>
                <c:ptCount val="6"/>
                <c:pt idx="0">
                  <c:v>35.531946938306938</c:v>
                </c:pt>
                <c:pt idx="1">
                  <c:v>47.443422025508205</c:v>
                </c:pt>
                <c:pt idx="2">
                  <c:v>57.119268442466911</c:v>
                </c:pt>
                <c:pt idx="3">
                  <c:v>80.313715577846807</c:v>
                </c:pt>
                <c:pt idx="4">
                  <c:v>88.480415878944825</c:v>
                </c:pt>
                <c:pt idx="5">
                  <c:v>100</c:v>
                </c:pt>
              </c:numCache>
            </c:numRef>
          </c:xVal>
          <c:yVal>
            <c:numRef>
              <c:f>'14. Cinética Rougher'!$J$6:$J$11</c:f>
              <c:numCache>
                <c:formatCode>0.00</c:formatCode>
                <c:ptCount val="6"/>
                <c:pt idx="0">
                  <c:v>10.990000000000002</c:v>
                </c:pt>
                <c:pt idx="1">
                  <c:v>7.1004811787651034</c:v>
                </c:pt>
                <c:pt idx="2">
                  <c:v>4.5682520587644264</c:v>
                </c:pt>
                <c:pt idx="3">
                  <c:v>2.4168047392425374</c:v>
                </c:pt>
                <c:pt idx="4">
                  <c:v>1.7839694190093658</c:v>
                </c:pt>
                <c:pt idx="5">
                  <c:v>0.64799999908368289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EB-401D-86CC-F19DC0355AA5}"/>
            </c:ext>
          </c:extLst>
        </c:ser>
        <c:ser>
          <c:idx val="1"/>
          <c:order val="1"/>
          <c:tx>
            <c:strRef>
              <c:f>'14. Cinética Rougher'!$B$18</c:f>
              <c:strCache>
                <c:ptCount val="1"/>
                <c:pt idx="0">
                  <c:v>P80 145 um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'14. Cinética Rougher'!$K$21:$K$25</c:f>
              <c:numCache>
                <c:formatCode>0.0</c:formatCode>
                <c:ptCount val="5"/>
                <c:pt idx="0">
                  <c:v>36.872449141688207</c:v>
                </c:pt>
                <c:pt idx="1">
                  <c:v>52.821591550038214</c:v>
                </c:pt>
                <c:pt idx="2">
                  <c:v>66.144826473384612</c:v>
                </c:pt>
                <c:pt idx="3">
                  <c:v>82.092057050763017</c:v>
                </c:pt>
                <c:pt idx="4">
                  <c:v>88.73755399201832</c:v>
                </c:pt>
              </c:numCache>
            </c:numRef>
          </c:xVal>
          <c:yVal>
            <c:numRef>
              <c:f>'14. Cinética Rougher'!$J$21:$J$25</c:f>
              <c:numCache>
                <c:formatCode>0.00</c:formatCode>
                <c:ptCount val="5"/>
                <c:pt idx="0">
                  <c:v>12.07</c:v>
                </c:pt>
                <c:pt idx="1">
                  <c:v>9.5625608237793553</c:v>
                </c:pt>
                <c:pt idx="2">
                  <c:v>6.8617015089180189</c:v>
                </c:pt>
                <c:pt idx="3">
                  <c:v>3.8484446009209963</c:v>
                </c:pt>
                <c:pt idx="4">
                  <c:v>2.6712555477261457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EB-401D-86CC-F19DC0355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5856415"/>
        <c:axId val="1895838655"/>
      </c:scatterChart>
      <c:valAx>
        <c:axId val="1895856415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ource Sans Pro" panose="020B0503030403020204" pitchFamily="34" charset="0"/>
                    <a:ea typeface="Source Sans Pro" panose="020B0503030403020204" pitchFamily="34" charset="0"/>
                    <a:cs typeface="+mn-cs"/>
                  </a:defRPr>
                </a:pPr>
                <a:r>
                  <a:rPr lang="es-CL"/>
                  <a:t>Recuperación Cu,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ource Sans Pro" panose="020B0503030403020204" pitchFamily="34" charset="0"/>
                  <a:ea typeface="Source Sans Pro" panose="020B0503030403020204" pitchFamily="34" charset="0"/>
                  <a:cs typeface="+mn-cs"/>
                </a:defRPr>
              </a:pPr>
              <a:endParaRPr lang="es-C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Source Sans Pro" panose="020B0503030403020204" pitchFamily="34" charset="0"/>
                <a:cs typeface="+mn-cs"/>
              </a:defRPr>
            </a:pPr>
            <a:endParaRPr lang="es-CL"/>
          </a:p>
        </c:txPr>
        <c:crossAx val="1895838655"/>
        <c:crosses val="autoZero"/>
        <c:crossBetween val="midCat"/>
      </c:valAx>
      <c:valAx>
        <c:axId val="189583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ource Sans Pro" panose="020B0503030403020204" pitchFamily="34" charset="0"/>
                    <a:ea typeface="Source Sans Pro" panose="020B0503030403020204" pitchFamily="34" charset="0"/>
                    <a:cs typeface="+mn-cs"/>
                  </a:defRPr>
                </a:pPr>
                <a:r>
                  <a:rPr lang="es-CL"/>
                  <a:t>Ley Cu,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ource Sans Pro" panose="020B0503030403020204" pitchFamily="34" charset="0"/>
                  <a:ea typeface="Source Sans Pro" panose="020B0503030403020204" pitchFamily="34" charset="0"/>
                  <a:cs typeface="+mn-cs"/>
                </a:defRPr>
              </a:pPr>
              <a:endParaRPr lang="es-C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Source Sans Pro" panose="020B0503030403020204" pitchFamily="34" charset="0"/>
                <a:cs typeface="+mn-cs"/>
              </a:defRPr>
            </a:pPr>
            <a:endParaRPr lang="es-CL"/>
          </a:p>
        </c:txPr>
        <c:crossAx val="18958564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ource Sans Pro" panose="020B0503030403020204" pitchFamily="34" charset="0"/>
              <a:ea typeface="Source Sans Pro" panose="020B0503030403020204" pitchFamily="34" charset="0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Source Sans Pro" panose="020B0503030403020204" pitchFamily="34" charset="0"/>
          <a:ea typeface="Source Sans Pro" panose="020B0503030403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Source Sans Pro" panose="020B0503030403020204" pitchFamily="34" charset="0"/>
                <a:cs typeface="+mn-cs"/>
              </a:defRPr>
            </a:pPr>
            <a:r>
              <a:rPr lang="es-CL" sz="1400"/>
              <a:t>GyZ Cu P80 160 um y 145 um</a:t>
            </a:r>
          </a:p>
        </c:rich>
      </c:tx>
      <c:layout>
        <c:manualLayout>
          <c:xMode val="edge"/>
          <c:yMode val="edge"/>
          <c:x val="0.3427389008493068"/>
          <c:y val="7.272731437498318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002314842558175"/>
          <c:y val="8.3807231879075517E-2"/>
          <c:w val="0.86059734446157798"/>
          <c:h val="0.65896186626305853"/>
        </c:manualLayout>
      </c:layout>
      <c:scatterChart>
        <c:scatterStyle val="lineMarker"/>
        <c:varyColors val="0"/>
        <c:ser>
          <c:idx val="4"/>
          <c:order val="4"/>
          <c:tx>
            <c:v>165 um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tx2"/>
              </a:solidFill>
              <a:ln w="9525">
                <a:solidFill>
                  <a:schemeClr val="tx2"/>
                </a:solidFill>
              </a:ln>
              <a:effectLst/>
            </c:spPr>
          </c:marker>
          <c:xVal>
            <c:numRef>
              <c:f>'14. Cinética Rougher'!$D$6:$D$10</c:f>
              <c:numCache>
                <c:formatCode>General</c:formatCode>
                <c:ptCount val="5"/>
                <c:pt idx="0">
                  <c:v>0.5</c:v>
                </c:pt>
                <c:pt idx="1">
                  <c:v>1.5</c:v>
                </c:pt>
                <c:pt idx="2">
                  <c:v>3.5</c:v>
                </c:pt>
                <c:pt idx="3">
                  <c:v>11.5</c:v>
                </c:pt>
                <c:pt idx="4">
                  <c:v>27.5</c:v>
                </c:pt>
              </c:numCache>
            </c:numRef>
          </c:xVal>
          <c:yVal>
            <c:numRef>
              <c:f>'14. Cinética Rougher'!$K$6:$K$10</c:f>
              <c:numCache>
                <c:formatCode>0.0</c:formatCode>
                <c:ptCount val="5"/>
                <c:pt idx="0">
                  <c:v>35.531946938306938</c:v>
                </c:pt>
                <c:pt idx="1">
                  <c:v>47.443422025508205</c:v>
                </c:pt>
                <c:pt idx="2">
                  <c:v>57.119268442466911</c:v>
                </c:pt>
                <c:pt idx="3">
                  <c:v>80.313715577846807</c:v>
                </c:pt>
                <c:pt idx="4">
                  <c:v>88.480415878944825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47-4EC8-9918-F96080350713}"/>
            </c:ext>
          </c:extLst>
        </c:ser>
        <c:ser>
          <c:idx val="9"/>
          <c:order val="9"/>
          <c:tx>
            <c:v>145 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'14. Cinética Rougher'!$D$21:$D$25</c:f>
              <c:numCache>
                <c:formatCode>General</c:formatCode>
                <c:ptCount val="5"/>
                <c:pt idx="0">
                  <c:v>0.5</c:v>
                </c:pt>
                <c:pt idx="1">
                  <c:v>1.5</c:v>
                </c:pt>
                <c:pt idx="2">
                  <c:v>3.5</c:v>
                </c:pt>
                <c:pt idx="3">
                  <c:v>11.5</c:v>
                </c:pt>
                <c:pt idx="4">
                  <c:v>27.5</c:v>
                </c:pt>
              </c:numCache>
            </c:numRef>
          </c:xVal>
          <c:yVal>
            <c:numRef>
              <c:f>'14. Cinética Rougher'!$K$21:$K$25</c:f>
              <c:numCache>
                <c:formatCode>0.0</c:formatCode>
                <c:ptCount val="5"/>
                <c:pt idx="0">
                  <c:v>36.872449141688207</c:v>
                </c:pt>
                <c:pt idx="1">
                  <c:v>52.821591550038214</c:v>
                </c:pt>
                <c:pt idx="2">
                  <c:v>66.144826473384612</c:v>
                </c:pt>
                <c:pt idx="3">
                  <c:v>82.092057050763017</c:v>
                </c:pt>
                <c:pt idx="4">
                  <c:v>88.73755399201832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47-4EC8-9918-F96080350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172112"/>
        <c:axId val="848172592"/>
        <c:extLst>
          <c:ext xmlns:c15="http://schemas.microsoft.com/office/drawing/2012/chart" uri="{02D57815-91ED-43cb-92C2-25804820EDAC}">
            <c15:filteredScatterSeries>
              <c15:ser>
                <c:idx val="5"/>
                <c:order val="5"/>
                <c:tx>
                  <c:v>Exp L2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[4]GyZ!$CS$4:$CX$4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[4]GyZ!$CS$7:$CX$7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36.872449141688207</c:v>
                      </c:pt>
                      <c:pt idx="2">
                        <c:v>52.821591550038214</c:v>
                      </c:pt>
                      <c:pt idx="3">
                        <c:v>66.144826473384612</c:v>
                      </c:pt>
                      <c:pt idx="4">
                        <c:v>82.092057050763017</c:v>
                      </c:pt>
                      <c:pt idx="5">
                        <c:v>88.73755399201832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AB47-4EC8-9918-F96080350713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Exp L4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[4]GyZ!$CS$4:$CX$4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[4]GyZ!$CS$9:$CX$9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6.926402418729535</c:v>
                      </c:pt>
                      <c:pt idx="2">
                        <c:v>10.265543330922288</c:v>
                      </c:pt>
                      <c:pt idx="3">
                        <c:v>14.313233656190091</c:v>
                      </c:pt>
                      <c:pt idx="4">
                        <c:v>26.045522245134372</c:v>
                      </c:pt>
                      <c:pt idx="5">
                        <c:v>34.602968001294151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B47-4EC8-9918-F96080350713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Exp L5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[4]GyZ!$CS$4:$CX$4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[4]GyZ!$CS$10:$CX$10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B47-4EC8-9918-F96080350713}"/>
                  </c:ext>
                </c:extLst>
              </c15:ser>
            </c15:filteredScatterSeries>
          </c:ext>
        </c:extLst>
      </c:scatterChart>
      <c:scatterChart>
        <c:scatterStyle val="smoothMarker"/>
        <c:varyColors val="0"/>
        <c:ser>
          <c:idx val="0"/>
          <c:order val="0"/>
          <c:tx>
            <c:v>Curva 165 um</c:v>
          </c:tx>
          <c:spPr>
            <a:ln w="19050" cap="rnd">
              <a:solidFill>
                <a:schemeClr val="tx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'14. Cinética Rougher'!$P$45:$U$45</c:f>
              <c:numCache>
                <c:formatCode>0.0</c:formatCode>
                <c:ptCount val="6"/>
                <c:pt idx="0">
                  <c:v>0</c:v>
                </c:pt>
                <c:pt idx="1">
                  <c:v>0.5</c:v>
                </c:pt>
                <c:pt idx="2">
                  <c:v>1.5</c:v>
                </c:pt>
                <c:pt idx="3">
                  <c:v>3.5</c:v>
                </c:pt>
                <c:pt idx="4">
                  <c:v>11.5</c:v>
                </c:pt>
                <c:pt idx="5">
                  <c:v>27.5</c:v>
                </c:pt>
              </c:numCache>
            </c:numRef>
          </c:xVal>
          <c:yVal>
            <c:numRef>
              <c:f>'14. Cinética Rougher'!$P$46:$U$46</c:f>
              <c:numCache>
                <c:formatCode>0.0</c:formatCode>
                <c:ptCount val="6"/>
                <c:pt idx="0">
                  <c:v>0</c:v>
                </c:pt>
                <c:pt idx="1">
                  <c:v>17.907252993418066</c:v>
                </c:pt>
                <c:pt idx="2">
                  <c:v>43.582680640592351</c:v>
                </c:pt>
                <c:pt idx="3">
                  <c:v>70.308775210511101</c:v>
                </c:pt>
                <c:pt idx="4">
                  <c:v>87.992805474955617</c:v>
                </c:pt>
                <c:pt idx="5">
                  <c:v>88.480064779122543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B47-4EC8-9918-F96080350713}"/>
            </c:ext>
          </c:extLst>
        </c:ser>
        <c:ser>
          <c:idx val="8"/>
          <c:order val="8"/>
          <c:tx>
            <c:v>Curva 145 um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'14. Cinética Rougher'!$P$45:$U$45</c:f>
              <c:numCache>
                <c:formatCode>0.0</c:formatCode>
                <c:ptCount val="6"/>
                <c:pt idx="0">
                  <c:v>0</c:v>
                </c:pt>
                <c:pt idx="1">
                  <c:v>0.5</c:v>
                </c:pt>
                <c:pt idx="2">
                  <c:v>1.5</c:v>
                </c:pt>
                <c:pt idx="3">
                  <c:v>3.5</c:v>
                </c:pt>
                <c:pt idx="4">
                  <c:v>11.5</c:v>
                </c:pt>
                <c:pt idx="5">
                  <c:v>27.5</c:v>
                </c:pt>
              </c:numCache>
            </c:numRef>
          </c:xVal>
          <c:yVal>
            <c:numRef>
              <c:f>'14. Cinética Rougher'!$P$47:$U$47</c:f>
              <c:numCache>
                <c:formatCode>0.0</c:formatCode>
                <c:ptCount val="6"/>
                <c:pt idx="0">
                  <c:v>0</c:v>
                </c:pt>
                <c:pt idx="1">
                  <c:v>23.097528598369095</c:v>
                </c:pt>
                <c:pt idx="2">
                  <c:v>52.821276828233849</c:v>
                </c:pt>
                <c:pt idx="3">
                  <c:v>77.9843852190196</c:v>
                </c:pt>
                <c:pt idx="4">
                  <c:v>88.65115333328059</c:v>
                </c:pt>
                <c:pt idx="5">
                  <c:v>88.73754841402183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B47-4EC8-9918-F96080350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172112"/>
        <c:axId val="848172592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GyZ L2</c:v>
                </c:tx>
                <c:spPr>
                  <a:ln w="19050" cap="rnd">
                    <a:solidFill>
                      <a:srgbClr val="C0504D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[4]GyZ!$EC$4:$EH$4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0.5</c:v>
                      </c:pt>
                      <c:pt idx="2">
                        <c:v>1.5</c:v>
                      </c:pt>
                      <c:pt idx="3">
                        <c:v>3.5</c:v>
                      </c:pt>
                      <c:pt idx="4">
                        <c:v>11.5</c:v>
                      </c:pt>
                      <c:pt idx="5">
                        <c:v>27.5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[4]GyZ!$EC$7:$EH$7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23.097528598369095</c:v>
                      </c:pt>
                      <c:pt idx="2">
                        <c:v>52.821276828233849</c:v>
                      </c:pt>
                      <c:pt idx="3">
                        <c:v>77.9843852190196</c:v>
                      </c:pt>
                      <c:pt idx="4">
                        <c:v>88.65115333328059</c:v>
                      </c:pt>
                      <c:pt idx="5">
                        <c:v>88.73754841402183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AB47-4EC8-9918-F96080350713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GyZ L4</c:v>
                </c:tx>
                <c:spPr>
                  <a:ln w="19050" cap="rnd">
                    <a:solidFill>
                      <a:srgbClr val="9BBB59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[4]GyZ!$EC$4:$EH$4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0.5</c:v>
                      </c:pt>
                      <c:pt idx="2">
                        <c:v>1.5</c:v>
                      </c:pt>
                      <c:pt idx="3">
                        <c:v>3.5</c:v>
                      </c:pt>
                      <c:pt idx="4">
                        <c:v>11.5</c:v>
                      </c:pt>
                      <c:pt idx="5">
                        <c:v>27.5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[4]GyZ!$EC$9:$EH$9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2.5929167928378227</c:v>
                      </c:pt>
                      <c:pt idx="2">
                        <c:v>7.2104216969972548</c:v>
                      </c:pt>
                      <c:pt idx="3">
                        <c:v>14.543266069292937</c:v>
                      </c:pt>
                      <c:pt idx="4">
                        <c:v>28.834071335049877</c:v>
                      </c:pt>
                      <c:pt idx="5">
                        <c:v>34.125846126282106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B47-4EC8-9918-F96080350713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GyZ L5</c:v>
                </c:tx>
                <c:spPr>
                  <a:ln w="19050" cap="rnd">
                    <a:solidFill>
                      <a:srgbClr val="F7964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[4]GyZ!$EC$4:$EH$4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0.5</c:v>
                      </c:pt>
                      <c:pt idx="2">
                        <c:v>1.5</c:v>
                      </c:pt>
                      <c:pt idx="3">
                        <c:v>3.5</c:v>
                      </c:pt>
                      <c:pt idx="4">
                        <c:v>11.5</c:v>
                      </c:pt>
                      <c:pt idx="5">
                        <c:v>27.5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[4]GyZ!$EC$10:$EH$10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69.732089449919428</c:v>
                      </c:pt>
                      <c:pt idx="2">
                        <c:v>87.354610480237554</c:v>
                      </c:pt>
                      <c:pt idx="3">
                        <c:v>91.808130372066401</c:v>
                      </c:pt>
                      <c:pt idx="4">
                        <c:v>92.933612894844657</c:v>
                      </c:pt>
                      <c:pt idx="5">
                        <c:v>93.218042051971224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B47-4EC8-9918-F96080350713}"/>
                  </c:ext>
                </c:extLst>
              </c15:ser>
            </c15:filteredScatterSeries>
          </c:ext>
        </c:extLst>
      </c:scatterChart>
      <c:valAx>
        <c:axId val="848172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Source Sans Pro" panose="020B0503030403020204" pitchFamily="34" charset="0"/>
                    <a:cs typeface="+mn-cs"/>
                  </a:defRPr>
                </a:pPr>
                <a:r>
                  <a:rPr lang="es-CL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Source Sans Pro" panose="020B0503030403020204" pitchFamily="34" charset="0"/>
                  <a:ea typeface="Source Sans Pro" panose="020B0503030403020204" pitchFamily="34" charset="0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Source Sans Pro" panose="020B0503030403020204" pitchFamily="34" charset="0"/>
                <a:cs typeface="+mn-cs"/>
              </a:defRPr>
            </a:pPr>
            <a:endParaRPr lang="es-CL"/>
          </a:p>
        </c:txPr>
        <c:crossAx val="848172592"/>
        <c:crosses val="autoZero"/>
        <c:crossBetween val="midCat"/>
      </c:valAx>
      <c:valAx>
        <c:axId val="84817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Source Sans Pro" panose="020B0503030403020204" pitchFamily="34" charset="0"/>
                    <a:cs typeface="+mn-cs"/>
                  </a:defRPr>
                </a:pPr>
                <a:r>
                  <a:rPr lang="es-CL"/>
                  <a:t>Recuperación Cu 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Source Sans Pro" panose="020B0503030403020204" pitchFamily="34" charset="0"/>
                  <a:ea typeface="Source Sans Pro" panose="020B0503030403020204" pitchFamily="34" charset="0"/>
                  <a:cs typeface="+mn-cs"/>
                </a:defRPr>
              </a:pPr>
              <a:endParaRPr lang="es-C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Source Sans Pro" panose="020B0503030403020204" pitchFamily="34" charset="0"/>
                <a:cs typeface="+mn-cs"/>
              </a:defRPr>
            </a:pPr>
            <a:endParaRPr lang="es-CL"/>
          </a:p>
        </c:txPr>
        <c:crossAx val="848172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624853822668966"/>
          <c:y val="0.88834610642583045"/>
          <c:w val="0.86048606498457736"/>
          <c:h val="7.0266597899885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Source Sans Pro" panose="020B0503030403020204" pitchFamily="34" charset="0"/>
          <a:ea typeface="Source Sans Pro" panose="020B0503030403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843285214348206"/>
          <c:y val="4.382050630767928E-2"/>
          <c:w val="0.79012270341207347"/>
          <c:h val="0.8557556515113030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'[5]Producto Remolienda Condición#1'!$E$21</c:f>
              <c:strCache>
                <c:ptCount val="1"/>
                <c:pt idx="0">
                  <c:v>Producto Remolienda Concentrado Rougher PP Condición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'15. Remolienda'!$E$13:$E$23</c:f>
              <c:numCache>
                <c:formatCode>General</c:formatCode>
                <c:ptCount val="11"/>
                <c:pt idx="0">
                  <c:v>300</c:v>
                </c:pt>
                <c:pt idx="1">
                  <c:v>212</c:v>
                </c:pt>
                <c:pt idx="2">
                  <c:v>180</c:v>
                </c:pt>
                <c:pt idx="3">
                  <c:v>150</c:v>
                </c:pt>
                <c:pt idx="4">
                  <c:v>106</c:v>
                </c:pt>
                <c:pt idx="5">
                  <c:v>75</c:v>
                </c:pt>
                <c:pt idx="6">
                  <c:v>53</c:v>
                </c:pt>
                <c:pt idx="7">
                  <c:v>45</c:v>
                </c:pt>
                <c:pt idx="8">
                  <c:v>38</c:v>
                </c:pt>
                <c:pt idx="9">
                  <c:v>25</c:v>
                </c:pt>
                <c:pt idx="10">
                  <c:v>20</c:v>
                </c:pt>
              </c:numCache>
            </c:numRef>
          </c:xVal>
          <c:yVal>
            <c:numRef>
              <c:f>'15. Remolienda'!$I$13:$I$23</c:f>
              <c:numCache>
                <c:formatCode>0.00</c:formatCode>
                <c:ptCount val="11"/>
                <c:pt idx="0">
                  <c:v>100</c:v>
                </c:pt>
                <c:pt idx="1">
                  <c:v>99.615858650178282</c:v>
                </c:pt>
                <c:pt idx="2">
                  <c:v>98.480484511204352</c:v>
                </c:pt>
                <c:pt idx="3">
                  <c:v>96.76267603483447</c:v>
                </c:pt>
                <c:pt idx="4">
                  <c:v>92.694148843089323</c:v>
                </c:pt>
                <c:pt idx="5">
                  <c:v>88.068295795489817</c:v>
                </c:pt>
                <c:pt idx="6">
                  <c:v>83.198619569739762</c:v>
                </c:pt>
                <c:pt idx="7">
                  <c:v>80.890291366085037</c:v>
                </c:pt>
                <c:pt idx="8">
                  <c:v>78.520957785326274</c:v>
                </c:pt>
                <c:pt idx="9">
                  <c:v>72.804764416926787</c:v>
                </c:pt>
                <c:pt idx="10">
                  <c:v>69.882365679598664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83-4F22-BB41-28EB5C505CDB}"/>
            </c:ext>
          </c:extLst>
        </c:ser>
        <c:ser>
          <c:idx val="1"/>
          <c:order val="1"/>
          <c:tx>
            <c:v>Referencia Remolienda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'15. Remolienda'!$E$13:$E$23</c:f>
              <c:numCache>
                <c:formatCode>General</c:formatCode>
                <c:ptCount val="11"/>
                <c:pt idx="0">
                  <c:v>300</c:v>
                </c:pt>
                <c:pt idx="1">
                  <c:v>212</c:v>
                </c:pt>
                <c:pt idx="2">
                  <c:v>180</c:v>
                </c:pt>
                <c:pt idx="3">
                  <c:v>150</c:v>
                </c:pt>
                <c:pt idx="4">
                  <c:v>106</c:v>
                </c:pt>
                <c:pt idx="5">
                  <c:v>75</c:v>
                </c:pt>
                <c:pt idx="6">
                  <c:v>53</c:v>
                </c:pt>
                <c:pt idx="7">
                  <c:v>45</c:v>
                </c:pt>
                <c:pt idx="8">
                  <c:v>38</c:v>
                </c:pt>
                <c:pt idx="9">
                  <c:v>25</c:v>
                </c:pt>
                <c:pt idx="10">
                  <c:v>20</c:v>
                </c:pt>
              </c:numCache>
            </c:numRef>
          </c:xVal>
          <c:yVal>
            <c:numRef>
              <c:f>'15. Remolienda'!$J$13:$J$23</c:f>
              <c:numCache>
                <c:formatCode>0.00</c:formatCode>
                <c:ptCount val="11"/>
                <c:pt idx="0">
                  <c:v>100</c:v>
                </c:pt>
                <c:pt idx="1">
                  <c:v>99.962381984018606</c:v>
                </c:pt>
                <c:pt idx="2">
                  <c:v>99.826217112510747</c:v>
                </c:pt>
                <c:pt idx="3">
                  <c:v>99.436632468304396</c:v>
                </c:pt>
                <c:pt idx="4">
                  <c:v>97.419910070153435</c:v>
                </c:pt>
                <c:pt idx="5">
                  <c:v>92.785975925960145</c:v>
                </c:pt>
                <c:pt idx="6">
                  <c:v>84.830145461281916</c:v>
                </c:pt>
                <c:pt idx="7">
                  <c:v>80</c:v>
                </c:pt>
                <c:pt idx="8">
                  <c:v>74.453734099672531</c:v>
                </c:pt>
                <c:pt idx="9">
                  <c:v>59.552539741898372</c:v>
                </c:pt>
                <c:pt idx="10">
                  <c:v>51.73065134529444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F83-4F22-BB41-28EB5C505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731695"/>
        <c:axId val="658722127"/>
      </c:scatterChart>
      <c:valAx>
        <c:axId val="658731695"/>
        <c:scaling>
          <c:logBase val="10"/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400">
                    <a:latin typeface="Arial" panose="020B0604020202020204" pitchFamily="34" charset="0"/>
                    <a:cs typeface="Arial" panose="020B0604020202020204" pitchFamily="34" charset="0"/>
                  </a:rPr>
                  <a:t>Size, µm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658722127"/>
        <c:crosses val="autoZero"/>
        <c:crossBetween val="midCat"/>
      </c:valAx>
      <c:valAx>
        <c:axId val="658722127"/>
        <c:scaling>
          <c:orientation val="minMax"/>
          <c:max val="100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400">
                    <a:latin typeface="Arial" panose="020B0604020202020204" pitchFamily="34" charset="0"/>
                    <a:cs typeface="Arial" panose="020B0604020202020204" pitchFamily="34" charset="0"/>
                  </a:rPr>
                  <a:t>Pass,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6587316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5006997653820622"/>
          <c:y val="0.66169319595952014"/>
          <c:w val="0.36748477784736244"/>
          <c:h val="0.21932857651563681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843285214348206"/>
          <c:y val="4.382050630767928E-2"/>
          <c:w val="0.79012270341207347"/>
          <c:h val="0.8557556515113030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'15. Remolienda'!$P$4</c:f>
              <c:strCache>
                <c:ptCount val="1"/>
                <c:pt idx="0">
                  <c:v>Prueba: Etapa Remolienda Concentrado Rougher Condición #2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'15. Remolienda'!$T$13:$T$23</c:f>
              <c:numCache>
                <c:formatCode>General</c:formatCode>
                <c:ptCount val="11"/>
                <c:pt idx="0">
                  <c:v>300</c:v>
                </c:pt>
                <c:pt idx="1">
                  <c:v>212</c:v>
                </c:pt>
                <c:pt idx="2">
                  <c:v>180</c:v>
                </c:pt>
                <c:pt idx="3">
                  <c:v>150</c:v>
                </c:pt>
                <c:pt idx="4">
                  <c:v>106</c:v>
                </c:pt>
                <c:pt idx="5">
                  <c:v>75</c:v>
                </c:pt>
                <c:pt idx="6">
                  <c:v>53</c:v>
                </c:pt>
                <c:pt idx="7">
                  <c:v>45</c:v>
                </c:pt>
                <c:pt idx="8">
                  <c:v>38</c:v>
                </c:pt>
                <c:pt idx="9">
                  <c:v>25</c:v>
                </c:pt>
                <c:pt idx="10">
                  <c:v>20</c:v>
                </c:pt>
              </c:numCache>
            </c:numRef>
          </c:xVal>
          <c:yVal>
            <c:numRef>
              <c:f>'15. Remolienda'!$X$13:$X$23</c:f>
              <c:numCache>
                <c:formatCode>0.00</c:formatCode>
                <c:ptCount val="11"/>
                <c:pt idx="0">
                  <c:v>100</c:v>
                </c:pt>
                <c:pt idx="1">
                  <c:v>99.710134582760517</c:v>
                </c:pt>
                <c:pt idx="2">
                  <c:v>99.212435484725944</c:v>
                </c:pt>
                <c:pt idx="3">
                  <c:v>98.339991245319169</c:v>
                </c:pt>
                <c:pt idx="4">
                  <c:v>95.739144173340847</c:v>
                </c:pt>
                <c:pt idx="5">
                  <c:v>92.003188628683887</c:v>
                </c:pt>
                <c:pt idx="6">
                  <c:v>87.304289099706281</c:v>
                </c:pt>
                <c:pt idx="7">
                  <c:v>84.835094733498167</c:v>
                </c:pt>
                <c:pt idx="8">
                  <c:v>82.155997619666621</c:v>
                </c:pt>
                <c:pt idx="9">
                  <c:v>75.169879914987774</c:v>
                </c:pt>
                <c:pt idx="10">
                  <c:v>71.361755476878258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28-4D4A-BCCE-C6694EFB8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731695"/>
        <c:axId val="658722127"/>
      </c:scatterChart>
      <c:valAx>
        <c:axId val="658731695"/>
        <c:scaling>
          <c:logBase val="10"/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400">
                    <a:latin typeface="Arial" panose="020B0604020202020204" pitchFamily="34" charset="0"/>
                    <a:cs typeface="Arial" panose="020B0604020202020204" pitchFamily="34" charset="0"/>
                  </a:rPr>
                  <a:t>Size, µm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658722127"/>
        <c:crosses val="autoZero"/>
        <c:crossBetween val="midCat"/>
      </c:valAx>
      <c:valAx>
        <c:axId val="658722127"/>
        <c:scaling>
          <c:orientation val="minMax"/>
          <c:max val="100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400">
                    <a:latin typeface="Arial" panose="020B0604020202020204" pitchFamily="34" charset="0"/>
                    <a:cs typeface="Arial" panose="020B0604020202020204" pitchFamily="34" charset="0"/>
                  </a:rPr>
                  <a:t>Pass,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6587316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3212120109228382"/>
          <c:y val="0.77459639319278639"/>
          <c:w val="0.57353510884868208"/>
          <c:h val="0.11057658115316231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r>
              <a:rPr lang="es-CL" sz="1600" b="1"/>
              <a:t>Resultados AQ Pilotaje Cleaner Cond #1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Source Sans Pro" panose="020B0503030403020204" pitchFamily="34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1"/>
          <c:tx>
            <c:v>Rec. Peso Circuito Limp.</c:v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ctr">
                  <a:defRPr lang="en-US" sz="1100" b="1" i="0" u="none" strike="noStrike" kern="1200" baseline="0">
                    <a:solidFill>
                      <a:schemeClr val="tx1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'16. Pilotaje Cleaner'!$C$32:$F$33</c15:sqref>
                  </c15:fullRef>
                </c:ext>
              </c:extLst>
              <c:f>('16. Pilotaje Cleaner'!$C$32:$C$33,'16. Pilotaje Cleaner'!$F$32:$F$33)</c:f>
              <c:multiLvlStrCache>
                <c:ptCount val="2"/>
                <c:lvl>
                  <c:pt idx="0">
                    <c:v>Noche</c:v>
                  </c:pt>
                  <c:pt idx="1">
                    <c:v>Día</c:v>
                  </c:pt>
                </c:lvl>
                <c:lvl>
                  <c:pt idx="0">
                    <c:v>01-09-2025</c:v>
                  </c:pt>
                  <c:pt idx="1">
                    <c:v>03-09-2025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'16. Pilotaje Cleaner'!$C$46:$F$46</c15:sqref>
                  </c15:fullRef>
                </c:ext>
              </c:extLst>
              <c:f>('16. Pilotaje Cleaner'!$C$46,'16. Pilotaje Cleaner'!$F$46)</c:f>
              <c:numCache>
                <c:formatCode>0.00</c:formatCode>
                <c:ptCount val="2"/>
                <c:pt idx="0">
                  <c:v>24.959593627337796</c:v>
                </c:pt>
                <c:pt idx="1">
                  <c:v>29.98783454987835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D1-415A-A90C-E4D737474530}"/>
            </c:ext>
          </c:extLst>
        </c:ser>
        <c:ser>
          <c:idx val="5"/>
          <c:order val="5"/>
          <c:tx>
            <c:v>Rec. Circuito Limp.</c:v>
          </c:tx>
          <c:spPr>
            <a:solidFill>
              <a:srgbClr val="F2AA8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'16. Pilotaje Cleaner'!$C$32:$F$33</c15:sqref>
                  </c15:fullRef>
                </c:ext>
              </c:extLst>
              <c:f>('16. Pilotaje Cleaner'!$C$32:$C$33,'16. Pilotaje Cleaner'!$F$32:$F$33)</c:f>
              <c:multiLvlStrCache>
                <c:ptCount val="2"/>
                <c:lvl>
                  <c:pt idx="0">
                    <c:v>Noche</c:v>
                  </c:pt>
                  <c:pt idx="1">
                    <c:v>Día</c:v>
                  </c:pt>
                </c:lvl>
                <c:lvl>
                  <c:pt idx="0">
                    <c:v>01-09-2025</c:v>
                  </c:pt>
                  <c:pt idx="1">
                    <c:v>03-09-2025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'16. Pilotaje Cleaner'!$C$50:$F$50</c15:sqref>
                  </c15:fullRef>
                </c:ext>
              </c:extLst>
              <c:f>('16. Pilotaje Cleaner'!$C$50,'16. Pilotaje Cleaner'!$F$50)</c:f>
              <c:numCache>
                <c:formatCode>0.00</c:formatCode>
                <c:ptCount val="2"/>
                <c:pt idx="0">
                  <c:v>96.272718276874372</c:v>
                </c:pt>
                <c:pt idx="1">
                  <c:v>96.492646817527628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D1-415A-A90C-E4D737474530}"/>
            </c:ext>
          </c:extLst>
        </c:ser>
        <c:ser>
          <c:idx val="7"/>
          <c:order val="6"/>
          <c:tx>
            <c:v>Rec. Global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ctr">
                  <a:defRPr lang="en-US" sz="1100" b="1" i="0" u="none" strike="noStrike" kern="1200" baseline="0">
                    <a:solidFill>
                      <a:schemeClr val="tx1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01-09-2025 Noche</c:v>
              </c:pt>
              <c:pt idx="1">
                <c:v>03-09-2025 Día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'16. Pilotaje Cleaner'!$C$51:$F$51</c15:sqref>
                  </c15:fullRef>
                </c:ext>
              </c:extLst>
              <c:f>('16. Pilotaje Cleaner'!$C$51,'16. Pilotaje Cleaner'!$F$51)</c:f>
              <c:numCache>
                <c:formatCode>0.00</c:formatCode>
                <c:ptCount val="2"/>
                <c:pt idx="0">
                  <c:v>76.832843447022853</c:v>
                </c:pt>
                <c:pt idx="1">
                  <c:v>77.008362902959973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05D1-415A-A90C-E4D737474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1918240"/>
        <c:axId val="1061921600"/>
        <c:extLst>
          <c:ext xmlns:c15="http://schemas.microsoft.com/office/drawing/2012/chart" uri="{02D57815-91ED-43cb-92C2-25804820EDAC}">
            <c15:filteredBarSeries>
              <c15:ser>
                <c:idx val="0"/>
                <c:order val="2"/>
                <c:tx>
                  <c:v>Rec. Primaria</c:v>
                </c:tx>
                <c:spPr>
                  <a:solidFill>
                    <a:schemeClr val="accent1">
                      <a:lumMod val="20000"/>
                      <a:lumOff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ullRef>
                          <c15:sqref>'16. Pilotaje Cleaner'!$C$32:$F$33</c15:sqref>
                        </c15:fullRef>
                        <c15:formulaRef>
                          <c15:sqref>('16. Pilotaje Cleaner'!$C$32:$C$33,'16. Pilotaje Cleaner'!$F$32:$F$33)</c15:sqref>
                        </c15:formulaRef>
                      </c:ext>
                    </c:extLst>
                    <c:multiLvlStrCache>
                      <c:ptCount val="2"/>
                      <c:lvl>
                        <c:pt idx="0">
                          <c:v>Noche</c:v>
                        </c:pt>
                        <c:pt idx="1">
                          <c:v>Día</c:v>
                        </c:pt>
                      </c:lvl>
                      <c:lvl>
                        <c:pt idx="0">
                          <c:v>01-09-2025</c:v>
                        </c:pt>
                        <c:pt idx="1">
                          <c:v>03-09-2025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'[6]12-08-2025 M-18 LS2'!$Q$36:$AQ$36</c15:sqref>
                        </c15:fullRef>
                        <c15:formulaRef>
                          <c15:sqref>('[6]12-08-2025 M-18 LS2'!$Q$36,'[6]12-08-2025 M-18 LS2'!$T$36:$AQ$36)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0-05D1-415A-A90C-E4D737474530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"/>
          <c:order val="0"/>
          <c:tx>
            <c:v>Ley Conc. Cl-SCV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7.432687558942741E-2"/>
                  <c:y val="1.31764044152784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05D1-415A-A90C-E4D737474530}"/>
                </c:ext>
              </c:extLst>
            </c:dLbl>
            <c:dLbl>
              <c:idx val="1"/>
              <c:layout>
                <c:manualLayout>
                  <c:x val="-6.8699931652732305E-2"/>
                  <c:y val="3.22002841124462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5D1-415A-A90C-E4D737474530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ctr">
                  <a:defRPr lang="en-US" sz="1100" b="1" i="0" u="none" strike="noStrike" kern="1200" baseline="0">
                    <a:solidFill>
                      <a:schemeClr val="tx1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'16. Pilotaje Cleaner'!$C$32:$F$33</c15:sqref>
                  </c15:fullRef>
                </c:ext>
              </c:extLst>
              <c:f>('16. Pilotaje Cleaner'!$C$32:$C$33,'16. Pilotaje Cleaner'!$F$32:$F$33)</c:f>
              <c:multiLvlStrCache>
                <c:ptCount val="2"/>
                <c:lvl>
                  <c:pt idx="0">
                    <c:v>Noche</c:v>
                  </c:pt>
                  <c:pt idx="1">
                    <c:v>Día</c:v>
                  </c:pt>
                </c:lvl>
                <c:lvl>
                  <c:pt idx="0">
                    <c:v>01-09-2025</c:v>
                  </c:pt>
                  <c:pt idx="1">
                    <c:v>03-09-2025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'16. Pilotaje Cleaner'!$C$39:$F$39</c15:sqref>
                  </c15:fullRef>
                </c:ext>
              </c:extLst>
              <c:f>('16. Pilotaje Cleaner'!$C$39,'16. Pilotaje Cleaner'!$F$39)</c:f>
              <c:numCache>
                <c:formatCode>0.00</c:formatCode>
                <c:ptCount val="2"/>
                <c:pt idx="0">
                  <c:v>17.55</c:v>
                </c:pt>
                <c:pt idx="1">
                  <c:v>15.03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'16. Pilotaje Cleaner'!$D$39</c15:sqref>
                  <c15:dLbl>
                    <c:idx val="0"/>
                    <c:layout>
                      <c:manualLayout>
                        <c:x val="-7.1515420282447631E-2"/>
                        <c:y val="2.983425992133261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24C0-49F9-838A-BBD64C7EE85D}"/>
                      </c:ext>
                    </c:extLst>
                  </c15:dLbl>
                </c15:categoryFilterException>
                <c15:categoryFilterException>
                  <c15:sqref>'16. Pilotaje Cleaner'!$E$39</c15:sqref>
                  <c15:dLbl>
                    <c:idx val="0"/>
                    <c:layout>
                      <c:manualLayout>
                        <c:x val="-6.7298106233200178E-2"/>
                        <c:y val="3.4577559159987052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1-24C0-49F9-838A-BBD64C7EE85D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8-05D1-415A-A90C-E4D737474530}"/>
            </c:ext>
          </c:extLst>
        </c:ser>
        <c:ser>
          <c:idx val="6"/>
          <c:order val="4"/>
          <c:tx>
            <c:v>Ley Conc. Primario</c:v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044955989304624"/>
                  <c:y val="5.1622621250854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5D1-415A-A90C-E4D737474530}"/>
                </c:ext>
              </c:extLst>
            </c:dLbl>
            <c:dLbl>
              <c:idx val="1"/>
              <c:layout>
                <c:manualLayout>
                  <c:x val="-0.11152043414573541"/>
                  <c:y val="4.92452685374712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05D1-415A-A90C-E4D737474530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ctr">
                  <a:defRPr lang="en-US" sz="1100" b="1" i="0" u="none" strike="noStrike" kern="1200" baseline="0">
                    <a:solidFill>
                      <a:schemeClr val="tx1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'16. Pilotaje Cleaner'!$C$32:$F$33</c15:sqref>
                  </c15:fullRef>
                </c:ext>
              </c:extLst>
              <c:f>('16. Pilotaje Cleaner'!$C$32:$C$33,'16. Pilotaje Cleaner'!$F$32:$F$33)</c:f>
              <c:multiLvlStrCache>
                <c:ptCount val="2"/>
                <c:lvl>
                  <c:pt idx="0">
                    <c:v>Noche</c:v>
                  </c:pt>
                  <c:pt idx="1">
                    <c:v>Día</c:v>
                  </c:pt>
                </c:lvl>
                <c:lvl>
                  <c:pt idx="0">
                    <c:v>01-09-2025</c:v>
                  </c:pt>
                  <c:pt idx="1">
                    <c:v>03-09-2025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'16. Pilotaje Cleaner'!$C$34:$F$34</c15:sqref>
                  </c15:fullRef>
                </c:ext>
              </c:extLst>
              <c:f>('16. Pilotaje Cleaner'!$C$34,'16. Pilotaje Cleaner'!$F$34)</c:f>
              <c:numCache>
                <c:formatCode>0.00</c:formatCode>
                <c:ptCount val="2"/>
                <c:pt idx="0">
                  <c:v>4.55</c:v>
                </c:pt>
                <c:pt idx="1">
                  <c:v>4.6710000000000003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'16. Pilotaje Cleaner'!$D$34</c15:sqref>
                  <c15:dLbl>
                    <c:idx val="0"/>
                    <c:layout>
                      <c:manualLayout>
                        <c:x val="-0.110114761759698"/>
                        <c:y val="3.7364674298607028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24C0-49F9-838A-BBD64C7EE85D}"/>
                      </c:ext>
                    </c:extLst>
                  </c15:dLbl>
                </c15:categoryFilterException>
                <c15:categoryFilterException>
                  <c15:sqref>'16. Pilotaje Cleaner'!$E$34</c15:sqref>
                  <c15:dLbl>
                    <c:idx val="0"/>
                    <c:layout>
                      <c:manualLayout>
                        <c:x val="-0.10871483718871713"/>
                        <c:y val="4.9245268537471208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24C0-49F9-838A-BBD64C7EE85D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F-05D1-415A-A90C-E4D737474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0452767"/>
        <c:axId val="970453247"/>
        <c:extLst>
          <c:ext xmlns:c15="http://schemas.microsoft.com/office/drawing/2012/chart" uri="{02D57815-91ED-43cb-92C2-25804820EDAC}">
            <c15:filteredLineSeries>
              <c15:ser>
                <c:idx val="4"/>
                <c:order val="3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triangle"/>
                  <c:size val="10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Source Sans Pro" panose="020B0503030403020204" pitchFamily="34" charset="0"/>
                          <a:ea typeface="+mn-ea"/>
                          <a:cs typeface="+mn-cs"/>
                        </a:defRPr>
                      </a:pPr>
                      <a:endParaRPr lang="es-CL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'16. Pilotaje Cleaner'!$C$32:$F$33</c15:sqref>
                        </c15:fullRef>
                        <c15:formulaRef>
                          <c15:sqref>('16. Pilotaje Cleaner'!$C$32:$C$33,'16. Pilotaje Cleaner'!$F$32:$F$33)</c15:sqref>
                        </c15:formulaRef>
                      </c:ext>
                    </c:extLst>
                    <c:multiLvlStrCache>
                      <c:ptCount val="2"/>
                      <c:lvl>
                        <c:pt idx="0">
                          <c:v>Noche</c:v>
                        </c:pt>
                        <c:pt idx="1">
                          <c:v>Día</c:v>
                        </c:pt>
                      </c:lvl>
                      <c:lvl>
                        <c:pt idx="0">
                          <c:v>01-09-2025</c:v>
                        </c:pt>
                        <c:pt idx="1">
                          <c:v>03-09-2025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'[6]12-08-2025 M-18 LS2'!$Q$48:$BT$48</c15:sqref>
                        </c15:fullRef>
                        <c15:formulaRef>
                          <c15:sqref>('[6]12-08-2025 M-18 LS2'!$Q$48,'[6]12-08-2025 M-18 LS2'!$T$48:$BT$48)</c15:sqref>
                        </c15:formulaRef>
                      </c:ext>
                    </c:extLst>
                    <c:numCache>
                      <c:formatCode>General</c:formatCode>
                      <c:ptCount val="54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1-05D1-415A-A90C-E4D737474530}"/>
                  </c:ext>
                </c:extLst>
              </c15:ser>
            </c15:filteredLineSeries>
          </c:ext>
        </c:extLst>
      </c:lineChart>
      <c:catAx>
        <c:axId val="1061918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endParaRPr lang="es-CL"/>
          </a:p>
        </c:txPr>
        <c:crossAx val="1061921600"/>
        <c:crosses val="autoZero"/>
        <c:auto val="1"/>
        <c:lblAlgn val="ctr"/>
        <c:lblOffset val="100"/>
        <c:noMultiLvlLbl val="0"/>
      </c:catAx>
      <c:valAx>
        <c:axId val="1061921600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r>
                  <a:rPr lang="es-CL" sz="1050" b="1"/>
                  <a:t>Recuperación Cu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Source Sans Pro" panose="020B0503030403020204" pitchFamily="34" charset="0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endParaRPr lang="es-CL"/>
          </a:p>
        </c:txPr>
        <c:crossAx val="1061918240"/>
        <c:crosses val="autoZero"/>
        <c:crossBetween val="between"/>
      </c:valAx>
      <c:valAx>
        <c:axId val="970453247"/>
        <c:scaling>
          <c:orientation val="minMax"/>
          <c:max val="32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r>
                  <a:rPr lang="es-CL" sz="1100" b="1"/>
                  <a:t>Ley de Cu concentrado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Source Sans Pro" panose="020B0503030403020204" pitchFamily="34" charset="0"/>
                  <a:ea typeface="+mn-ea"/>
                  <a:cs typeface="+mn-cs"/>
                </a:defRPr>
              </a:pPr>
              <a:endParaRPr lang="es-CL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endParaRPr lang="es-CL"/>
          </a:p>
        </c:txPr>
        <c:crossAx val="970452767"/>
        <c:crosses val="max"/>
        <c:crossBetween val="between"/>
      </c:valAx>
      <c:catAx>
        <c:axId val="9704527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70453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250329725621423E-2"/>
          <c:y val="0.94558549648726942"/>
          <c:w val="0.85875241045607187"/>
          <c:h val="5.15525461704845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Source Sans Pro" panose="020B0503030403020204" pitchFamily="34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Source Sans Pro" panose="020B0503030403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r>
              <a:rPr lang="es-CL" sz="1600" b="1"/>
              <a:t>Resultados AQ Pilotaje Cleaner Cond #2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Source Sans Pro" panose="020B0503030403020204" pitchFamily="34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1"/>
          <c:tx>
            <c:v>Rec. Peso Circuito Limp.</c:v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'16. Pilotaje Cleaner'!$C$63:$H$64</c15:sqref>
                  </c15:fullRef>
                </c:ext>
              </c:extLst>
              <c:f>'16. Pilotaje Cleaner'!$C$63:$H$64</c:f>
              <c:multiLvlStrCache>
                <c:ptCount val="4"/>
                <c:lvl>
                  <c:pt idx="0">
                    <c:v>Día</c:v>
                  </c:pt>
                  <c:pt idx="1">
                    <c:v>Noche</c:v>
                  </c:pt>
                  <c:pt idx="2">
                    <c:v>Noche</c:v>
                  </c:pt>
                  <c:pt idx="3">
                    <c:v>Noche</c:v>
                  </c:pt>
                </c:lvl>
                <c:lvl>
                  <c:pt idx="0">
                    <c:v>22-09-2025</c:v>
                  </c:pt>
                  <c:pt idx="1">
                    <c:v>22-09-2025</c:v>
                  </c:pt>
                  <c:pt idx="2">
                    <c:v>23-09-2025</c:v>
                  </c:pt>
                  <c:pt idx="3">
                    <c:v>25-09-2025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'16. Pilotaje Cleaner'!$C$77:$H$77</c15:sqref>
                  </c15:fullRef>
                </c:ext>
              </c:extLst>
              <c:f>('16. Pilotaje Cleaner'!$C$77:$D$77,'16. Pilotaje Cleaner'!$F$77,'16. Pilotaje Cleaner'!$H$77)</c:f>
              <c:numCache>
                <c:formatCode>0.00</c:formatCode>
                <c:ptCount val="4"/>
                <c:pt idx="0">
                  <c:v>8.7693441414885775</c:v>
                </c:pt>
                <c:pt idx="1">
                  <c:v>12.882109182631671</c:v>
                </c:pt>
                <c:pt idx="2">
                  <c:v>8.0050825921219833</c:v>
                </c:pt>
                <c:pt idx="3">
                  <c:v>9.9368277275055483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'16. Pilotaje Cleaner'!$G$77</c15:sqref>
                  <c15:dLbl>
                    <c:idx val="2"/>
                    <c:layout>
                      <c:manualLayout>
                        <c:x val="-1.4035117189360586E-3"/>
                        <c:y val="1.644057941853971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78D5-4E5B-9A9F-CA3B953C70A0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0-564E-499F-85BC-D9C715CA8717}"/>
            </c:ext>
          </c:extLst>
        </c:ser>
        <c:ser>
          <c:idx val="5"/>
          <c:order val="5"/>
          <c:tx>
            <c:v>Rec. Circuito Limp.</c:v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'16. Pilotaje Cleaner'!$C$63:$H$64</c15:sqref>
                  </c15:fullRef>
                </c:ext>
              </c:extLst>
              <c:f>'16. Pilotaje Cleaner'!$C$63:$H$64</c:f>
              <c:multiLvlStrCache>
                <c:ptCount val="4"/>
                <c:lvl>
                  <c:pt idx="0">
                    <c:v>Día</c:v>
                  </c:pt>
                  <c:pt idx="1">
                    <c:v>Noche</c:v>
                  </c:pt>
                  <c:pt idx="2">
                    <c:v>Noche</c:v>
                  </c:pt>
                  <c:pt idx="3">
                    <c:v>Noche</c:v>
                  </c:pt>
                </c:lvl>
                <c:lvl>
                  <c:pt idx="0">
                    <c:v>22-09-2025</c:v>
                  </c:pt>
                  <c:pt idx="1">
                    <c:v>22-09-2025</c:v>
                  </c:pt>
                  <c:pt idx="2">
                    <c:v>23-09-2025</c:v>
                  </c:pt>
                  <c:pt idx="3">
                    <c:v>25-09-2025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'16. Pilotaje Cleaner'!$C$81:$H$81</c15:sqref>
                  </c15:fullRef>
                </c:ext>
              </c:extLst>
              <c:f>('16. Pilotaje Cleaner'!$C$81:$D$81,'16. Pilotaje Cleaner'!$F$81,'16. Pilotaje Cleaner'!$H$81)</c:f>
              <c:numCache>
                <c:formatCode>0.00</c:formatCode>
                <c:ptCount val="4"/>
                <c:pt idx="0">
                  <c:v>93.880870643636428</c:v>
                </c:pt>
                <c:pt idx="1">
                  <c:v>94.698166889836159</c:v>
                </c:pt>
                <c:pt idx="2">
                  <c:v>89.17706854024965</c:v>
                </c:pt>
                <c:pt idx="3">
                  <c:v>93.138044017333755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4E-499F-85BC-D9C715CA8717}"/>
            </c:ext>
          </c:extLst>
        </c:ser>
        <c:ser>
          <c:idx val="7"/>
          <c:order val="6"/>
          <c:tx>
            <c:v>Rec. Global</c:v>
          </c:tx>
          <c:spPr>
            <a:solidFill>
              <a:srgbClr val="99401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'16. Pilotaje Cleaner'!$C$63:$H$64</c15:sqref>
                  </c15:fullRef>
                </c:ext>
              </c:extLst>
              <c:f>'16. Pilotaje Cleaner'!$C$63:$H$64</c:f>
              <c:multiLvlStrCache>
                <c:ptCount val="4"/>
                <c:lvl>
                  <c:pt idx="0">
                    <c:v>Día</c:v>
                  </c:pt>
                  <c:pt idx="1">
                    <c:v>Noche</c:v>
                  </c:pt>
                  <c:pt idx="2">
                    <c:v>Noche</c:v>
                  </c:pt>
                  <c:pt idx="3">
                    <c:v>Noche</c:v>
                  </c:pt>
                </c:lvl>
                <c:lvl>
                  <c:pt idx="0">
                    <c:v>22-09-2025</c:v>
                  </c:pt>
                  <c:pt idx="1">
                    <c:v>22-09-2025</c:v>
                  </c:pt>
                  <c:pt idx="2">
                    <c:v>23-09-2025</c:v>
                  </c:pt>
                  <c:pt idx="3">
                    <c:v>25-09-2025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'16. Pilotaje Cleaner'!$C$82:$H$82</c15:sqref>
                  </c15:fullRef>
                </c:ext>
              </c:extLst>
              <c:f>('16. Pilotaje Cleaner'!$C$82:$D$82,'16. Pilotaje Cleaner'!$F$82,'16. Pilotaje Cleaner'!$H$82)</c:f>
              <c:numCache>
                <c:formatCode>0.00</c:formatCode>
                <c:ptCount val="4"/>
                <c:pt idx="0">
                  <c:v>79.213187590225218</c:v>
                </c:pt>
                <c:pt idx="1">
                  <c:v>79.902791770748379</c:v>
                </c:pt>
                <c:pt idx="2">
                  <c:v>75.244294291213947</c:v>
                </c:pt>
                <c:pt idx="3">
                  <c:v>78.58641810574008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4E-499F-85BC-D9C715CA871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axId val="1061918240"/>
        <c:axId val="1061921600"/>
        <c:extLst>
          <c:ext xmlns:c15="http://schemas.microsoft.com/office/drawing/2012/chart" uri="{02D57815-91ED-43cb-92C2-25804820EDAC}">
            <c15:filteredBarSeries>
              <c15:ser>
                <c:idx val="0"/>
                <c:order val="2"/>
                <c:tx>
                  <c:v>Rec. Primaria</c:v>
                </c:tx>
                <c:spPr>
                  <a:solidFill>
                    <a:schemeClr val="accent1">
                      <a:lumMod val="20000"/>
                      <a:lumOff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Source Sans Pro" panose="020B0503030403020204" pitchFamily="34" charset="0"/>
                          <a:ea typeface="+mn-ea"/>
                          <a:cs typeface="+mn-cs"/>
                        </a:defRPr>
                      </a:pPr>
                      <a:endParaRPr lang="es-CL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'16. Pilotaje Cleaner'!$C$63:$H$64</c15:sqref>
                        </c15:fullRef>
                        <c15:formulaRef>
                          <c15:sqref>'16. Pilotaje Cleaner'!$C$63:$H$64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Día</c:v>
                        </c:pt>
                        <c:pt idx="1">
                          <c:v>Noche</c:v>
                        </c:pt>
                        <c:pt idx="2">
                          <c:v>Noche</c:v>
                        </c:pt>
                        <c:pt idx="3">
                          <c:v>Noche</c:v>
                        </c:pt>
                      </c:lvl>
                      <c:lvl>
                        <c:pt idx="0">
                          <c:v>22-09-2025</c:v>
                        </c:pt>
                        <c:pt idx="1">
                          <c:v>22-09-2025</c:v>
                        </c:pt>
                        <c:pt idx="2">
                          <c:v>23-09-2025</c:v>
                        </c:pt>
                        <c:pt idx="3">
                          <c:v>25-09-2025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'[6]12-08-2025 M-18 LS2'!$Q$36:$AQ$36</c15:sqref>
                        </c15:fullRef>
                        <c15:formulaRef>
                          <c15:sqref>('[6]12-08-2025 M-18 LS2'!$Q$36:$R$36,'[6]12-08-2025 M-18 LS2'!$T$36,'[6]12-08-2025 M-18 LS2'!$V$36:$AQ$36)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D-564E-499F-85BC-D9C715CA8717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"/>
          <c:order val="0"/>
          <c:tx>
            <c:strRef>
              <c:f>'16. Pilotaje Cleaner'!$B$70</c:f>
              <c:strCache>
                <c:ptCount val="1"/>
                <c:pt idx="0">
                  <c:v>Conc. Cl-SCV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7.1579097665738986E-2"/>
                  <c:y val="2.348654202648542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41C-498D-91F3-FFCF28833941}"/>
                </c:ext>
              </c:extLst>
            </c:dLbl>
            <c:dLbl>
              <c:idx val="1"/>
              <c:layout>
                <c:manualLayout>
                  <c:x val="-6.5965050789994775E-2"/>
                  <c:y val="-8.6116325940634024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41C-498D-91F3-FFCF28833941}"/>
                </c:ext>
              </c:extLst>
            </c:dLbl>
            <c:dLbl>
              <c:idx val="2"/>
              <c:layout>
                <c:manualLayout>
                  <c:x val="-6.7368562508930918E-2"/>
                  <c:y val="2.34865420264854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41C-498D-91F3-FFCF28833941}"/>
                </c:ext>
              </c:extLst>
            </c:dLbl>
            <c:dLbl>
              <c:idx val="3"/>
              <c:layout>
                <c:manualLayout>
                  <c:x val="-7.1579097665738986E-2"/>
                  <c:y val="2.34865420264853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41C-498D-91F3-FFCF2883394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'16. Pilotaje Cleaner'!$C$32:$F$33</c15:sqref>
                  </c15:fullRef>
                </c:ext>
              </c:extLst>
              <c:f>'16. Pilotaje Cleaner'!$C$32:$F$33</c:f>
              <c:multiLvlStrCache>
                <c:ptCount val="3"/>
                <c:lvl>
                  <c:pt idx="0">
                    <c:v>Noche</c:v>
                  </c:pt>
                  <c:pt idx="1">
                    <c:v>Día</c:v>
                  </c:pt>
                  <c:pt idx="2">
                    <c:v>Día</c:v>
                  </c:pt>
                </c:lvl>
                <c:lvl>
                  <c:pt idx="0">
                    <c:v>01-09-2025</c:v>
                  </c:pt>
                  <c:pt idx="1">
                    <c:v>02-09-2025</c:v>
                  </c:pt>
                  <c:pt idx="2">
                    <c:v>03-09-2025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'16. Pilotaje Cleaner'!$C$70:$H$70</c15:sqref>
                  </c15:fullRef>
                </c:ext>
              </c:extLst>
              <c:f>('16. Pilotaje Cleaner'!$C$70:$D$70,'16. Pilotaje Cleaner'!$F$70,'16. Pilotaje Cleaner'!$H$70)</c:f>
              <c:numCache>
                <c:formatCode>0.00</c:formatCode>
                <c:ptCount val="4"/>
                <c:pt idx="0">
                  <c:v>23.39</c:v>
                </c:pt>
                <c:pt idx="1">
                  <c:v>9.83</c:v>
                </c:pt>
                <c:pt idx="2">
                  <c:v>15.93</c:v>
                </c:pt>
                <c:pt idx="3">
                  <c:v>16.71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'16. Pilotaje Cleaner'!$E$70</c15:sqref>
                  <c15:dLbl>
                    <c:idx val="1"/>
                    <c:layout>
                      <c:manualLayout>
                        <c:x val="-7.0175585946802926E-2"/>
                        <c:y val="-9.3946168105941696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78D5-4E5B-9A9F-CA3B953C70A0}"/>
                      </c:ext>
                    </c:extLst>
                  </c15:dLbl>
                </c15:categoryFilterException>
                <c15:categoryFilterException>
                  <c15:sqref>'16. Pilotaje Cleaner'!$G$70</c15:sqref>
                  <c15:dLbl>
                    <c:idx val="2"/>
                    <c:layout>
                      <c:manualLayout>
                        <c:x val="-7.2982609384675046E-2"/>
                        <c:y val="-2.3486542026485421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1-78D5-4E5B-9A9F-CA3B953C70A0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7-564E-499F-85BC-D9C715CA8717}"/>
            </c:ext>
          </c:extLst>
        </c:ser>
        <c:ser>
          <c:idx val="6"/>
          <c:order val="4"/>
          <c:tx>
            <c:v>Ley Conc. Primario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3.0877257816593316E-2"/>
                  <c:y val="1.87892336211883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41C-498D-91F3-FFCF28833941}"/>
                </c:ext>
              </c:extLst>
            </c:dLbl>
            <c:dLbl>
              <c:idx val="1"/>
              <c:layout>
                <c:manualLayout>
                  <c:x val="2.8070234378721172E-2"/>
                  <c:y val="1.87892336211881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41C-498D-91F3-FFCF28833941}"/>
                </c:ext>
              </c:extLst>
            </c:dLbl>
            <c:dLbl>
              <c:idx val="2"/>
              <c:layout>
                <c:manualLayout>
                  <c:x val="3.0877257816593184E-2"/>
                  <c:y val="1.64405794185397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41C-498D-91F3-FFCF28833941}"/>
                </c:ext>
              </c:extLst>
            </c:dLbl>
            <c:dLbl>
              <c:idx val="3"/>
              <c:layout>
                <c:manualLayout>
                  <c:x val="2.9473746097657228E-2"/>
                  <c:y val="9.394616810594169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41C-498D-91F3-FFCF2883394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'16. Pilotaje Cleaner'!$C$32:$F$33</c15:sqref>
                  </c15:fullRef>
                </c:ext>
              </c:extLst>
              <c:f>'16. Pilotaje Cleaner'!$C$32:$F$33</c:f>
              <c:multiLvlStrCache>
                <c:ptCount val="3"/>
                <c:lvl>
                  <c:pt idx="0">
                    <c:v>Noche</c:v>
                  </c:pt>
                  <c:pt idx="1">
                    <c:v>Día</c:v>
                  </c:pt>
                  <c:pt idx="2">
                    <c:v>Día</c:v>
                  </c:pt>
                </c:lvl>
                <c:lvl>
                  <c:pt idx="0">
                    <c:v>01-09-2025</c:v>
                  </c:pt>
                  <c:pt idx="1">
                    <c:v>02-09-2025</c:v>
                  </c:pt>
                  <c:pt idx="2">
                    <c:v>03-09-2025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'16. Pilotaje Cleaner'!$C$65:$H$65</c15:sqref>
                  </c15:fullRef>
                </c:ext>
              </c:extLst>
              <c:f>('16. Pilotaje Cleaner'!$C$65:$D$65,'16. Pilotaje Cleaner'!$F$65,'16. Pilotaje Cleaner'!$H$65)</c:f>
              <c:numCache>
                <c:formatCode>0.00</c:formatCode>
                <c:ptCount val="4"/>
                <c:pt idx="0">
                  <c:v>2.2959999999999998</c:v>
                </c:pt>
                <c:pt idx="1">
                  <c:v>2.2839999999999998</c:v>
                </c:pt>
                <c:pt idx="2">
                  <c:v>1.7849999999999999</c:v>
                </c:pt>
                <c:pt idx="3">
                  <c:v>1.89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'16. Pilotaje Cleaner'!$E$65</c15:sqref>
                  <c15:dLbl>
                    <c:idx val="1"/>
                    <c:layout>
                      <c:manualLayout>
                        <c:x val="3.0877257816593184E-2"/>
                        <c:y val="3.5229813039728136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78D5-4E5B-9A9F-CA3B953C70A0}"/>
                      </c:ext>
                    </c:extLst>
                  </c15:dLbl>
                </c15:categoryFilterException>
                <c15:categoryFilterException>
                  <c15:sqref>'16. Pilotaje Cleaner'!$G$65</c15:sqref>
                  <c15:dLbl>
                    <c:idx val="2"/>
                    <c:layout>
                      <c:manualLayout>
                        <c:x val="2.9473746097657228E-2"/>
                        <c:y val="3.5229813039728136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78D5-4E5B-9A9F-CA3B953C70A0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C-564E-499F-85BC-D9C715CA871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70452767"/>
        <c:axId val="970453247"/>
        <c:extLst>
          <c:ext xmlns:c15="http://schemas.microsoft.com/office/drawing/2012/chart" uri="{02D57815-91ED-43cb-92C2-25804820EDAC}">
            <c15:filteredLineSeries>
              <c15:ser>
                <c:idx val="4"/>
                <c:order val="3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triangle"/>
                  <c:size val="10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Source Sans Pro" panose="020B0503030403020204" pitchFamily="34" charset="0"/>
                          <a:ea typeface="+mn-ea"/>
                          <a:cs typeface="+mn-cs"/>
                        </a:defRPr>
                      </a:pPr>
                      <a:endParaRPr lang="es-CL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'16. Pilotaje Cleaner'!$C$32:$F$33</c15:sqref>
                        </c15:fullRef>
                        <c15:formulaRef>
                          <c15:sqref>'16. Pilotaje Cleaner'!$C$32:$F$33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Noche</c:v>
                        </c:pt>
                        <c:pt idx="1">
                          <c:v>Día</c:v>
                        </c:pt>
                        <c:pt idx="2">
                          <c:v>Día</c:v>
                        </c:pt>
                      </c:lvl>
                      <c:lvl>
                        <c:pt idx="0">
                          <c:v>01-09-2025</c:v>
                        </c:pt>
                        <c:pt idx="1">
                          <c:v>02-09-2025</c:v>
                        </c:pt>
                        <c:pt idx="2">
                          <c:v>03-09-2025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'[6]12-08-2025 M-18 LS2'!$Q$48:$BT$48</c15:sqref>
                        </c15:fullRef>
                        <c15:formulaRef>
                          <c15:sqref>('[6]12-08-2025 M-18 LS2'!$Q$48:$R$48,'[6]12-08-2025 M-18 LS2'!$T$48,'[6]12-08-2025 M-18 LS2'!$V$48:$BT$48)</c15:sqref>
                        </c15:formulaRef>
                      </c:ext>
                    </c:extLst>
                    <c:numCache>
                      <c:formatCode>General</c:formatCode>
                      <c:ptCount val="54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E-564E-499F-85BC-D9C715CA8717}"/>
                  </c:ext>
                </c:extLst>
              </c15:ser>
            </c15:filteredLineSeries>
          </c:ext>
        </c:extLst>
      </c:lineChart>
      <c:catAx>
        <c:axId val="1061918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endParaRPr lang="es-CL"/>
          </a:p>
        </c:txPr>
        <c:crossAx val="1061921600"/>
        <c:crosses val="autoZero"/>
        <c:auto val="1"/>
        <c:lblAlgn val="ctr"/>
        <c:lblOffset val="100"/>
        <c:noMultiLvlLbl val="0"/>
      </c:catAx>
      <c:valAx>
        <c:axId val="1061921600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r>
                  <a:rPr lang="es-CL" sz="1050" b="1"/>
                  <a:t>Recuperación Cu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Source Sans Pro" panose="020B0503030403020204" pitchFamily="34" charset="0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endParaRPr lang="es-CL"/>
          </a:p>
        </c:txPr>
        <c:crossAx val="1061918240"/>
        <c:crosses val="autoZero"/>
        <c:crossBetween val="between"/>
      </c:valAx>
      <c:valAx>
        <c:axId val="970453247"/>
        <c:scaling>
          <c:orientation val="minMax"/>
          <c:max val="32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r>
                  <a:rPr lang="es-CL" sz="1100" b="1"/>
                  <a:t>Ley de Cu concentrado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Source Sans Pro" panose="020B0503030403020204" pitchFamily="34" charset="0"/>
                  <a:ea typeface="+mn-ea"/>
                  <a:cs typeface="+mn-cs"/>
                </a:defRPr>
              </a:pPr>
              <a:endParaRPr lang="es-CL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endParaRPr lang="es-CL"/>
          </a:p>
        </c:txPr>
        <c:crossAx val="970452767"/>
        <c:crosses val="max"/>
        <c:crossBetween val="between"/>
      </c:valAx>
      <c:catAx>
        <c:axId val="9704527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70453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250329725621423E-2"/>
          <c:y val="0.94558549648726942"/>
          <c:w val="0.85875241045607187"/>
          <c:h val="5.15525461704845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Source Sans Pro" panose="020B0503030403020204" pitchFamily="34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Source Sans Pro" panose="020B0503030403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r>
              <a:rPr lang="es-CL" sz="1600" b="1"/>
              <a:t>Resultados AQ Pilotaje Cleaner Cond.</a:t>
            </a:r>
            <a:r>
              <a:rPr lang="es-CL" sz="1600" b="1" baseline="0"/>
              <a:t> </a:t>
            </a:r>
            <a:r>
              <a:rPr lang="es-CL" sz="1600" b="1"/>
              <a:t>1 y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Source Sans Pro" panose="020B0503030403020204" pitchFamily="34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1"/>
          <c:tx>
            <c:v>Rec. Peso Circuito Limp.</c:v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('16. Pilotaje Cleaner'!$C$31:$C$33,'16. Pilotaje Cleaner'!$F$31:$F$33)</c:f>
              <c:multiLvlStrCache>
                <c:ptCount val="2"/>
                <c:lvl>
                  <c:pt idx="0">
                    <c:v>Noche</c:v>
                  </c:pt>
                  <c:pt idx="1">
                    <c:v>Día</c:v>
                  </c:pt>
                </c:lvl>
                <c:lvl>
                  <c:pt idx="0">
                    <c:v>01-09-2025</c:v>
                  </c:pt>
                  <c:pt idx="1">
                    <c:v>03-09-2025</c:v>
                  </c:pt>
                </c:lvl>
                <c:lvl>
                  <c:pt idx="0">
                    <c:v>Cu Cond. 1</c:v>
                  </c:pt>
                </c:lvl>
              </c:multiLvlStrCache>
              <c:extLst/>
            </c:multiLvlStrRef>
          </c:cat>
          <c:val>
            <c:numRef>
              <c:f>('16. Pilotaje Cleaner'!$C$46,'16. Pilotaje Cleaner'!$F$46,'16. Pilotaje Cleaner'!$C$77:$D$77,'16. Pilotaje Cleaner'!$F$77,'16. Pilotaje Cleaner'!$H$77)</c:f>
              <c:numCache>
                <c:formatCode>0.00</c:formatCode>
                <c:ptCount val="6"/>
                <c:pt idx="0">
                  <c:v>24.959593627337796</c:v>
                </c:pt>
                <c:pt idx="1">
                  <c:v>29.98783454987835</c:v>
                </c:pt>
                <c:pt idx="2">
                  <c:v>8.7693441414885775</c:v>
                </c:pt>
                <c:pt idx="3">
                  <c:v>12.882109182631671</c:v>
                </c:pt>
                <c:pt idx="4">
                  <c:v>8.0050825921219833</c:v>
                </c:pt>
                <c:pt idx="5">
                  <c:v>9.9368277275055483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4CFB-42C1-A702-6C336ADF0C2C}"/>
            </c:ext>
          </c:extLst>
        </c:ser>
        <c:ser>
          <c:idx val="0"/>
          <c:order val="2"/>
          <c:tx>
            <c:v>Rec. Primaria</c:v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('16. Pilotaje Cleaner'!$C$31:$C$33,'16. Pilotaje Cleaner'!$F$31:$F$33)</c:f>
              <c:multiLvlStrCache>
                <c:ptCount val="2"/>
                <c:lvl>
                  <c:pt idx="0">
                    <c:v>Noche</c:v>
                  </c:pt>
                  <c:pt idx="1">
                    <c:v>Día</c:v>
                  </c:pt>
                </c:lvl>
                <c:lvl>
                  <c:pt idx="0">
                    <c:v>01-09-2025</c:v>
                  </c:pt>
                  <c:pt idx="1">
                    <c:v>03-09-2025</c:v>
                  </c:pt>
                </c:lvl>
                <c:lvl>
                  <c:pt idx="0">
                    <c:v>Cu Cond. 1</c:v>
                  </c:pt>
                </c:lvl>
              </c:multiLvlStrCache>
              <c:extLst/>
            </c:multiLvlStrRef>
          </c:cat>
          <c:val>
            <c:numRef>
              <c:f>('[6]12-08-2025 M-18 LS2'!$Q$36,'[6]12-08-2025 M-18 LS2'!$V$36,'[6]12-08-2025 M-18 LS2'!$X$36,'[6]12-08-2025 M-18 LS2'!$Z$36,'[6]12-08-2025 M-18 LS2'!$AB$36,'[6]12-08-2025 M-18 LS2'!$AD$36)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9-4CFB-42C1-A702-6C336ADF0C2C}"/>
            </c:ext>
          </c:extLst>
        </c:ser>
        <c:ser>
          <c:idx val="5"/>
          <c:order val="5"/>
          <c:tx>
            <c:v>Rec. Circuito Limp.</c:v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('16. Pilotaje Cleaner'!$C$31:$C$33,'16. Pilotaje Cleaner'!$F$31:$F$33)</c:f>
              <c:multiLvlStrCache>
                <c:ptCount val="2"/>
                <c:lvl>
                  <c:pt idx="0">
                    <c:v>Noche</c:v>
                  </c:pt>
                  <c:pt idx="1">
                    <c:v>Día</c:v>
                  </c:pt>
                </c:lvl>
                <c:lvl>
                  <c:pt idx="0">
                    <c:v>01-09-2025</c:v>
                  </c:pt>
                  <c:pt idx="1">
                    <c:v>03-09-2025</c:v>
                  </c:pt>
                </c:lvl>
                <c:lvl>
                  <c:pt idx="0">
                    <c:v>Cu Cond. 1</c:v>
                  </c:pt>
                </c:lvl>
              </c:multiLvlStrCache>
              <c:extLst/>
            </c:multiLvlStrRef>
          </c:cat>
          <c:val>
            <c:numRef>
              <c:f>('16. Pilotaje Cleaner'!$C$50,'16. Pilotaje Cleaner'!$F$50,'16. Pilotaje Cleaner'!$C$81:$D$81,'16. Pilotaje Cleaner'!$F$81,'16. Pilotaje Cleaner'!$H$81)</c:f>
              <c:numCache>
                <c:formatCode>0.00</c:formatCode>
                <c:ptCount val="6"/>
                <c:pt idx="0">
                  <c:v>96.272718276874372</c:v>
                </c:pt>
                <c:pt idx="1">
                  <c:v>96.492646817527628</c:v>
                </c:pt>
                <c:pt idx="2">
                  <c:v>93.880870643636428</c:v>
                </c:pt>
                <c:pt idx="3">
                  <c:v>94.698166889836159</c:v>
                </c:pt>
                <c:pt idx="4">
                  <c:v>89.17706854024965</c:v>
                </c:pt>
                <c:pt idx="5">
                  <c:v>93.138044017333755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1-4CFB-42C1-A702-6C336ADF0C2C}"/>
            </c:ext>
          </c:extLst>
        </c:ser>
        <c:ser>
          <c:idx val="7"/>
          <c:order val="6"/>
          <c:tx>
            <c:v>Rec. Global</c:v>
          </c:tx>
          <c:spPr>
            <a:solidFill>
              <a:srgbClr val="99401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('16. Pilotaje Cleaner'!$C$31:$C$33,'16. Pilotaje Cleaner'!$F$31:$F$33)</c:f>
              <c:multiLvlStrCache>
                <c:ptCount val="2"/>
                <c:lvl>
                  <c:pt idx="0">
                    <c:v>Noche</c:v>
                  </c:pt>
                  <c:pt idx="1">
                    <c:v>Día</c:v>
                  </c:pt>
                </c:lvl>
                <c:lvl>
                  <c:pt idx="0">
                    <c:v>01-09-2025</c:v>
                  </c:pt>
                  <c:pt idx="1">
                    <c:v>03-09-2025</c:v>
                  </c:pt>
                </c:lvl>
                <c:lvl>
                  <c:pt idx="0">
                    <c:v>Cu Cond. 1</c:v>
                  </c:pt>
                </c:lvl>
              </c:multiLvlStrCache>
              <c:extLst/>
            </c:multiLvlStrRef>
          </c:cat>
          <c:val>
            <c:numRef>
              <c:f>('16. Pilotaje Cleaner'!$C$51,'16. Pilotaje Cleaner'!$F$51,'16. Pilotaje Cleaner'!$C$82:$D$82,'16. Pilotaje Cleaner'!$F$82,'16. Pilotaje Cleaner'!$H$82)</c:f>
              <c:numCache>
                <c:formatCode>0.00</c:formatCode>
                <c:ptCount val="6"/>
                <c:pt idx="0">
                  <c:v>76.832843447022853</c:v>
                </c:pt>
                <c:pt idx="1">
                  <c:v>77.008362902959973</c:v>
                </c:pt>
                <c:pt idx="2">
                  <c:v>79.213187590225218</c:v>
                </c:pt>
                <c:pt idx="3">
                  <c:v>79.902791770748379</c:v>
                </c:pt>
                <c:pt idx="4">
                  <c:v>75.244294291213947</c:v>
                </c:pt>
                <c:pt idx="5">
                  <c:v>78.58641810574008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2-4CFB-42C1-A702-6C336ADF0C2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axId val="1061918240"/>
        <c:axId val="1061921600"/>
        <c:extLst/>
      </c:barChart>
      <c:lineChart>
        <c:grouping val="standard"/>
        <c:varyColors val="0"/>
        <c:ser>
          <c:idx val="1"/>
          <c:order val="0"/>
          <c:tx>
            <c:strRef>
              <c:f>'16. Pilotaje Cleaner'!$B$70</c:f>
              <c:strCache>
                <c:ptCount val="1"/>
                <c:pt idx="0">
                  <c:v>Conc. Cl-SCV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2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CEAE-4E36-94B7-43392920FDEE}"/>
              </c:ext>
            </c:extLst>
          </c:dPt>
          <c:dLbls>
            <c:dLbl>
              <c:idx val="0"/>
              <c:layout>
                <c:manualLayout>
                  <c:x val="-6.1754515633186575E-2"/>
                  <c:y val="-6.969023513595083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CFB-42C1-A702-6C336ADF0C2C}"/>
                </c:ext>
              </c:extLst>
            </c:dLbl>
            <c:dLbl>
              <c:idx val="1"/>
              <c:layout>
                <c:manualLayout>
                  <c:x val="-6.0351003914250516E-2"/>
                  <c:y val="1.8584062702920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CFB-42C1-A702-6C336ADF0C2C}"/>
                </c:ext>
              </c:extLst>
            </c:dLbl>
            <c:dLbl>
              <c:idx val="2"/>
              <c:layout>
                <c:manualLayout>
                  <c:x val="-7.1579097665738986E-2"/>
                  <c:y val="2.348654202648542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EAE-4E36-94B7-43392920FDEE}"/>
                </c:ext>
              </c:extLst>
            </c:dLbl>
            <c:dLbl>
              <c:idx val="3"/>
              <c:layout>
                <c:manualLayout>
                  <c:x val="-6.5965050789994775E-2"/>
                  <c:y val="-8.6116325940634024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EAE-4E36-94B7-43392920FD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('16. Pilotaje Cleaner'!$C$31:$C$33,'16. Pilotaje Cleaner'!$F$31:$F$33)</c:f>
              <c:multiLvlStrCache>
                <c:ptCount val="2"/>
                <c:lvl>
                  <c:pt idx="0">
                    <c:v>Noche</c:v>
                  </c:pt>
                  <c:pt idx="1">
                    <c:v>Día</c:v>
                  </c:pt>
                </c:lvl>
                <c:lvl>
                  <c:pt idx="0">
                    <c:v>01-09-2025</c:v>
                  </c:pt>
                  <c:pt idx="1">
                    <c:v>03-09-2025</c:v>
                  </c:pt>
                </c:lvl>
                <c:lvl>
                  <c:pt idx="0">
                    <c:v>Cu Cond. 1</c:v>
                  </c:pt>
                </c:lvl>
              </c:multiLvlStrCache>
              <c:extLst/>
            </c:multiLvlStrRef>
          </c:cat>
          <c:val>
            <c:numRef>
              <c:f>('16. Pilotaje Cleaner'!$C$39,'16. Pilotaje Cleaner'!$F$39,'16. Pilotaje Cleaner'!$C$70:$D$70,'16. Pilotaje Cleaner'!$F$70,'16. Pilotaje Cleaner'!$H$70)</c:f>
              <c:numCache>
                <c:formatCode>0.00</c:formatCode>
                <c:ptCount val="6"/>
                <c:pt idx="0">
                  <c:v>17.55</c:v>
                </c:pt>
                <c:pt idx="1">
                  <c:v>15.03</c:v>
                </c:pt>
                <c:pt idx="2">
                  <c:v>23.39</c:v>
                </c:pt>
                <c:pt idx="3">
                  <c:v>9.83</c:v>
                </c:pt>
                <c:pt idx="4">
                  <c:v>15.93</c:v>
                </c:pt>
                <c:pt idx="5">
                  <c:v>16.71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8-4CFB-42C1-A702-6C336ADF0C2C}"/>
            </c:ext>
          </c:extLst>
        </c:ser>
        <c:ser>
          <c:idx val="4"/>
          <c:order val="3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('16. Pilotaje Cleaner'!$C$31:$C$33,'16. Pilotaje Cleaner'!$F$31:$F$33)</c:f>
              <c:multiLvlStrCache>
                <c:ptCount val="2"/>
                <c:lvl>
                  <c:pt idx="0">
                    <c:v>Noche</c:v>
                  </c:pt>
                  <c:pt idx="1">
                    <c:v>Día</c:v>
                  </c:pt>
                </c:lvl>
                <c:lvl>
                  <c:pt idx="0">
                    <c:v>01-09-2025</c:v>
                  </c:pt>
                  <c:pt idx="1">
                    <c:v>03-09-2025</c:v>
                  </c:pt>
                </c:lvl>
                <c:lvl>
                  <c:pt idx="0">
                    <c:v>Cu Cond. 1</c:v>
                  </c:pt>
                </c:lvl>
              </c:multiLvlStrCache>
              <c:extLst/>
            </c:multiLvlStrRef>
          </c:cat>
          <c:val>
            <c:numRef>
              <c:f>('[6]12-08-2025 M-18 LS2'!$Q$48,'[6]12-08-2025 M-18 LS2'!$V$48,'[6]12-08-2025 M-18 LS2'!$X$48,'[6]12-08-2025 M-18 LS2'!$Z$48,'[6]12-08-2025 M-18 LS2'!$AB$48,'[6]12-08-2025 M-18 LS2'!$AD$48)</c:f>
              <c:numCache>
                <c:formatCode>General</c:formatCode>
                <c:ptCount val="6"/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A-4CFB-42C1-A702-6C336ADF0C2C}"/>
            </c:ext>
          </c:extLst>
        </c:ser>
        <c:ser>
          <c:idx val="6"/>
          <c:order val="4"/>
          <c:tx>
            <c:v>Ley Conc. Primario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4CFB-42C1-A702-6C336ADF0C2C}"/>
              </c:ext>
            </c:extLst>
          </c:dPt>
          <c:dLbls>
            <c:dLbl>
              <c:idx val="0"/>
              <c:layout>
                <c:manualLayout>
                  <c:x val="2.9473746097657256E-2"/>
                  <c:y val="2.0907070540785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CFB-42C1-A702-6C336ADF0C2C}"/>
                </c:ext>
              </c:extLst>
            </c:dLbl>
            <c:dLbl>
              <c:idx val="1"/>
              <c:layout>
                <c:manualLayout>
                  <c:x val="2.8070234378721172E-2"/>
                  <c:y val="2.55530862165153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CFB-42C1-A702-6C336ADF0C2C}"/>
                </c:ext>
              </c:extLst>
            </c:dLbl>
            <c:dLbl>
              <c:idx val="2"/>
              <c:layout>
                <c:manualLayout>
                  <c:x val="3.0877257816593316E-2"/>
                  <c:y val="1.87892336211883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CFB-42C1-A702-6C336ADF0C2C}"/>
                </c:ext>
              </c:extLst>
            </c:dLbl>
            <c:dLbl>
              <c:idx val="3"/>
              <c:layout>
                <c:manualLayout>
                  <c:x val="2.8070234378721172E-2"/>
                  <c:y val="1.87892336211881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CFB-42C1-A702-6C336ADF0C2C}"/>
                </c:ext>
              </c:extLst>
            </c:dLbl>
            <c:dLbl>
              <c:idx val="4"/>
              <c:layout>
                <c:manualLayout>
                  <c:x val="3.0877257816593184E-2"/>
                  <c:y val="1.64405794185397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EAE-4E36-94B7-43392920FDEE}"/>
                </c:ext>
              </c:extLst>
            </c:dLbl>
            <c:dLbl>
              <c:idx val="5"/>
              <c:layout>
                <c:manualLayout>
                  <c:x val="2.9473746097657228E-2"/>
                  <c:y val="9.394616810594169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EAE-4E36-94B7-43392920FD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('16. Pilotaje Cleaner'!$C$31:$C$33,'16. Pilotaje Cleaner'!$F$31:$F$33)</c:f>
              <c:multiLvlStrCache>
                <c:ptCount val="2"/>
                <c:lvl>
                  <c:pt idx="0">
                    <c:v>Noche</c:v>
                  </c:pt>
                  <c:pt idx="1">
                    <c:v>Día</c:v>
                  </c:pt>
                </c:lvl>
                <c:lvl>
                  <c:pt idx="0">
                    <c:v>01-09-2025</c:v>
                  </c:pt>
                  <c:pt idx="1">
                    <c:v>03-09-2025</c:v>
                  </c:pt>
                </c:lvl>
                <c:lvl>
                  <c:pt idx="0">
                    <c:v>Cu Cond. 1</c:v>
                  </c:pt>
                </c:lvl>
              </c:multiLvlStrCache>
              <c:extLst/>
            </c:multiLvlStrRef>
          </c:cat>
          <c:val>
            <c:numRef>
              <c:f>('16. Pilotaje Cleaner'!$C$34,'16. Pilotaje Cleaner'!$F$34,'16. Pilotaje Cleaner'!$C$65:$D$65,'16. Pilotaje Cleaner'!$F$65,'16. Pilotaje Cleaner'!$H$65)</c:f>
              <c:numCache>
                <c:formatCode>0.00</c:formatCode>
                <c:ptCount val="6"/>
                <c:pt idx="0">
                  <c:v>4.55</c:v>
                </c:pt>
                <c:pt idx="1">
                  <c:v>4.6710000000000003</c:v>
                </c:pt>
                <c:pt idx="2">
                  <c:v>2.2959999999999998</c:v>
                </c:pt>
                <c:pt idx="3">
                  <c:v>2.2839999999999998</c:v>
                </c:pt>
                <c:pt idx="4">
                  <c:v>1.7849999999999999</c:v>
                </c:pt>
                <c:pt idx="5">
                  <c:v>1.89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10-4CFB-42C1-A702-6C336ADF0C2C}"/>
            </c:ext>
          </c:extLst>
        </c:ser>
        <c:ser>
          <c:idx val="2"/>
          <c:order val="7"/>
          <c:tx>
            <c:strRef>
              <c:f>'16. Pilotaje Cleaner'!$B$54</c:f>
              <c:strCache>
                <c:ptCount val="1"/>
                <c:pt idx="0">
                  <c:v>Ley Conc Final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2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4CFB-42C1-A702-6C336ADF0C2C}"/>
              </c:ext>
            </c:extLst>
          </c:dPt>
          <c:dLbls>
            <c:dLbl>
              <c:idx val="0"/>
              <c:layout>
                <c:manualLayout>
                  <c:x val="-6.0351003914250516E-2"/>
                  <c:y val="-2.74825200172469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CFB-42C1-A702-6C336ADF0C2C}"/>
                </c:ext>
              </c:extLst>
            </c:dLbl>
            <c:dLbl>
              <c:idx val="1"/>
              <c:layout>
                <c:manualLayout>
                  <c:x val="-5.7543980476378404E-2"/>
                  <c:y val="-3.89335700244331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FB-42C1-A702-6C336ADF0C2C}"/>
                </c:ext>
              </c:extLst>
            </c:dLbl>
            <c:dLbl>
              <c:idx val="2"/>
              <c:layout>
                <c:manualLayout>
                  <c:x val="-6.8772074227866867E-2"/>
                  <c:y val="-2.29021000143724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4CFB-42C1-A702-6C336ADF0C2C}"/>
                </c:ext>
              </c:extLst>
            </c:dLbl>
            <c:dLbl>
              <c:idx val="3"/>
              <c:layout>
                <c:manualLayout>
                  <c:x val="-6.3158027352122739E-2"/>
                  <c:y val="1.14510500071862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CFB-42C1-A702-6C336ADF0C2C}"/>
                </c:ext>
              </c:extLst>
            </c:dLbl>
            <c:dLbl>
              <c:idx val="4"/>
              <c:layout>
                <c:manualLayout>
                  <c:x val="-6.5965050789994747E-2"/>
                  <c:y val="-1.8321680011497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EAE-4E36-94B7-43392920FDEE}"/>
                </c:ext>
              </c:extLst>
            </c:dLbl>
            <c:dLbl>
              <c:idx val="5"/>
              <c:layout>
                <c:manualLayout>
                  <c:x val="-6.0351003914250516E-2"/>
                  <c:y val="-4.35139900273076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EAE-4E36-94B7-43392920FD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('16. Pilotaje Cleaner'!$C$31:$C$33,'16. Pilotaje Cleaner'!$F$31:$F$33)</c:f>
              <c:multiLvlStrCache>
                <c:ptCount val="2"/>
                <c:lvl>
                  <c:pt idx="0">
                    <c:v>Noche</c:v>
                  </c:pt>
                  <c:pt idx="1">
                    <c:v>Día</c:v>
                  </c:pt>
                </c:lvl>
                <c:lvl>
                  <c:pt idx="0">
                    <c:v>01-09-2025</c:v>
                  </c:pt>
                  <c:pt idx="1">
                    <c:v>03-09-2025</c:v>
                  </c:pt>
                </c:lvl>
                <c:lvl>
                  <c:pt idx="0">
                    <c:v>Cu Cond. 1</c:v>
                  </c:pt>
                </c:lvl>
              </c:multiLvlStrCache>
              <c:extLst/>
            </c:multiLvlStrRef>
          </c:cat>
          <c:val>
            <c:numRef>
              <c:f>('16. Pilotaje Cleaner'!$C$54,'16. Pilotaje Cleaner'!$F$54,'16. Pilotaje Cleaner'!$C$89:$D$89,'16. Pilotaje Cleaner'!$F$89,'16. Pilotaje Cleaner'!$H$89)</c:f>
              <c:numCache>
                <c:formatCode>0.00</c:formatCode>
                <c:ptCount val="6"/>
                <c:pt idx="0">
                  <c:v>19.27</c:v>
                </c:pt>
                <c:pt idx="1">
                  <c:v>18.695</c:v>
                </c:pt>
                <c:pt idx="2">
                  <c:v>24.58</c:v>
                </c:pt>
                <c:pt idx="3">
                  <c:v>16.79</c:v>
                </c:pt>
                <c:pt idx="4">
                  <c:v>19.884999999999998</c:v>
                </c:pt>
                <c:pt idx="5">
                  <c:v>17.715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18-4CFB-42C1-A702-6C336ADF0C2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70452767"/>
        <c:axId val="970453247"/>
        <c:extLst/>
      </c:lineChart>
      <c:catAx>
        <c:axId val="1061918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endParaRPr lang="es-CL"/>
          </a:p>
        </c:txPr>
        <c:crossAx val="1061921600"/>
        <c:crosses val="autoZero"/>
        <c:auto val="1"/>
        <c:lblAlgn val="ctr"/>
        <c:lblOffset val="100"/>
        <c:noMultiLvlLbl val="0"/>
      </c:catAx>
      <c:valAx>
        <c:axId val="1061921600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r>
                  <a:rPr lang="es-CL" sz="1050" b="1"/>
                  <a:t>Recuperación Cu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Source Sans Pro" panose="020B0503030403020204" pitchFamily="34" charset="0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endParaRPr lang="es-CL"/>
          </a:p>
        </c:txPr>
        <c:crossAx val="1061918240"/>
        <c:crosses val="autoZero"/>
        <c:crossBetween val="between"/>
      </c:valAx>
      <c:valAx>
        <c:axId val="970453247"/>
        <c:scaling>
          <c:orientation val="minMax"/>
          <c:max val="32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r>
                  <a:rPr lang="es-CL" sz="1100" b="1"/>
                  <a:t>Ley de Cu concentrado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Source Sans Pro" panose="020B0503030403020204" pitchFamily="34" charset="0"/>
                  <a:ea typeface="+mn-ea"/>
                  <a:cs typeface="+mn-cs"/>
                </a:defRPr>
              </a:pPr>
              <a:endParaRPr lang="es-CL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endParaRPr lang="es-CL"/>
          </a:p>
        </c:txPr>
        <c:crossAx val="970452767"/>
        <c:crosses val="max"/>
        <c:crossBetween val="between"/>
      </c:valAx>
      <c:catAx>
        <c:axId val="9704527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70453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Source Sans Pro" panose="020B0503030403020204" pitchFamily="34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Source Sans Pro" panose="020B0503030403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  <c:userShapes r:id="rId3"/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Source Sans Pro" panose="020B0503030403020204" pitchFamily="34" charset="0"/>
                <a:cs typeface="+mn-cs"/>
              </a:defRPr>
            </a:pPr>
            <a:r>
              <a:rPr lang="es-CL"/>
              <a:t>Recuperació</a:t>
            </a:r>
            <a:r>
              <a:rPr lang="es-CL" baseline="0"/>
              <a:t>n Cu vs Ley Cu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ource Sans Pro" panose="020B0503030403020204" pitchFamily="34" charset="0"/>
              <a:ea typeface="Source Sans Pro" panose="020B0503030403020204" pitchFamily="34" charset="0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'16.2 Cinéticas Cleaner'!$B$3</c:f>
              <c:strCache>
                <c:ptCount val="1"/>
                <c:pt idx="0">
                  <c:v>Condición #1 45 um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'16.2 Cinéticas Cleaner'!$K$6:$K$12</c:f>
              <c:numCache>
                <c:formatCode>0.0</c:formatCode>
                <c:ptCount val="7"/>
                <c:pt idx="0">
                  <c:v>16.683161286588849</c:v>
                </c:pt>
                <c:pt idx="1">
                  <c:v>23.516967649730365</c:v>
                </c:pt>
                <c:pt idx="2">
                  <c:v>34.832760402658764</c:v>
                </c:pt>
                <c:pt idx="3">
                  <c:v>78.082057889489192</c:v>
                </c:pt>
                <c:pt idx="4">
                  <c:v>93.157361267707472</c:v>
                </c:pt>
                <c:pt idx="5">
                  <c:v>97.442199594089942</c:v>
                </c:pt>
                <c:pt idx="6">
                  <c:v>100</c:v>
                </c:pt>
              </c:numCache>
            </c:numRef>
          </c:xVal>
          <c:yVal>
            <c:numRef>
              <c:f>'16.2 Cinéticas Cleaner'!$J$6:$J$12</c:f>
              <c:numCache>
                <c:formatCode>0.00</c:formatCode>
                <c:ptCount val="7"/>
                <c:pt idx="0">
                  <c:v>12.7</c:v>
                </c:pt>
                <c:pt idx="1">
                  <c:v>12.777293684890395</c:v>
                </c:pt>
                <c:pt idx="2">
                  <c:v>12.924021416383956</c:v>
                </c:pt>
                <c:pt idx="3">
                  <c:v>13.776782633157143</c:v>
                </c:pt>
                <c:pt idx="4">
                  <c:v>11.844213183016294</c:v>
                </c:pt>
                <c:pt idx="5">
                  <c:v>9.8927478410134349</c:v>
                </c:pt>
                <c:pt idx="6">
                  <c:v>5.0400000384363368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BB-4BC8-85DF-F29EC08C36B3}"/>
            </c:ext>
          </c:extLst>
        </c:ser>
        <c:ser>
          <c:idx val="1"/>
          <c:order val="1"/>
          <c:tx>
            <c:strRef>
              <c:f>'16.2 Cinéticas Cleaner'!$B$19</c:f>
              <c:strCache>
                <c:ptCount val="1"/>
                <c:pt idx="0">
                  <c:v>Condición #2 45 um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'16.2 Cinéticas Cleaner'!$K$22:$K$28</c:f>
              <c:numCache>
                <c:formatCode>0.0</c:formatCode>
                <c:ptCount val="7"/>
                <c:pt idx="0">
                  <c:v>17.619909599021344</c:v>
                </c:pt>
                <c:pt idx="1">
                  <c:v>24.469499338924994</c:v>
                </c:pt>
                <c:pt idx="2">
                  <c:v>34.813370101052158</c:v>
                </c:pt>
                <c:pt idx="3">
                  <c:v>71.047368831456623</c:v>
                </c:pt>
                <c:pt idx="4">
                  <c:v>88.564328445207821</c:v>
                </c:pt>
                <c:pt idx="5">
                  <c:v>94.907266056334379</c:v>
                </c:pt>
                <c:pt idx="6">
                  <c:v>100</c:v>
                </c:pt>
              </c:numCache>
            </c:numRef>
          </c:xVal>
          <c:yVal>
            <c:numRef>
              <c:f>'16.2 Cinéticas Cleaner'!$J$22:$J$28</c:f>
              <c:numCache>
                <c:formatCode>0.00</c:formatCode>
                <c:ptCount val="7"/>
                <c:pt idx="0">
                  <c:v>11.11</c:v>
                </c:pt>
                <c:pt idx="1">
                  <c:v>10.791391948527348</c:v>
                </c:pt>
                <c:pt idx="2">
                  <c:v>10.375990452741396</c:v>
                </c:pt>
                <c:pt idx="3">
                  <c:v>11.271213286340693</c:v>
                </c:pt>
                <c:pt idx="4">
                  <c:v>9.7305558062153494</c:v>
                </c:pt>
                <c:pt idx="5">
                  <c:v>7.9977915352349598</c:v>
                </c:pt>
                <c:pt idx="6">
                  <c:v>3.2320000007068246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BB-4BC8-85DF-F29EC08C36B3}"/>
            </c:ext>
          </c:extLst>
        </c:ser>
        <c:ser>
          <c:idx val="2"/>
          <c:order val="2"/>
          <c:tx>
            <c:strRef>
              <c:f>'16.2 Cinéticas Cleaner'!$B$35</c:f>
              <c:strCache>
                <c:ptCount val="1"/>
                <c:pt idx="0">
                  <c:v>Condición #2 35 um</c:v>
                </c:pt>
              </c:strCache>
            </c:strRef>
          </c:tx>
          <c:spPr>
            <a:ln w="2540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'16.2 Cinéticas Cleaner'!$K$38:$K$44</c:f>
              <c:numCache>
                <c:formatCode>0.0</c:formatCode>
                <c:ptCount val="7"/>
                <c:pt idx="0">
                  <c:v>23.013781523349127</c:v>
                </c:pt>
                <c:pt idx="1">
                  <c:v>31.487239110766573</c:v>
                </c:pt>
                <c:pt idx="2">
                  <c:v>44.052239742100632</c:v>
                </c:pt>
                <c:pt idx="3">
                  <c:v>77.44185349038321</c:v>
                </c:pt>
                <c:pt idx="4">
                  <c:v>91.505469893780031</c:v>
                </c:pt>
                <c:pt idx="5">
                  <c:v>96.156274132744088</c:v>
                </c:pt>
                <c:pt idx="6">
                  <c:v>100</c:v>
                </c:pt>
              </c:numCache>
            </c:numRef>
          </c:xVal>
          <c:yVal>
            <c:numRef>
              <c:f>'16.2 Cinéticas Cleaner'!$J$38:$J$44</c:f>
              <c:numCache>
                <c:formatCode>0.00</c:formatCode>
                <c:ptCount val="7"/>
                <c:pt idx="0">
                  <c:v>14.31</c:v>
                </c:pt>
                <c:pt idx="1">
                  <c:v>13.707209931843401</c:v>
                </c:pt>
                <c:pt idx="2">
                  <c:v>12.966485412630979</c:v>
                </c:pt>
                <c:pt idx="3">
                  <c:v>12.115478157672568</c:v>
                </c:pt>
                <c:pt idx="4">
                  <c:v>9.9253145137544347</c:v>
                </c:pt>
                <c:pt idx="5">
                  <c:v>8.0090290919180607</c:v>
                </c:pt>
                <c:pt idx="6">
                  <c:v>3.2320000000818041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4BB-4BC8-85DF-F29EC08C3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5856415"/>
        <c:axId val="1895838655"/>
      </c:scatterChart>
      <c:valAx>
        <c:axId val="1895856415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ource Sans Pro" panose="020B0503030403020204" pitchFamily="34" charset="0"/>
                    <a:ea typeface="Source Sans Pro" panose="020B0503030403020204" pitchFamily="34" charset="0"/>
                    <a:cs typeface="+mn-cs"/>
                  </a:defRPr>
                </a:pPr>
                <a:r>
                  <a:rPr lang="es-CL"/>
                  <a:t>Recuperación Cu,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ource Sans Pro" panose="020B0503030403020204" pitchFamily="34" charset="0"/>
                  <a:ea typeface="Source Sans Pro" panose="020B0503030403020204" pitchFamily="34" charset="0"/>
                  <a:cs typeface="+mn-cs"/>
                </a:defRPr>
              </a:pPr>
              <a:endParaRPr lang="es-C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Source Sans Pro" panose="020B0503030403020204" pitchFamily="34" charset="0"/>
                <a:cs typeface="+mn-cs"/>
              </a:defRPr>
            </a:pPr>
            <a:endParaRPr lang="es-CL"/>
          </a:p>
        </c:txPr>
        <c:crossAx val="1895838655"/>
        <c:crosses val="autoZero"/>
        <c:crossBetween val="midCat"/>
      </c:valAx>
      <c:valAx>
        <c:axId val="189583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ource Sans Pro" panose="020B0503030403020204" pitchFamily="34" charset="0"/>
                    <a:ea typeface="Source Sans Pro" panose="020B0503030403020204" pitchFamily="34" charset="0"/>
                    <a:cs typeface="+mn-cs"/>
                  </a:defRPr>
                </a:pPr>
                <a:r>
                  <a:rPr lang="es-CL"/>
                  <a:t>Ley Cu,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ource Sans Pro" panose="020B0503030403020204" pitchFamily="34" charset="0"/>
                  <a:ea typeface="Source Sans Pro" panose="020B0503030403020204" pitchFamily="34" charset="0"/>
                  <a:cs typeface="+mn-cs"/>
                </a:defRPr>
              </a:pPr>
              <a:endParaRPr lang="es-C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Source Sans Pro" panose="020B0503030403020204" pitchFamily="34" charset="0"/>
                <a:cs typeface="+mn-cs"/>
              </a:defRPr>
            </a:pPr>
            <a:endParaRPr lang="es-CL"/>
          </a:p>
        </c:txPr>
        <c:crossAx val="18958564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ource Sans Pro" panose="020B0503030403020204" pitchFamily="34" charset="0"/>
              <a:ea typeface="Source Sans Pro" panose="020B0503030403020204" pitchFamily="34" charset="0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Source Sans Pro" panose="020B0503030403020204" pitchFamily="34" charset="0"/>
          <a:ea typeface="Source Sans Pro" panose="020B0503030403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r>
              <a:rPr lang="es-CL" sz="1600"/>
              <a:t>Ley (%) vs Recuperación (%) Cu - Pre Rougher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ysClr val="windowText" lastClr="000000"/>
              </a:solidFill>
              <a:latin typeface="Source Sans Pro" panose="020B0503030403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567268540496887"/>
          <c:y val="0.17092165898617512"/>
          <c:w val="0.79192867003890621"/>
          <c:h val="0.62445480605246928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'17. Jms - Pre Rougher'!$B$46</c:f>
              <c:strCache>
                <c:ptCount val="1"/>
                <c:pt idx="0">
                  <c:v>T. Dilución 1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'17. Jms - Pre Rougher'!$K$47:$K$54</c:f>
              <c:numCache>
                <c:formatCode>0.0</c:formatCode>
                <c:ptCount val="8"/>
                <c:pt idx="0">
                  <c:v>19.530393930232435</c:v>
                </c:pt>
                <c:pt idx="1">
                  <c:v>26.069730179075339</c:v>
                </c:pt>
                <c:pt idx="2">
                  <c:v>37.56479407714496</c:v>
                </c:pt>
                <c:pt idx="3">
                  <c:v>52.288055086589139</c:v>
                </c:pt>
                <c:pt idx="4">
                  <c:v>58.472960198574889</c:v>
                </c:pt>
                <c:pt idx="5">
                  <c:v>80.053540830139852</c:v>
                </c:pt>
                <c:pt idx="6">
                  <c:v>83.969712843023686</c:v>
                </c:pt>
                <c:pt idx="7">
                  <c:v>100</c:v>
                </c:pt>
              </c:numCache>
            </c:numRef>
          </c:xVal>
          <c:yVal>
            <c:numRef>
              <c:f>'17. Jms - Pre Rougher'!$J$47:$J$54</c:f>
              <c:numCache>
                <c:formatCode>0.00</c:formatCode>
                <c:ptCount val="8"/>
                <c:pt idx="0">
                  <c:v>23.22</c:v>
                </c:pt>
                <c:pt idx="1">
                  <c:v>22.771632653061225</c:v>
                </c:pt>
                <c:pt idx="2">
                  <c:v>22.024794520547943</c:v>
                </c:pt>
                <c:pt idx="3">
                  <c:v>19.631403508771928</c:v>
                </c:pt>
                <c:pt idx="4">
                  <c:v>18.135507246376811</c:v>
                </c:pt>
                <c:pt idx="5">
                  <c:v>11.959406631762654</c:v>
                </c:pt>
                <c:pt idx="6">
                  <c:v>4.1669402898550727</c:v>
                </c:pt>
                <c:pt idx="7">
                  <c:v>0.61244873721113258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F28-4A77-930A-26D82AD4BC2D}"/>
            </c:ext>
          </c:extLst>
        </c:ser>
        <c:ser>
          <c:idx val="2"/>
          <c:order val="1"/>
          <c:tx>
            <c:strRef>
              <c:f>'17. Jms - Pre Rougher'!$B$65</c:f>
              <c:strCache>
                <c:ptCount val="1"/>
                <c:pt idx="0">
                  <c:v>T. Desgaste 1 L-150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'17. Jms - Pre Rougher'!$K$66:$K$73</c:f>
              <c:numCache>
                <c:formatCode>0.0</c:formatCode>
                <c:ptCount val="8"/>
                <c:pt idx="0">
                  <c:v>25.705406085712891</c:v>
                </c:pt>
                <c:pt idx="1">
                  <c:v>48.640373531657993</c:v>
                </c:pt>
                <c:pt idx="2">
                  <c:v>54.864107518294162</c:v>
                </c:pt>
                <c:pt idx="3">
                  <c:v>58.258048005548488</c:v>
                </c:pt>
                <c:pt idx="4">
                  <c:v>60.355415312185315</c:v>
                </c:pt>
                <c:pt idx="5">
                  <c:v>62.416237716590182</c:v>
                </c:pt>
                <c:pt idx="6">
                  <c:v>65.210455076408806</c:v>
                </c:pt>
                <c:pt idx="7">
                  <c:v>73.629138159018567</c:v>
                </c:pt>
              </c:numCache>
            </c:numRef>
          </c:xVal>
          <c:yVal>
            <c:numRef>
              <c:f>'17. Jms - Pre Rougher'!$J$66:$J$73</c:f>
              <c:numCache>
                <c:formatCode>0.00</c:formatCode>
                <c:ptCount val="8"/>
                <c:pt idx="0">
                  <c:v>17.850000000000001</c:v>
                </c:pt>
                <c:pt idx="1">
                  <c:v>17.542397905759167</c:v>
                </c:pt>
                <c:pt idx="2">
                  <c:v>16.379604160647212</c:v>
                </c:pt>
                <c:pt idx="3">
                  <c:v>14.96313447675864</c:v>
                </c:pt>
                <c:pt idx="4">
                  <c:v>13.908084522747547</c:v>
                </c:pt>
                <c:pt idx="5">
                  <c:v>13.071189906769355</c:v>
                </c:pt>
                <c:pt idx="6">
                  <c:v>12.629887722586693</c:v>
                </c:pt>
                <c:pt idx="7">
                  <c:v>9.816681419354838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F28-4A77-930A-26D82AD4BC2D}"/>
            </c:ext>
          </c:extLst>
        </c:ser>
        <c:ser>
          <c:idx val="0"/>
          <c:order val="2"/>
          <c:tx>
            <c:strRef>
              <c:f>'17. Jms - Pre Rougher'!$B$33</c:f>
              <c:strCache>
                <c:ptCount val="1"/>
                <c:pt idx="0">
                  <c:v>Cinetica Rougher 1</c:v>
                </c:pt>
              </c:strCache>
            </c:strRef>
          </c:tx>
          <c:spPr>
            <a:ln w="19050" cap="rnd">
              <a:solidFill>
                <a:srgbClr val="5ED4BE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'17. Jms - Pre Rougher'!$K$34:$K$38</c:f>
              <c:numCache>
                <c:formatCode>0.0</c:formatCode>
                <c:ptCount val="5"/>
                <c:pt idx="0">
                  <c:v>43.574207364151782</c:v>
                </c:pt>
                <c:pt idx="1">
                  <c:v>56.653893907918764</c:v>
                </c:pt>
                <c:pt idx="2">
                  <c:v>70.937546207668589</c:v>
                </c:pt>
                <c:pt idx="3">
                  <c:v>83.382120336019568</c:v>
                </c:pt>
                <c:pt idx="4">
                  <c:v>86.345466728301076</c:v>
                </c:pt>
              </c:numCache>
            </c:numRef>
          </c:xVal>
          <c:yVal>
            <c:numRef>
              <c:f>'17. Jms - Pre Rougher'!$J$34:$J$38</c:f>
              <c:numCache>
                <c:formatCode>0.00</c:formatCode>
                <c:ptCount val="5"/>
                <c:pt idx="0">
                  <c:v>12.97</c:v>
                </c:pt>
                <c:pt idx="1">
                  <c:v>11.775172413793104</c:v>
                </c:pt>
                <c:pt idx="2">
                  <c:v>10.016383601756955</c:v>
                </c:pt>
                <c:pt idx="3">
                  <c:v>6.1244021325209443</c:v>
                </c:pt>
                <c:pt idx="4">
                  <c:v>4.4553900481540927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28-4A77-930A-26D82AD4B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267951"/>
        <c:axId val="1129267471"/>
      </c:scatterChart>
      <c:valAx>
        <c:axId val="1129267951"/>
        <c:scaling>
          <c:orientation val="minMax"/>
          <c:max val="10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L"/>
                  <a:t>Recuperación, %</a:t>
                </a:r>
              </a:p>
            </c:rich>
          </c:tx>
          <c:layout>
            <c:manualLayout>
              <c:xMode val="edge"/>
              <c:yMode val="edge"/>
              <c:x val="0.4848905333833593"/>
              <c:y val="0.891845655021074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Source Sans Pro" panose="020B0503030403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129267471"/>
        <c:crosses val="autoZero"/>
        <c:crossBetween val="midCat"/>
        <c:majorUnit val="10"/>
      </c:valAx>
      <c:valAx>
        <c:axId val="112926747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L"/>
                  <a:t>Ley Cu, %</a:t>
                </a:r>
              </a:p>
            </c:rich>
          </c:tx>
          <c:layout>
            <c:manualLayout>
              <c:xMode val="edge"/>
              <c:yMode val="edge"/>
              <c:x val="2.4231988481986936E-2"/>
              <c:y val="0.38951095082271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Source Sans Pro" panose="020B0503030403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129267951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</c:legendEntry>
      <c:layout>
        <c:manualLayout>
          <c:xMode val="edge"/>
          <c:yMode val="edge"/>
          <c:x val="0.1752779114758119"/>
          <c:y val="0.59991961449783004"/>
          <c:w val="0.25153414941372132"/>
          <c:h val="0.17946465733763903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Source Sans Pro" panose="020B0503030403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0">
          <a:solidFill>
            <a:sysClr val="windowText" lastClr="000000"/>
          </a:solidFill>
          <a:latin typeface="Source Sans Pro" panose="020B0503030403020204" pitchFamily="34" charset="0"/>
          <a:cs typeface="Arial" panose="020B0604020202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0" i="0" u="none" strike="noStrike" kern="1200" spc="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r>
              <a:rPr lang="es-CL" sz="1600" b="0" i="0" u="none" strike="noStrike" kern="1200" spc="0" baseline="0">
                <a:solidFill>
                  <a:sysClr val="windowText" lastClr="000000"/>
                </a:solidFill>
                <a:latin typeface="Source Sans Pro" panose="020B0503030403020204" pitchFamily="34" charset="0"/>
                <a:cs typeface="Arial" panose="020B0604020202020204" pitchFamily="34" charset="0"/>
              </a:rPr>
              <a:t>Ley (%) vs Recuperación (%) Fe - Pre Rougher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0" i="0" u="none" strike="noStrike" kern="1200" spc="0" baseline="0">
              <a:solidFill>
                <a:sysClr val="windowText" lastClr="000000"/>
              </a:solidFill>
              <a:latin typeface="Source Sans Pro" panose="020B0503030403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567268540496887"/>
          <c:y val="0.17092165898617512"/>
          <c:w val="0.79192867003890621"/>
          <c:h val="0.62445480605246928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'17. Jms - Pre Rougher'!$B$46</c:f>
              <c:strCache>
                <c:ptCount val="1"/>
                <c:pt idx="0">
                  <c:v>T. Dilución 1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'17. Jms - Pre Rougher'!$P$47:$P$54</c:f>
              <c:numCache>
                <c:formatCode>0.0</c:formatCode>
                <c:ptCount val="8"/>
                <c:pt idx="0">
                  <c:v>5.0430797738658617</c:v>
                </c:pt>
                <c:pt idx="1">
                  <c:v>6.9272997608836757</c:v>
                </c:pt>
                <c:pt idx="2">
                  <c:v>10.355928254007003</c:v>
                </c:pt>
                <c:pt idx="3">
                  <c:v>15.644504485511549</c:v>
                </c:pt>
                <c:pt idx="4">
                  <c:v>19.089776806271395</c:v>
                </c:pt>
                <c:pt idx="5">
                  <c:v>35.773133533429124</c:v>
                </c:pt>
                <c:pt idx="6">
                  <c:v>43.921951544269803</c:v>
                </c:pt>
                <c:pt idx="7">
                  <c:v>100</c:v>
                </c:pt>
              </c:numCache>
            </c:numRef>
          </c:xVal>
          <c:yVal>
            <c:numRef>
              <c:f>'17. Jms - Pre Rougher'!$O$47:$O$54</c:f>
              <c:numCache>
                <c:formatCode>0.00</c:formatCode>
                <c:ptCount val="8"/>
                <c:pt idx="0">
                  <c:v>20.2</c:v>
                </c:pt>
                <c:pt idx="1">
                  <c:v>20.385714285714286</c:v>
                </c:pt>
                <c:pt idx="2">
                  <c:v>20.456164383561642</c:v>
                </c:pt>
                <c:pt idx="3">
                  <c:v>19.788596491228073</c:v>
                </c:pt>
                <c:pt idx="4">
                  <c:v>19.947101449275365</c:v>
                </c:pt>
                <c:pt idx="5">
                  <c:v>18.004886561954628</c:v>
                </c:pt>
                <c:pt idx="6">
                  <c:v>7.3431188405797103</c:v>
                </c:pt>
                <c:pt idx="7">
                  <c:v>2.0633555126278886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6A5-4602-89F1-5B724069F045}"/>
            </c:ext>
          </c:extLst>
        </c:ser>
        <c:ser>
          <c:idx val="2"/>
          <c:order val="1"/>
          <c:tx>
            <c:strRef>
              <c:f>'17. Jms - Pre Rougher'!$B$65</c:f>
              <c:strCache>
                <c:ptCount val="1"/>
                <c:pt idx="0">
                  <c:v>T. Desgaste 1 L-150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'17. Jms - Pre Rougher'!$P$66:$P$73</c:f>
              <c:numCache>
                <c:formatCode>0.0</c:formatCode>
                <c:ptCount val="8"/>
                <c:pt idx="0">
                  <c:v>6.9893559018035951</c:v>
                </c:pt>
                <c:pt idx="1">
                  <c:v>13.53387245287086</c:v>
                </c:pt>
                <c:pt idx="2">
                  <c:v>15.919245301205434</c:v>
                </c:pt>
                <c:pt idx="3">
                  <c:v>17.406278908130485</c:v>
                </c:pt>
                <c:pt idx="4">
                  <c:v>18.424906823457643</c:v>
                </c:pt>
                <c:pt idx="5">
                  <c:v>19.391713247410362</c:v>
                </c:pt>
                <c:pt idx="6">
                  <c:v>20.447173471865653</c:v>
                </c:pt>
                <c:pt idx="7">
                  <c:v>24.266413217095693</c:v>
                </c:pt>
              </c:numCache>
            </c:numRef>
          </c:xVal>
          <c:yVal>
            <c:numRef>
              <c:f>'17. Jms - Pre Rougher'!$O$66:$O$73</c:f>
              <c:numCache>
                <c:formatCode>0.00</c:formatCode>
                <c:ptCount val="8"/>
                <c:pt idx="0">
                  <c:v>16.899999999999999</c:v>
                </c:pt>
                <c:pt idx="1">
                  <c:v>16.99612565445026</c:v>
                </c:pt>
                <c:pt idx="2">
                  <c:v>16.549060965039004</c:v>
                </c:pt>
                <c:pt idx="3">
                  <c:v>15.567124036788465</c:v>
                </c:pt>
                <c:pt idx="4">
                  <c:v>14.784007582515608</c:v>
                </c:pt>
                <c:pt idx="5">
                  <c:v>14.140654641264693</c:v>
                </c:pt>
                <c:pt idx="6">
                  <c:v>13.789589503280226</c:v>
                </c:pt>
                <c:pt idx="7">
                  <c:v>11.265652903225806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6A5-4602-89F1-5B724069F045}"/>
            </c:ext>
          </c:extLst>
        </c:ser>
        <c:ser>
          <c:idx val="0"/>
          <c:order val="2"/>
          <c:tx>
            <c:strRef>
              <c:f>'17. Jms - Pre Rougher'!$B$33</c:f>
              <c:strCache>
                <c:ptCount val="1"/>
                <c:pt idx="0">
                  <c:v>Cinetica Rougher 1</c:v>
                </c:pt>
              </c:strCache>
            </c:strRef>
          </c:tx>
          <c:spPr>
            <a:ln w="19050" cap="rnd">
              <a:solidFill>
                <a:srgbClr val="5ED4BE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'17. Jms - Pre Rougher'!$P$34:$P$38</c:f>
              <c:numCache>
                <c:formatCode>0.0</c:formatCode>
                <c:ptCount val="5"/>
                <c:pt idx="0">
                  <c:v>16.231997046232227</c:v>
                </c:pt>
                <c:pt idx="1">
                  <c:v>21.660506120969966</c:v>
                </c:pt>
                <c:pt idx="2">
                  <c:v>28.63425300009196</c:v>
                </c:pt>
                <c:pt idx="3">
                  <c:v>39.962062202066818</c:v>
                </c:pt>
                <c:pt idx="4">
                  <c:v>45.418571677594606</c:v>
                </c:pt>
              </c:numCache>
            </c:numRef>
          </c:xVal>
          <c:yVal>
            <c:numRef>
              <c:f>'17. Jms - Pre Rougher'!$O$34:$O$38</c:f>
              <c:numCache>
                <c:formatCode>0.00</c:formatCode>
                <c:ptCount val="5"/>
                <c:pt idx="0">
                  <c:v>14.6</c:v>
                </c:pt>
                <c:pt idx="1">
                  <c:v>13.604310344827587</c:v>
                </c:pt>
                <c:pt idx="2">
                  <c:v>12.217745241581259</c:v>
                </c:pt>
                <c:pt idx="3">
                  <c:v>8.8697029702970305</c:v>
                </c:pt>
                <c:pt idx="4">
                  <c:v>7.081904761904763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A5-4602-89F1-5B724069F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267951"/>
        <c:axId val="1129267471"/>
      </c:scatterChart>
      <c:valAx>
        <c:axId val="1129267951"/>
        <c:scaling>
          <c:orientation val="minMax"/>
          <c:max val="10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L"/>
                  <a:t>Recuperación,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ysClr val="windowText" lastClr="000000"/>
                  </a:solidFill>
                  <a:latin typeface="Source Sans Pro" panose="020B0503030403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129267471"/>
        <c:crosses val="autoZero"/>
        <c:crossBetween val="midCat"/>
        <c:majorUnit val="10"/>
      </c:valAx>
      <c:valAx>
        <c:axId val="112926747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L"/>
                  <a:t>Ley  Fe,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ysClr val="windowText" lastClr="000000"/>
                  </a:solidFill>
                  <a:latin typeface="Source Sans Pro" panose="020B0503030403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129267951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292660487737866"/>
          <c:y val="0.205170183726755"/>
          <c:w val="0.24866944602669058"/>
          <c:h val="0.15808687081034237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0" i="0" u="none" strike="noStrike" kern="1200" baseline="0">
              <a:solidFill>
                <a:sysClr val="windowText" lastClr="000000"/>
              </a:solidFill>
              <a:latin typeface="Source Sans Pro" panose="020B0503030403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 b="0" i="0" u="none" strike="noStrike" kern="1200" baseline="0">
          <a:solidFill>
            <a:sysClr val="windowText" lastClr="000000"/>
          </a:solidFill>
          <a:latin typeface="Source Sans Pro" panose="020B0503030403020204" pitchFamily="34" charset="0"/>
          <a:ea typeface="+mn-ea"/>
          <a:cs typeface="Arial" panose="020B0604020202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Source Sans Pro" panose="020B0503030403020204" pitchFamily="34" charset="0"/>
                <a:cs typeface="+mn-cs"/>
              </a:defRPr>
            </a:pPr>
            <a:r>
              <a:rPr lang="es-CL"/>
              <a:t>QAQC Cu Cabeza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ource Sans Pro" panose="020B0503030403020204" pitchFamily="34" charset="0"/>
              <a:ea typeface="Source Sans Pro" panose="020B0503030403020204" pitchFamily="34" charset="0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1"/>
          <c:order val="3"/>
          <c:tx>
            <c:v>0.61 0.61 0.61</c:v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strRef>
              <c:f>('17. Jms - Pre Rougher'!$B$33,'17. Jms - Pre Rougher'!$B$46,'17. Jms - Pre Rougher'!$B$65)</c:f>
              <c:strCache>
                <c:ptCount val="3"/>
                <c:pt idx="0">
                  <c:v>Cinetica Rougher 1</c:v>
                </c:pt>
                <c:pt idx="1">
                  <c:v>T. Dilución 1</c:v>
                </c:pt>
                <c:pt idx="2">
                  <c:v>T. Desgaste 1 L-150</c:v>
                </c:pt>
              </c:strCache>
            </c:str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8B42-4FF5-B5A6-8EE2B92F7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3185615"/>
        <c:axId val="1363175535"/>
      </c:lineChart>
      <c:scatterChart>
        <c:scatterStyle val="lineMarker"/>
        <c:varyColors val="0"/>
        <c:ser>
          <c:idx val="4"/>
          <c:order val="0"/>
          <c:tx>
            <c:strRef>
              <c:f>'17. Jms - Pre Rougher'!$B$41</c:f>
              <c:strCache>
                <c:ptCount val="1"/>
                <c:pt idx="0">
                  <c:v>Cabeza Medida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('17. Jms - Pre Rougher'!$B$33,'17. Jms - Pre Rougher'!$B$46,'17. Jms - Pre Rougher'!$B$65)</c:f>
              <c:strCache>
                <c:ptCount val="3"/>
                <c:pt idx="0">
                  <c:v>Cinetica Rougher 1</c:v>
                </c:pt>
                <c:pt idx="1">
                  <c:v>T. Dilución 1</c:v>
                </c:pt>
                <c:pt idx="2">
                  <c:v>T. Desgaste 1 L-150</c:v>
                </c:pt>
              </c:strCache>
            </c:strRef>
          </c:xVal>
          <c:yVal>
            <c:numRef>
              <c:f>('17. Jms - Pre Rougher'!$J$41,'17. Jms - Pre Rougher'!$J$56,'17. Jms - Pre Rougher'!$J$76)</c:f>
              <c:numCache>
                <c:formatCode>0.00</c:formatCode>
                <c:ptCount val="3"/>
                <c:pt idx="0">
                  <c:v>0.64800000000000002</c:v>
                </c:pt>
                <c:pt idx="1">
                  <c:v>0.64800000000000002</c:v>
                </c:pt>
                <c:pt idx="2">
                  <c:v>0.626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B42-4FF5-B5A6-8EE2B92F7EA5}"/>
            </c:ext>
          </c:extLst>
        </c:ser>
        <c:ser>
          <c:idx val="0"/>
          <c:order val="1"/>
          <c:tx>
            <c:strRef>
              <c:f>'17. Jms - Pre Rougher'!$B$42</c:f>
              <c:strCache>
                <c:ptCount val="1"/>
                <c:pt idx="0">
                  <c:v>Cabeza Calculada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72E875A0-9149-48F6-BBD6-07B5955B45A5}" type="CELLRANGE">
                      <a:rPr lang="en-US"/>
                      <a:pPr/>
                      <a:t>[CELLRANGE]</a:t>
                    </a:fld>
                    <a:endParaRPr lang="es-CL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9B8D-41A7-910E-50806364C319}"/>
                </c:ext>
              </c:extLst>
            </c:dLbl>
            <c:dLbl>
              <c:idx val="1"/>
              <c:layout>
                <c:manualLayout>
                  <c:x val="-2.4268533037881462E-3"/>
                  <c:y val="-6.6378585450515129E-2"/>
                </c:manualLayout>
              </c:layout>
              <c:tx>
                <c:rich>
                  <a:bodyPr/>
                  <a:lstStyle/>
                  <a:p>
                    <a:fld id="{5EA67186-1EF9-4805-B9CE-18BE200BD2DF}" type="CELLRANGE">
                      <a:rPr lang="en-US"/>
                      <a:pPr/>
                      <a:t>[CELLRANGE]</a:t>
                    </a:fld>
                    <a:endParaRPr lang="es-CL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9B8D-41A7-910E-50806364C319}"/>
                </c:ext>
              </c:extLst>
            </c:dLbl>
            <c:dLbl>
              <c:idx val="2"/>
              <c:layout>
                <c:manualLayout>
                  <c:x val="-4.8537066075763809E-3"/>
                  <c:y val="-9.7520371775300846E-2"/>
                </c:manualLayout>
              </c:layout>
              <c:tx>
                <c:rich>
                  <a:bodyPr/>
                  <a:lstStyle/>
                  <a:p>
                    <a:fld id="{D243AB16-1207-4770-90FB-CFB657D77286}" type="CELLRANGE">
                      <a:rPr lang="en-US"/>
                      <a:pPr/>
                      <a:t>[CELLRANGE]</a:t>
                    </a:fld>
                    <a:endParaRPr lang="es-CL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9B8D-41A7-910E-50806364C3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ource Sans Pro" panose="020B0503030403020204" pitchFamily="34" charset="0"/>
                    <a:ea typeface="Source Sans Pro" panose="020B0503030403020204" pitchFamily="34" charset="0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('17. Jms - Pre Rougher'!$B$33,'17. Jms - Pre Rougher'!$B$46,'17. Jms - Pre Rougher'!$B$65)</c:f>
              <c:strCache>
                <c:ptCount val="3"/>
                <c:pt idx="0">
                  <c:v>Cinetica Rougher 1</c:v>
                </c:pt>
                <c:pt idx="1">
                  <c:v>T. Dilución 1</c:v>
                </c:pt>
                <c:pt idx="2">
                  <c:v>T. Desgaste 1 L-150</c:v>
                </c:pt>
              </c:strCache>
            </c:strRef>
          </c:xVal>
          <c:yVal>
            <c:numRef>
              <c:f>('17. Jms - Pre Rougher'!$J$42,'17. Jms - Pre Rougher'!$J$57,'17. Jms - Pre Rougher'!$J$77)</c:f>
              <c:numCache>
                <c:formatCode>0.00</c:formatCode>
                <c:ptCount val="3"/>
                <c:pt idx="0">
                  <c:v>0.64694183940430672</c:v>
                </c:pt>
                <c:pt idx="1">
                  <c:v>0.61244873721113258</c:v>
                </c:pt>
                <c:pt idx="2">
                  <c:v>0.58725593066212001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('17. Jms - Pre Rougher'!$J$43,'17. Jms - Pre Rougher'!$J$58,'17. Jms - Pre Rougher'!$J$78)</c15:f>
                <c15:dlblRangeCache>
                  <c:ptCount val="3"/>
                  <c:pt idx="0">
                    <c:v>0%</c:v>
                  </c:pt>
                  <c:pt idx="1">
                    <c:v>5%</c:v>
                  </c:pt>
                  <c:pt idx="2">
                    <c:v>6%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8B42-4FF5-B5A6-8EE2B92F7EA5}"/>
            </c:ext>
          </c:extLst>
        </c:ser>
        <c:ser>
          <c:idx val="3"/>
          <c:order val="4"/>
          <c:tx>
            <c:v>0.61</c:v>
          </c:tx>
          <c:spPr>
            <a:ln w="15875" cap="rnd">
              <a:solidFill>
                <a:schemeClr val="bg2">
                  <a:lumMod val="7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4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8B42-4FF5-B5A6-8EE2B92F7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3185615"/>
        <c:axId val="1363175535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Error ±20 um</c:v>
                </c:tx>
                <c:spPr>
                  <a:ln w="15875" cap="rnd">
                    <a:solidFill>
                      <a:schemeClr val="bg2">
                        <a:lumMod val="75000"/>
                      </a:schemeClr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x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3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0.6825</c:v>
                    </c:pt>
                    <c:pt idx="1">
                      <c:v>0.68240000000000001</c:v>
                    </c:pt>
                  </c:numLit>
                </c:yVal>
                <c:smooth val="0"/>
                <c:extLst>
                  <c:ext xmlns:c16="http://schemas.microsoft.com/office/drawing/2014/chart" uri="{C3380CC4-5D6E-409C-BE32-E72D297353CC}">
                    <c16:uniqueId val="{00000002-8B42-4FF5-B5A6-8EE2B92F7EA5}"/>
                  </c:ext>
                </c:extLst>
              </c15:ser>
            </c15:filteredScatterSeries>
          </c:ext>
        </c:extLst>
      </c:scatterChart>
      <c:catAx>
        <c:axId val="1363185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Source Sans Pro" panose="020B0503030403020204" pitchFamily="34" charset="0"/>
                <a:cs typeface="+mn-cs"/>
              </a:defRPr>
            </a:pPr>
            <a:endParaRPr lang="es-CL"/>
          </a:p>
        </c:txPr>
        <c:crossAx val="1363175535"/>
        <c:crosses val="autoZero"/>
        <c:auto val="1"/>
        <c:lblAlgn val="ctr"/>
        <c:lblOffset val="100"/>
        <c:noMultiLvlLbl val="0"/>
      </c:catAx>
      <c:valAx>
        <c:axId val="1363175535"/>
        <c:scaling>
          <c:orientation val="minMax"/>
          <c:max val="0.68000000000000016"/>
          <c:min val="0.5600000000000000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ource Sans Pro" panose="020B0503030403020204" pitchFamily="34" charset="0"/>
                    <a:ea typeface="Source Sans Pro" panose="020B0503030403020204" pitchFamily="34" charset="0"/>
                    <a:cs typeface="+mn-cs"/>
                  </a:defRPr>
                </a:pPr>
                <a:r>
                  <a:rPr lang="es-CL"/>
                  <a:t>Cu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ource Sans Pro" panose="020B0503030403020204" pitchFamily="34" charset="0"/>
                  <a:ea typeface="Source Sans Pro" panose="020B0503030403020204" pitchFamily="34" charset="0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urce Sans Pro" panose="020B0503030403020204" pitchFamily="34" charset="0"/>
                <a:ea typeface="Source Sans Pro" panose="020B0503030403020204" pitchFamily="34" charset="0"/>
                <a:cs typeface="+mn-cs"/>
              </a:defRPr>
            </a:pPr>
            <a:endParaRPr lang="es-CL"/>
          </a:p>
        </c:txPr>
        <c:crossAx val="1363185615"/>
        <c:crossesAt val="0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ource Sans Pro" panose="020B0503030403020204" pitchFamily="34" charset="0"/>
              <a:ea typeface="Source Sans Pro" panose="020B0503030403020204" pitchFamily="34" charset="0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Source Sans Pro" panose="020B0503030403020204" pitchFamily="34" charset="0"/>
          <a:ea typeface="Source Sans Pro" panose="020B0503030403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r>
              <a:rPr lang="es-CL" sz="1600"/>
              <a:t>Ley (%) vs Mass Pull (%) Cu - Pre Rougher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ysClr val="windowText" lastClr="000000"/>
              </a:solidFill>
              <a:latin typeface="Source Sans Pro" panose="020B0503030403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567268540496887"/>
          <c:y val="0.17092165898617512"/>
          <c:w val="0.79192867003890621"/>
          <c:h val="0.62445480605246928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'17. Jms - Pre Rougher'!$B$46</c:f>
              <c:strCache>
                <c:ptCount val="1"/>
                <c:pt idx="0">
                  <c:v>T. Dilución 1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'17. Jms - Pre Rougher'!$M$47:$M$53</c:f>
              <c:numCache>
                <c:formatCode>0.0</c:formatCode>
                <c:ptCount val="7"/>
                <c:pt idx="0">
                  <c:v>0.51513200257566005</c:v>
                </c:pt>
                <c:pt idx="1">
                  <c:v>0.70115189239464837</c:v>
                </c:pt>
                <c:pt idx="2">
                  <c:v>1.0445732274450883</c:v>
                </c:pt>
                <c:pt idx="3">
                  <c:v>1.6312513414895899</c:v>
                </c:pt>
                <c:pt idx="4">
                  <c:v>1.97467267654003</c:v>
                </c:pt>
                <c:pt idx="5">
                  <c:v>4.0995921871646273</c:v>
                </c:pt>
                <c:pt idx="6">
                  <c:v>12.341704228375189</c:v>
                </c:pt>
              </c:numCache>
            </c:numRef>
          </c:xVal>
          <c:yVal>
            <c:numRef>
              <c:f>'17. Jms - Pre Rougher'!$J$47:$J$53</c:f>
              <c:numCache>
                <c:formatCode>0.00</c:formatCode>
                <c:ptCount val="7"/>
                <c:pt idx="0">
                  <c:v>23.22</c:v>
                </c:pt>
                <c:pt idx="1">
                  <c:v>22.771632653061225</c:v>
                </c:pt>
                <c:pt idx="2">
                  <c:v>22.024794520547943</c:v>
                </c:pt>
                <c:pt idx="3">
                  <c:v>19.631403508771928</c:v>
                </c:pt>
                <c:pt idx="4">
                  <c:v>18.135507246376811</c:v>
                </c:pt>
                <c:pt idx="5">
                  <c:v>11.959406631762654</c:v>
                </c:pt>
                <c:pt idx="6">
                  <c:v>4.1669402898550727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AE-4085-8CF2-FA6984441F15}"/>
            </c:ext>
          </c:extLst>
        </c:ser>
        <c:ser>
          <c:idx val="2"/>
          <c:order val="1"/>
          <c:tx>
            <c:strRef>
              <c:f>'17. Jms - Pre Rougher'!$B$65</c:f>
              <c:strCache>
                <c:ptCount val="1"/>
                <c:pt idx="0">
                  <c:v>T. Desgaste 1 L-150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'17. Jms - Pre Rougher'!$M$66:$M$73</c:f>
              <c:numCache>
                <c:formatCode>0.0</c:formatCode>
                <c:ptCount val="8"/>
                <c:pt idx="0">
                  <c:v>0.84569479965899397</c:v>
                </c:pt>
                <c:pt idx="1">
                  <c:v>1.6283034953111679</c:v>
                </c:pt>
                <c:pt idx="2">
                  <c:v>1.9670360897982382</c:v>
                </c:pt>
                <c:pt idx="3">
                  <c:v>2.2864450127877238</c:v>
                </c:pt>
                <c:pt idx="4">
                  <c:v>2.5484512645637967</c:v>
                </c:pt>
                <c:pt idx="5">
                  <c:v>2.8042057402671214</c:v>
                </c:pt>
                <c:pt idx="6">
                  <c:v>3.032111395282751</c:v>
                </c:pt>
                <c:pt idx="7">
                  <c:v>4.4046604148905946</c:v>
                </c:pt>
              </c:numCache>
            </c:numRef>
          </c:xVal>
          <c:yVal>
            <c:numRef>
              <c:f>'17. Jms - Pre Rougher'!$J$66:$J$73</c:f>
              <c:numCache>
                <c:formatCode>0.00</c:formatCode>
                <c:ptCount val="8"/>
                <c:pt idx="0">
                  <c:v>17.850000000000001</c:v>
                </c:pt>
                <c:pt idx="1">
                  <c:v>17.542397905759167</c:v>
                </c:pt>
                <c:pt idx="2">
                  <c:v>16.379604160647212</c:v>
                </c:pt>
                <c:pt idx="3">
                  <c:v>14.96313447675864</c:v>
                </c:pt>
                <c:pt idx="4">
                  <c:v>13.908084522747547</c:v>
                </c:pt>
                <c:pt idx="5">
                  <c:v>13.071189906769355</c:v>
                </c:pt>
                <c:pt idx="6">
                  <c:v>12.629887722586693</c:v>
                </c:pt>
                <c:pt idx="7">
                  <c:v>9.816681419354838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EAE-4085-8CF2-FA6984441F15}"/>
            </c:ext>
          </c:extLst>
        </c:ser>
        <c:ser>
          <c:idx val="0"/>
          <c:order val="2"/>
          <c:tx>
            <c:strRef>
              <c:f>'17. Jms - Pre Rougher'!$B$33</c:f>
              <c:strCache>
                <c:ptCount val="1"/>
                <c:pt idx="0">
                  <c:v>Cinetica Rougher 1</c:v>
                </c:pt>
              </c:strCache>
            </c:strRef>
          </c:tx>
          <c:spPr>
            <a:ln w="19050" cap="rnd">
              <a:solidFill>
                <a:srgbClr val="5ED4BE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'17. Jms - Pre Rougher'!$M$34:$M$38</c:f>
              <c:numCache>
                <c:formatCode>0.0</c:formatCode>
                <c:ptCount val="5"/>
                <c:pt idx="0">
                  <c:v>2.1734755484000803</c:v>
                </c:pt>
                <c:pt idx="1">
                  <c:v>3.1126316495606088</c:v>
                </c:pt>
                <c:pt idx="2">
                  <c:v>4.5817401220902925</c:v>
                </c:pt>
                <c:pt idx="3">
                  <c:v>8.8079425773126712</c:v>
                </c:pt>
                <c:pt idx="4">
                  <c:v>12.537733950493056</c:v>
                </c:pt>
              </c:numCache>
            </c:numRef>
          </c:xVal>
          <c:yVal>
            <c:numRef>
              <c:f>'17. Jms - Pre Rougher'!$J$34:$J$38</c:f>
              <c:numCache>
                <c:formatCode>0.00</c:formatCode>
                <c:ptCount val="5"/>
                <c:pt idx="0">
                  <c:v>12.97</c:v>
                </c:pt>
                <c:pt idx="1">
                  <c:v>11.775172413793104</c:v>
                </c:pt>
                <c:pt idx="2">
                  <c:v>10.016383601756955</c:v>
                </c:pt>
                <c:pt idx="3">
                  <c:v>6.1244021325209443</c:v>
                </c:pt>
                <c:pt idx="4">
                  <c:v>4.4553900481540927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EAE-4085-8CF2-FA6984441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267951"/>
        <c:axId val="1129267471"/>
      </c:scatterChart>
      <c:valAx>
        <c:axId val="1129267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L"/>
                  <a:t>Mass Pull, %</a:t>
                </a:r>
              </a:p>
            </c:rich>
          </c:tx>
          <c:layout>
            <c:manualLayout>
              <c:xMode val="edge"/>
              <c:yMode val="edge"/>
              <c:x val="0.4848905333833593"/>
              <c:y val="0.891845655021074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Source Sans Pro" panose="020B0503030403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129267471"/>
        <c:crosses val="autoZero"/>
        <c:crossBetween val="midCat"/>
        <c:majorUnit val="10"/>
      </c:valAx>
      <c:valAx>
        <c:axId val="112926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L"/>
                  <a:t>Ley Cu, %</a:t>
                </a:r>
              </a:p>
            </c:rich>
          </c:tx>
          <c:layout>
            <c:manualLayout>
              <c:xMode val="edge"/>
              <c:yMode val="edge"/>
              <c:x val="2.4231988481986936E-2"/>
              <c:y val="0.38951095082271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Source Sans Pro" panose="020B0503030403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129267951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</c:legendEntry>
      <c:layout>
        <c:manualLayout>
          <c:xMode val="edge"/>
          <c:yMode val="edge"/>
          <c:x val="0.66772552524444728"/>
          <c:y val="0.15672932059396882"/>
          <c:w val="0.25153414941372132"/>
          <c:h val="0.17946465733763903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Source Sans Pro" panose="020B0503030403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0">
          <a:solidFill>
            <a:sysClr val="windowText" lastClr="000000"/>
          </a:solidFill>
          <a:latin typeface="Source Sans Pro" panose="020B0503030403020204" pitchFamily="34" charset="0"/>
          <a:cs typeface="Arial" panose="020B0604020202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'17.1 Jms - PR - T. Desgaste'!$S$7</c:f>
              <c:strCache>
                <c:ptCount val="1"/>
                <c:pt idx="0">
                  <c:v>Cu %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'17.1 Jms - PR - T. Desgaste'!$P$9:$P$16</c:f>
              <c:numCache>
                <c:formatCode>0.00</c:formatCode>
                <c:ptCount val="8"/>
                <c:pt idx="0">
                  <c:v>5.8424576483681809</c:v>
                </c:pt>
                <c:pt idx="1">
                  <c:v>6.3134182866897985</c:v>
                </c:pt>
                <c:pt idx="2">
                  <c:v>14.586538558342037</c:v>
                </c:pt>
                <c:pt idx="3">
                  <c:v>15.468998186426788</c:v>
                </c:pt>
                <c:pt idx="4">
                  <c:v>18.858084556988835</c:v>
                </c:pt>
                <c:pt idx="5">
                  <c:v>19.319059957270781</c:v>
                </c:pt>
                <c:pt idx="6">
                  <c:v>10.839871547097074</c:v>
                </c:pt>
                <c:pt idx="7">
                  <c:v>0</c:v>
                </c:pt>
              </c:numCache>
            </c:numRef>
          </c:xVal>
          <c:yVal>
            <c:numRef>
              <c:f>'17.1 Jms - PR - T. Desgaste'!$S$9:$S$16</c:f>
              <c:numCache>
                <c:formatCode>0.00</c:formatCode>
                <c:ptCount val="8"/>
                <c:pt idx="0">
                  <c:v>17.850000000000001</c:v>
                </c:pt>
                <c:pt idx="1">
                  <c:v>17.542397905759163</c:v>
                </c:pt>
                <c:pt idx="2">
                  <c:v>16.379604160647212</c:v>
                </c:pt>
                <c:pt idx="3">
                  <c:v>14.963134476758642</c:v>
                </c:pt>
                <c:pt idx="4">
                  <c:v>13.908084522747549</c:v>
                </c:pt>
                <c:pt idx="5">
                  <c:v>13.071189906769357</c:v>
                </c:pt>
                <c:pt idx="6">
                  <c:v>12.629887722586696</c:v>
                </c:pt>
                <c:pt idx="7">
                  <c:v>9.8166814193548415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15-4606-BB72-CC73C4E83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9675664"/>
        <c:axId val="1019679504"/>
      </c:scatterChart>
      <c:valAx>
        <c:axId val="1019675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Razón Agua de Lavado, W (Qww/Qwc)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19679504"/>
        <c:crosses val="autoZero"/>
        <c:crossBetween val="midCat"/>
      </c:valAx>
      <c:valAx>
        <c:axId val="101967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Cu</a:t>
                </a:r>
                <a:r>
                  <a:rPr lang="es-CL" baseline="0"/>
                  <a:t> (%)</a:t>
                </a: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19675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'17.1 Jms - PR - T. Desgaste'!$Q$5:$Q$7</c:f>
              <c:strCache>
                <c:ptCount val="3"/>
                <c:pt idx="0">
                  <c:v>Vel. Sup. Agua</c:v>
                </c:pt>
                <c:pt idx="1">
                  <c:v>Jb</c:v>
                </c:pt>
                <c:pt idx="2">
                  <c:v>cm/s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'17.1 Jms - PR - T. Desgaste'!$P$9:$P$16</c:f>
              <c:numCache>
                <c:formatCode>0.00</c:formatCode>
                <c:ptCount val="8"/>
                <c:pt idx="0">
                  <c:v>5.8424576483681809</c:v>
                </c:pt>
                <c:pt idx="1">
                  <c:v>6.3134182866897985</c:v>
                </c:pt>
                <c:pt idx="2">
                  <c:v>14.586538558342037</c:v>
                </c:pt>
                <c:pt idx="3">
                  <c:v>15.468998186426788</c:v>
                </c:pt>
                <c:pt idx="4">
                  <c:v>18.858084556988835</c:v>
                </c:pt>
                <c:pt idx="5">
                  <c:v>19.319059957270781</c:v>
                </c:pt>
                <c:pt idx="6">
                  <c:v>10.839871547097074</c:v>
                </c:pt>
                <c:pt idx="7">
                  <c:v>0</c:v>
                </c:pt>
              </c:numCache>
            </c:numRef>
          </c:xVal>
          <c:yVal>
            <c:numRef>
              <c:f>'17.1 Jms - PR - T. Desgaste'!$Q$9:$Q$16</c:f>
              <c:numCache>
                <c:formatCode>0.00</c:formatCode>
                <c:ptCount val="8"/>
                <c:pt idx="0">
                  <c:v>0.72079146625879476</c:v>
                </c:pt>
                <c:pt idx="1">
                  <c:v>0.7318950673955571</c:v>
                </c:pt>
                <c:pt idx="2">
                  <c:v>0.81002040512358697</c:v>
                </c:pt>
                <c:pt idx="3">
                  <c:v>0.813421508174487</c:v>
                </c:pt>
                <c:pt idx="4">
                  <c:v>0.82352478488451397</c:v>
                </c:pt>
                <c:pt idx="5">
                  <c:v>0.82462514175392287</c:v>
                </c:pt>
                <c:pt idx="6">
                  <c:v>0.39470686096641949</c:v>
                </c:pt>
                <c:pt idx="7">
                  <c:v>-8.0526116352194671E-2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C6-40BD-A6DD-47AB06E8C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9645904"/>
        <c:axId val="1019634864"/>
      </c:scatterChart>
      <c:valAx>
        <c:axId val="1019645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Razón Agua de Lavado, W (Qww/Qwc)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19634864"/>
        <c:crossesAt val="-0.2"/>
        <c:crossBetween val="midCat"/>
      </c:valAx>
      <c:valAx>
        <c:axId val="101963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Velocidad Superficial Agua,</a:t>
                </a:r>
                <a:r>
                  <a:rPr lang="es-CL" baseline="0"/>
                  <a:t> </a:t>
                </a:r>
                <a:r>
                  <a:rPr lang="es-CL"/>
                  <a:t>Jb</a:t>
                </a:r>
                <a:r>
                  <a:rPr lang="es-CL" baseline="0"/>
                  <a:t> (cm/s)</a:t>
                </a: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19645904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'17.1 Jms - PR - T. Desgaste'!$P$9:$P$16</c:f>
              <c:numCache>
                <c:formatCode>0.00</c:formatCode>
                <c:ptCount val="8"/>
                <c:pt idx="0">
                  <c:v>5.8424576483681809</c:v>
                </c:pt>
                <c:pt idx="1">
                  <c:v>6.3134182866897985</c:v>
                </c:pt>
                <c:pt idx="2">
                  <c:v>14.586538558342037</c:v>
                </c:pt>
                <c:pt idx="3">
                  <c:v>15.468998186426788</c:v>
                </c:pt>
                <c:pt idx="4">
                  <c:v>18.858084556988835</c:v>
                </c:pt>
                <c:pt idx="5">
                  <c:v>19.319059957270781</c:v>
                </c:pt>
                <c:pt idx="6">
                  <c:v>10.839871547097074</c:v>
                </c:pt>
                <c:pt idx="7">
                  <c:v>0</c:v>
                </c:pt>
              </c:numCache>
            </c:numRef>
          </c:xVal>
          <c:yVal>
            <c:numRef>
              <c:f>'17.1 Jms - PR - T. Desgaste'!$R$9:$R$16</c:f>
              <c:numCache>
                <c:formatCode>0.00</c:formatCode>
                <c:ptCount val="8"/>
                <c:pt idx="0">
                  <c:v>25.705406085712891</c:v>
                </c:pt>
                <c:pt idx="1">
                  <c:v>48.640373531657993</c:v>
                </c:pt>
                <c:pt idx="2">
                  <c:v>54.864107518294162</c:v>
                </c:pt>
                <c:pt idx="3">
                  <c:v>58.258048005548488</c:v>
                </c:pt>
                <c:pt idx="4">
                  <c:v>60.355415312185315</c:v>
                </c:pt>
                <c:pt idx="5">
                  <c:v>62.416237716590182</c:v>
                </c:pt>
                <c:pt idx="6">
                  <c:v>65.210455076408806</c:v>
                </c:pt>
                <c:pt idx="7">
                  <c:v>73.629138159018567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BE-465A-B21E-B0591E7F1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9675664"/>
        <c:axId val="1019679504"/>
      </c:scatterChart>
      <c:valAx>
        <c:axId val="1019675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Razón Agua de Lavado, W (Qww/Qwc)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19679504"/>
        <c:crosses val="autoZero"/>
        <c:crossBetween val="midCat"/>
      </c:valAx>
      <c:valAx>
        <c:axId val="101967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Recuperación Cu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19675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40" b="0" i="0" u="none" strike="noStrike" kern="1200" spc="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r>
              <a:rPr lang="es-CL" sz="1600" b="0" i="0" u="none" strike="noStrike" kern="1200" spc="0" baseline="0">
                <a:solidFill>
                  <a:sysClr val="windowText" lastClr="000000"/>
                </a:solidFill>
                <a:latin typeface="Source Sans Pro" panose="020B0503030403020204" pitchFamily="34" charset="0"/>
                <a:cs typeface="Arial" panose="020B0604020202020204" pitchFamily="34" charset="0"/>
              </a:rPr>
              <a:t>Ley (%) vs Recuperación (%) Fe - Cola Rougher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40" b="0" i="0" u="none" strike="noStrike" kern="1200" spc="0" baseline="0">
              <a:solidFill>
                <a:sysClr val="windowText" lastClr="000000"/>
              </a:solidFill>
              <a:latin typeface="Source Sans Pro" panose="020B0503030403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567268540496887"/>
          <c:y val="0.17092165898617512"/>
          <c:w val="0.79192867003890621"/>
          <c:h val="0.62445480605246928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'18. Jms - Ro-SCV'!$B$46</c:f>
              <c:strCache>
                <c:ptCount val="1"/>
                <c:pt idx="0">
                  <c:v>T. Dilución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'18. Jms - Ro-SCV'!$P$47:$P$54</c:f>
              <c:numCache>
                <c:formatCode>0.0</c:formatCode>
                <c:ptCount val="8"/>
                <c:pt idx="0">
                  <c:v>13.68927636933733</c:v>
                </c:pt>
                <c:pt idx="1">
                  <c:v>17.413074488959612</c:v>
                </c:pt>
                <c:pt idx="2">
                  <c:v>21.950800054324617</c:v>
                </c:pt>
                <c:pt idx="3">
                  <c:v>31.806084470260565</c:v>
                </c:pt>
                <c:pt idx="4">
                  <c:v>35.96707897997053</c:v>
                </c:pt>
                <c:pt idx="5">
                  <c:v>40.256124375497635</c:v>
                </c:pt>
                <c:pt idx="6">
                  <c:v>46.869958278919242</c:v>
                </c:pt>
                <c:pt idx="7">
                  <c:v>100</c:v>
                </c:pt>
              </c:numCache>
            </c:numRef>
          </c:xVal>
          <c:yVal>
            <c:numRef>
              <c:f>'18. Jms - Ro-SCV'!$O$47:$O$54</c:f>
              <c:numCache>
                <c:formatCode>0.00</c:formatCode>
                <c:ptCount val="8"/>
                <c:pt idx="0">
                  <c:v>35.799999999999997</c:v>
                </c:pt>
                <c:pt idx="1">
                  <c:v>36.110546874999997</c:v>
                </c:pt>
                <c:pt idx="2">
                  <c:v>36.190372670807449</c:v>
                </c:pt>
                <c:pt idx="3">
                  <c:v>35.031742738589209</c:v>
                </c:pt>
                <c:pt idx="4">
                  <c:v>33.14982638888889</c:v>
                </c:pt>
                <c:pt idx="5">
                  <c:v>22.783880597014925</c:v>
                </c:pt>
                <c:pt idx="6">
                  <c:v>6.3169459253617672</c:v>
                </c:pt>
                <c:pt idx="7">
                  <c:v>1.3696310724697507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DB0-44A0-A6C9-1F4F5FDED2DC}"/>
            </c:ext>
          </c:extLst>
        </c:ser>
        <c:ser>
          <c:idx val="2"/>
          <c:order val="1"/>
          <c:tx>
            <c:strRef>
              <c:f>'18. Jms - Ro-SCV'!$B$61</c:f>
              <c:strCache>
                <c:ptCount val="1"/>
                <c:pt idx="0">
                  <c:v>T. Desgaste L-150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'18. Jms - Ro-SCV'!$P$62:$P$69</c:f>
              <c:numCache>
                <c:formatCode>0.0</c:formatCode>
                <c:ptCount val="8"/>
                <c:pt idx="0">
                  <c:v>12.374651163065414</c:v>
                </c:pt>
                <c:pt idx="1">
                  <c:v>19.248597184868849</c:v>
                </c:pt>
                <c:pt idx="2">
                  <c:v>22.754643579231903</c:v>
                </c:pt>
                <c:pt idx="3">
                  <c:v>26.363630303810659</c:v>
                </c:pt>
                <c:pt idx="4">
                  <c:v>29.513414559441543</c:v>
                </c:pt>
                <c:pt idx="5">
                  <c:v>30.680741028623654</c:v>
                </c:pt>
                <c:pt idx="6">
                  <c:v>32.05649213443062</c:v>
                </c:pt>
                <c:pt idx="7">
                  <c:v>39.140052513068781</c:v>
                </c:pt>
              </c:numCache>
            </c:numRef>
          </c:xVal>
          <c:yVal>
            <c:numRef>
              <c:f>'18. Jms - Ro-SCV'!$O$62:$O$69</c:f>
              <c:numCache>
                <c:formatCode>0.00</c:formatCode>
                <c:ptCount val="8"/>
                <c:pt idx="0">
                  <c:v>27.4</c:v>
                </c:pt>
                <c:pt idx="1">
                  <c:v>25.603282828282826</c:v>
                </c:pt>
                <c:pt idx="2">
                  <c:v>24.809314627414903</c:v>
                </c:pt>
                <c:pt idx="3">
                  <c:v>22.293917231537637</c:v>
                </c:pt>
                <c:pt idx="4">
                  <c:v>18.113878819264631</c:v>
                </c:pt>
                <c:pt idx="5">
                  <c:v>16.89654275092937</c:v>
                </c:pt>
                <c:pt idx="6">
                  <c:v>15.290003018412316</c:v>
                </c:pt>
                <c:pt idx="7">
                  <c:v>15.704421498095643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DB0-44A0-A6C9-1F4F5FDED2DC}"/>
            </c:ext>
          </c:extLst>
        </c:ser>
        <c:ser>
          <c:idx val="0"/>
          <c:order val="2"/>
          <c:tx>
            <c:strRef>
              <c:f>'18. Jms - Ro-SCV'!$B$33</c:f>
              <c:strCache>
                <c:ptCount val="1"/>
                <c:pt idx="0">
                  <c:v>Cinetica Convencional</c:v>
                </c:pt>
              </c:strCache>
            </c:strRef>
          </c:tx>
          <c:spPr>
            <a:ln w="19050" cap="rnd">
              <a:solidFill>
                <a:srgbClr val="5ED4BE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'18. Jms - Ro-SCV'!$P$34:$P$38</c:f>
              <c:numCache>
                <c:formatCode>0.0</c:formatCode>
                <c:ptCount val="5"/>
                <c:pt idx="0">
                  <c:v>13.811357138732633</c:v>
                </c:pt>
                <c:pt idx="1">
                  <c:v>20.081021704712246</c:v>
                </c:pt>
                <c:pt idx="2">
                  <c:v>27.65376800948599</c:v>
                </c:pt>
                <c:pt idx="3">
                  <c:v>42.06803755185134</c:v>
                </c:pt>
                <c:pt idx="4">
                  <c:v>46.639751194141894</c:v>
                </c:pt>
              </c:numCache>
            </c:numRef>
          </c:xVal>
          <c:yVal>
            <c:numRef>
              <c:f>'18. Jms - Ro-SCV'!$O$34:$O$38</c:f>
              <c:numCache>
                <c:formatCode>0.00</c:formatCode>
                <c:ptCount val="5"/>
                <c:pt idx="0">
                  <c:v>11</c:v>
                </c:pt>
                <c:pt idx="1">
                  <c:v>10.330829015544042</c:v>
                </c:pt>
                <c:pt idx="2">
                  <c:v>10.32236842105263</c:v>
                </c:pt>
                <c:pt idx="3">
                  <c:v>9.0869035532994911</c:v>
                </c:pt>
                <c:pt idx="4">
                  <c:v>7.4054477611940284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B0-44A0-A6C9-1F4F5FDED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267951"/>
        <c:axId val="1129267471"/>
      </c:scatterChart>
      <c:valAx>
        <c:axId val="1129267951"/>
        <c:scaling>
          <c:orientation val="minMax"/>
          <c:max val="10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L"/>
                  <a:t>Recuperación,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ysClr val="windowText" lastClr="000000"/>
                  </a:solidFill>
                  <a:latin typeface="Source Sans Pro" panose="020B0503030403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129267471"/>
        <c:crosses val="autoZero"/>
        <c:crossBetween val="midCat"/>
      </c:valAx>
      <c:valAx>
        <c:axId val="112926747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L"/>
                  <a:t>Grade Fe,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ysClr val="windowText" lastClr="000000"/>
                  </a:solidFill>
                  <a:latin typeface="Source Sans Pro" panose="020B0503030403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129267951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292660487737866"/>
          <c:y val="0.19793482824766337"/>
          <c:w val="0.25471291234959342"/>
          <c:h val="0.15808687081034237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0" i="0" u="none" strike="noStrike" kern="1200" baseline="0">
              <a:solidFill>
                <a:sysClr val="windowText" lastClr="000000"/>
              </a:solidFill>
              <a:latin typeface="Source Sans Pro" panose="020B0503030403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 b="0" i="0" u="none" strike="noStrike" kern="1200" baseline="0">
          <a:solidFill>
            <a:sysClr val="windowText" lastClr="000000"/>
          </a:solidFill>
          <a:latin typeface="Source Sans Pro" panose="020B0503030403020204" pitchFamily="34" charset="0"/>
          <a:ea typeface="+mn-ea"/>
          <a:cs typeface="Arial" panose="020B0604020202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r>
              <a:rPr lang="es-CL" b="1"/>
              <a:t>Ley (%) vs Recuperación (%) Cu - Cola Rougher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ysClr val="windowText" lastClr="000000"/>
              </a:solidFill>
              <a:latin typeface="Source Sans Pro" panose="020B0503030403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567268540496887"/>
          <c:y val="0.17092165898617512"/>
          <c:w val="0.79192867003890621"/>
          <c:h val="0.6244548060524692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'18. Jms - Ro-SCV'!$B$33</c:f>
              <c:strCache>
                <c:ptCount val="1"/>
                <c:pt idx="0">
                  <c:v>Cinetica Convencional</c:v>
                </c:pt>
              </c:strCache>
            </c:strRef>
          </c:tx>
          <c:spPr>
            <a:ln w="19050" cap="rnd">
              <a:solidFill>
                <a:srgbClr val="5ED4BE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'18. Jms - Ro-SCV'!$K$34:$K$38</c:f>
              <c:numCache>
                <c:formatCode>0.0</c:formatCode>
                <c:ptCount val="5"/>
                <c:pt idx="0">
                  <c:v>6.926402418729535</c:v>
                </c:pt>
                <c:pt idx="1">
                  <c:v>10.265543330922288</c:v>
                </c:pt>
                <c:pt idx="2">
                  <c:v>14.313233656190091</c:v>
                </c:pt>
                <c:pt idx="3">
                  <c:v>26.045522245134372</c:v>
                </c:pt>
                <c:pt idx="4">
                  <c:v>34.602968001294151</c:v>
                </c:pt>
              </c:numCache>
            </c:numRef>
          </c:xVal>
          <c:yVal>
            <c:numRef>
              <c:f>'18. Jms - Ro-SCV'!$J$34:$J$38</c:f>
              <c:numCache>
                <c:formatCode>0.00</c:formatCode>
                <c:ptCount val="5"/>
                <c:pt idx="0">
                  <c:v>0.498</c:v>
                </c:pt>
                <c:pt idx="1">
                  <c:v>0.47675647668393784</c:v>
                </c:pt>
                <c:pt idx="2">
                  <c:v>0.48231203007518803</c:v>
                </c:pt>
                <c:pt idx="3">
                  <c:v>0.50788107324147935</c:v>
                </c:pt>
                <c:pt idx="4">
                  <c:v>0.49599093816631123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6A-41FA-AD2C-E8BC604B1B3E}"/>
            </c:ext>
          </c:extLst>
        </c:ser>
        <c:ser>
          <c:idx val="1"/>
          <c:order val="1"/>
          <c:tx>
            <c:strRef>
              <c:f>'18. Jms - Ro-SCV'!$B$46</c:f>
              <c:strCache>
                <c:ptCount val="1"/>
                <c:pt idx="0">
                  <c:v>T. Dilución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'18. Jms - Ro-SCV'!$K$47:$K$54</c:f>
              <c:numCache>
                <c:formatCode>0.0</c:formatCode>
                <c:ptCount val="8"/>
                <c:pt idx="0">
                  <c:v>5.6958346787213436</c:v>
                </c:pt>
                <c:pt idx="1">
                  <c:v>6.9911371405030458</c:v>
                </c:pt>
                <c:pt idx="2">
                  <c:v>8.7450035072873646</c:v>
                </c:pt>
                <c:pt idx="3">
                  <c:v>13.329343561993626</c:v>
                </c:pt>
                <c:pt idx="4">
                  <c:v>16.769231625711203</c:v>
                </c:pt>
                <c:pt idx="5">
                  <c:v>23.406281199084027</c:v>
                </c:pt>
                <c:pt idx="6">
                  <c:v>32.149577455379521</c:v>
                </c:pt>
                <c:pt idx="7">
                  <c:v>100</c:v>
                </c:pt>
              </c:numCache>
            </c:numRef>
          </c:xVal>
          <c:yVal>
            <c:numRef>
              <c:f>'18. Jms - Ro-SCV'!$J$47:$J$54</c:f>
              <c:numCache>
                <c:formatCode>0.00</c:formatCode>
                <c:ptCount val="8"/>
                <c:pt idx="0">
                  <c:v>1.512</c:v>
                </c:pt>
                <c:pt idx="1">
                  <c:v>1.4716289062499999</c:v>
                </c:pt>
                <c:pt idx="2">
                  <c:v>1.463506211180124</c:v>
                </c:pt>
                <c:pt idx="3">
                  <c:v>1.4902261410788382</c:v>
                </c:pt>
                <c:pt idx="4">
                  <c:v>1.5688489583333334</c:v>
                </c:pt>
                <c:pt idx="5">
                  <c:v>1.344683368869936</c:v>
                </c:pt>
                <c:pt idx="6">
                  <c:v>0.4398248286367098</c:v>
                </c:pt>
                <c:pt idx="7">
                  <c:v>0.13902582492711746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6A-41FA-AD2C-E8BC604B1B3E}"/>
            </c:ext>
          </c:extLst>
        </c:ser>
        <c:ser>
          <c:idx val="2"/>
          <c:order val="2"/>
          <c:tx>
            <c:strRef>
              <c:f>'18. Jms - Ro-SCV'!$B$61</c:f>
              <c:strCache>
                <c:ptCount val="1"/>
                <c:pt idx="0">
                  <c:v>T. Desgaste L-150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'18. Jms - Ro-SCV'!$K$62:$K$69</c:f>
              <c:numCache>
                <c:formatCode>0.0</c:formatCode>
                <c:ptCount val="8"/>
                <c:pt idx="0">
                  <c:v>8.0694286683202971</c:v>
                </c:pt>
                <c:pt idx="1">
                  <c:v>13.587760316425213</c:v>
                </c:pt>
                <c:pt idx="2">
                  <c:v>16.336946629383437</c:v>
                </c:pt>
                <c:pt idx="3">
                  <c:v>18.552398092303495</c:v>
                </c:pt>
                <c:pt idx="4">
                  <c:v>21.340470699828554</c:v>
                </c:pt>
                <c:pt idx="5">
                  <c:v>22.578837303794923</c:v>
                </c:pt>
                <c:pt idx="6">
                  <c:v>23.715327508408922</c:v>
                </c:pt>
                <c:pt idx="7">
                  <c:v>27.749140173284601</c:v>
                </c:pt>
              </c:numCache>
            </c:numRef>
          </c:xVal>
          <c:yVal>
            <c:numRef>
              <c:f>'18. Jms - Ro-SCV'!$J$62:$J$69</c:f>
              <c:numCache>
                <c:formatCode>0.00</c:formatCode>
                <c:ptCount val="8"/>
                <c:pt idx="0">
                  <c:v>1.6950000000000001</c:v>
                </c:pt>
                <c:pt idx="1">
                  <c:v>1.7145642536475871</c:v>
                </c:pt>
                <c:pt idx="2">
                  <c:v>1.6897596596136155</c:v>
                </c:pt>
                <c:pt idx="3">
                  <c:v>1.4883002140563684</c:v>
                </c:pt>
                <c:pt idx="4">
                  <c:v>1.2425255049197308</c:v>
                </c:pt>
                <c:pt idx="5">
                  <c:v>1.1796220957249073</c:v>
                </c:pt>
                <c:pt idx="6">
                  <c:v>1.0730748566254151</c:v>
                </c:pt>
                <c:pt idx="7">
                  <c:v>1.0562321625052902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06A-41FA-AD2C-E8BC604B1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267951"/>
        <c:axId val="1129267471"/>
      </c:scatterChart>
      <c:valAx>
        <c:axId val="1129267951"/>
        <c:scaling>
          <c:orientation val="minMax"/>
          <c:max val="10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L"/>
                  <a:t>Recuperación, %</a:t>
                </a:r>
              </a:p>
            </c:rich>
          </c:tx>
          <c:layout>
            <c:manualLayout>
              <c:xMode val="edge"/>
              <c:yMode val="edge"/>
              <c:x val="0.4848905333833593"/>
              <c:y val="0.891845655021074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ource Sans Pro" panose="020B0503030403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129267471"/>
        <c:crosses val="autoZero"/>
        <c:crossBetween val="midCat"/>
      </c:valAx>
      <c:valAx>
        <c:axId val="112926747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L"/>
                  <a:t>Ley  Cu, %</a:t>
                </a:r>
              </a:p>
            </c:rich>
          </c:tx>
          <c:layout>
            <c:manualLayout>
              <c:xMode val="edge"/>
              <c:yMode val="edge"/>
              <c:x val="2.4231988481986936E-2"/>
              <c:y val="0.38951095082271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ource Sans Pro" panose="020B0503030403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129267951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</c:legendEntry>
      <c:layout>
        <c:manualLayout>
          <c:xMode val="edge"/>
          <c:yMode val="edge"/>
          <c:x val="0.58976671590023522"/>
          <c:y val="0.18014044893284001"/>
          <c:w val="0.33110528067649236"/>
          <c:h val="0.21148059082104453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Source Sans Pro" panose="020B0503030403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0">
          <a:solidFill>
            <a:sysClr val="windowText" lastClr="000000"/>
          </a:solidFill>
          <a:latin typeface="Source Sans Pro" panose="020B0503030403020204" pitchFamily="34" charset="0"/>
          <a:cs typeface="Arial" panose="020B0604020202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r>
              <a:rPr lang="es-CL" b="1"/>
              <a:t>Ley (%) vs Recuperación (%) Cu - Cola Rougher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ysClr val="windowText" lastClr="000000"/>
              </a:solidFill>
              <a:latin typeface="Source Sans Pro" panose="020B0503030403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567268540496887"/>
          <c:y val="0.17092165898617512"/>
          <c:w val="0.79192867003890621"/>
          <c:h val="0.6244548060524692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'18. Jms - Ro-SCV'!$B$33</c:f>
              <c:strCache>
                <c:ptCount val="1"/>
                <c:pt idx="0">
                  <c:v>Cinetica Convencional</c:v>
                </c:pt>
              </c:strCache>
            </c:strRef>
          </c:tx>
          <c:spPr>
            <a:ln w="19050" cap="rnd">
              <a:solidFill>
                <a:srgbClr val="5ED4BE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'18. Jms - Ro-SCV'!$M$34:$M$38</c:f>
              <c:numCache>
                <c:formatCode>0.0</c:formatCode>
                <c:ptCount val="5"/>
                <c:pt idx="0">
                  <c:v>1.9909502262443437</c:v>
                </c:pt>
                <c:pt idx="1">
                  <c:v>3.0822464732499331</c:v>
                </c:pt>
                <c:pt idx="2">
                  <c:v>4.2480702688315137</c:v>
                </c:pt>
                <c:pt idx="3">
                  <c:v>7.3409635347351605</c:v>
                </c:pt>
                <c:pt idx="4">
                  <c:v>9.9866915091828581</c:v>
                </c:pt>
              </c:numCache>
            </c:numRef>
          </c:xVal>
          <c:yVal>
            <c:numRef>
              <c:f>'18. Jms - Ro-SCV'!$J$34:$J$38</c:f>
              <c:numCache>
                <c:formatCode>0.00</c:formatCode>
                <c:ptCount val="5"/>
                <c:pt idx="0">
                  <c:v>0.498</c:v>
                </c:pt>
                <c:pt idx="1">
                  <c:v>0.47675647668393784</c:v>
                </c:pt>
                <c:pt idx="2">
                  <c:v>0.48231203007518803</c:v>
                </c:pt>
                <c:pt idx="3">
                  <c:v>0.50788107324147935</c:v>
                </c:pt>
                <c:pt idx="4">
                  <c:v>0.49599093816631123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E3-4F56-A9C2-D65BF7A7ABC4}"/>
            </c:ext>
          </c:extLst>
        </c:ser>
        <c:ser>
          <c:idx val="1"/>
          <c:order val="1"/>
          <c:tx>
            <c:strRef>
              <c:f>'18. Jms - Ro-SCV'!$B$46</c:f>
              <c:strCache>
                <c:ptCount val="1"/>
                <c:pt idx="0">
                  <c:v>T. Dilución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'18. Jms - Ro-SCV'!$M$47:$M$53</c:f>
              <c:numCache>
                <c:formatCode>0.0</c:formatCode>
                <c:ptCount val="7"/>
                <c:pt idx="0">
                  <c:v>0.52372229818632132</c:v>
                </c:pt>
                <c:pt idx="1">
                  <c:v>0.66045767653053333</c:v>
                </c:pt>
                <c:pt idx="2">
                  <c:v>0.83073192126106143</c:v>
                </c:pt>
                <c:pt idx="3">
                  <c:v>1.2435179690926448</c:v>
                </c:pt>
                <c:pt idx="4">
                  <c:v>1.4860297721936999</c:v>
                </c:pt>
                <c:pt idx="5">
                  <c:v>2.4199582054126569</c:v>
                </c:pt>
                <c:pt idx="6">
                  <c:v>10.16227651505379</c:v>
                </c:pt>
              </c:numCache>
            </c:numRef>
          </c:xVal>
          <c:yVal>
            <c:numRef>
              <c:f>'18. Jms - Ro-SCV'!$J$47:$J$53</c:f>
              <c:numCache>
                <c:formatCode>0.00</c:formatCode>
                <c:ptCount val="7"/>
                <c:pt idx="0">
                  <c:v>1.512</c:v>
                </c:pt>
                <c:pt idx="1">
                  <c:v>1.4716289062499999</c:v>
                </c:pt>
                <c:pt idx="2">
                  <c:v>1.463506211180124</c:v>
                </c:pt>
                <c:pt idx="3">
                  <c:v>1.4902261410788382</c:v>
                </c:pt>
                <c:pt idx="4">
                  <c:v>1.5688489583333334</c:v>
                </c:pt>
                <c:pt idx="5">
                  <c:v>1.344683368869936</c:v>
                </c:pt>
                <c:pt idx="6">
                  <c:v>0.4398248286367098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1E3-4F56-A9C2-D65BF7A7ABC4}"/>
            </c:ext>
          </c:extLst>
        </c:ser>
        <c:ser>
          <c:idx val="2"/>
          <c:order val="2"/>
          <c:tx>
            <c:strRef>
              <c:f>'18. Jms - Ro-SCV'!$B$61</c:f>
              <c:strCache>
                <c:ptCount val="1"/>
                <c:pt idx="0">
                  <c:v>T. Desgaste L-150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'18. Jms - Ro-SCV'!$M$62:$M$69</c:f>
              <c:numCache>
                <c:formatCode>0.0</c:formatCode>
                <c:ptCount val="8"/>
                <c:pt idx="0">
                  <c:v>0.73340755330992546</c:v>
                </c:pt>
                <c:pt idx="1">
                  <c:v>1.2208615226513659</c:v>
                </c:pt>
                <c:pt idx="2">
                  <c:v>1.4894236533356171</c:v>
                </c:pt>
                <c:pt idx="3">
                  <c:v>1.9203562558876424</c:v>
                </c:pt>
                <c:pt idx="4">
                  <c:v>2.6458850732208616</c:v>
                </c:pt>
                <c:pt idx="5">
                  <c:v>2.9487025777168796</c:v>
                </c:pt>
                <c:pt idx="6">
                  <c:v>3.4046416031514948</c:v>
                </c:pt>
                <c:pt idx="7">
                  <c:v>4.0472724158602382</c:v>
                </c:pt>
              </c:numCache>
            </c:numRef>
          </c:xVal>
          <c:yVal>
            <c:numRef>
              <c:f>'18. Jms - Ro-SCV'!$J$62:$J$69</c:f>
              <c:numCache>
                <c:formatCode>0.00</c:formatCode>
                <c:ptCount val="8"/>
                <c:pt idx="0">
                  <c:v>1.6950000000000001</c:v>
                </c:pt>
                <c:pt idx="1">
                  <c:v>1.7145642536475871</c:v>
                </c:pt>
                <c:pt idx="2">
                  <c:v>1.6897596596136155</c:v>
                </c:pt>
                <c:pt idx="3">
                  <c:v>1.4883002140563684</c:v>
                </c:pt>
                <c:pt idx="4">
                  <c:v>1.2425255049197308</c:v>
                </c:pt>
                <c:pt idx="5">
                  <c:v>1.1796220957249073</c:v>
                </c:pt>
                <c:pt idx="6">
                  <c:v>1.0730748566254151</c:v>
                </c:pt>
                <c:pt idx="7">
                  <c:v>1.0562321625052902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1E3-4F56-A9C2-D65BF7A7A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267951"/>
        <c:axId val="1129267471"/>
      </c:scatterChart>
      <c:valAx>
        <c:axId val="1129267951"/>
        <c:scaling>
          <c:orientation val="minMax"/>
          <c:max val="1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L"/>
                  <a:t>Mass Pull, %</a:t>
                </a:r>
              </a:p>
            </c:rich>
          </c:tx>
          <c:layout>
            <c:manualLayout>
              <c:xMode val="edge"/>
              <c:yMode val="edge"/>
              <c:x val="0.4848905333833593"/>
              <c:y val="0.891845655021074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ource Sans Pro" panose="020B0503030403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129267471"/>
        <c:crosses val="autoZero"/>
        <c:crossBetween val="midCat"/>
        <c:majorUnit val="5"/>
      </c:valAx>
      <c:valAx>
        <c:axId val="112926747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L"/>
                  <a:t>Ley  Cu, %</a:t>
                </a:r>
              </a:p>
            </c:rich>
          </c:tx>
          <c:layout>
            <c:manualLayout>
              <c:xMode val="edge"/>
              <c:yMode val="edge"/>
              <c:x val="2.4231988481986936E-2"/>
              <c:y val="0.38951095082271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ource Sans Pro" panose="020B0503030403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129267951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</c:legendEntry>
      <c:layout>
        <c:manualLayout>
          <c:xMode val="edge"/>
          <c:yMode val="edge"/>
          <c:x val="0.57434436108166809"/>
          <c:y val="0.19911336247134706"/>
          <c:w val="0.34652766850702627"/>
          <c:h val="0.15074083000585861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Source Sans Pro" panose="020B0503030403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0">
          <a:solidFill>
            <a:sysClr val="windowText" lastClr="000000"/>
          </a:solidFill>
          <a:latin typeface="Source Sans Pro" panose="020B0503030403020204" pitchFamily="34" charset="0"/>
          <a:cs typeface="Arial" panose="020B0604020202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40" b="0" i="0" u="none" strike="noStrike" kern="1200" spc="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r>
              <a:rPr lang="es-CL" sz="1600" b="0" i="0" u="none" strike="noStrike" kern="1200" spc="0" baseline="0">
                <a:solidFill>
                  <a:sysClr val="windowText" lastClr="000000"/>
                </a:solidFill>
                <a:latin typeface="Source Sans Pro" panose="020B0503030403020204" pitchFamily="34" charset="0"/>
                <a:cs typeface="Arial" panose="020B0604020202020204" pitchFamily="34" charset="0"/>
              </a:rPr>
              <a:t>Ley (%) vs Recuperación (%) Fe - Cola Rougher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40" b="0" i="0" u="none" strike="noStrike" kern="1200" spc="0" baseline="0">
              <a:solidFill>
                <a:sysClr val="windowText" lastClr="000000"/>
              </a:solidFill>
              <a:latin typeface="Source Sans Pro" panose="020B0503030403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567268540496887"/>
          <c:y val="0.17092165898617512"/>
          <c:w val="0.79192867003890621"/>
          <c:h val="0.62445480605246928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'18. Jms - Ro-SCV'!$B$131</c:f>
              <c:strCache>
                <c:ptCount val="1"/>
                <c:pt idx="0">
                  <c:v>T. Dilución 2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'18. Jms - Ro-SCV'!$P$132:$P$138</c:f>
              <c:numCache>
                <c:formatCode>0.0</c:formatCode>
                <c:ptCount val="7"/>
                <c:pt idx="0">
                  <c:v>12.687530735297322</c:v>
                </c:pt>
                <c:pt idx="1">
                  <c:v>18.690452254002548</c:v>
                </c:pt>
                <c:pt idx="2">
                  <c:v>23.992790680209978</c:v>
                </c:pt>
                <c:pt idx="3">
                  <c:v>28.802879851937625</c:v>
                </c:pt>
                <c:pt idx="4">
                  <c:v>29.376282403784892</c:v>
                </c:pt>
                <c:pt idx="5">
                  <c:v>30.165383152575465</c:v>
                </c:pt>
                <c:pt idx="6">
                  <c:v>34.857254983660326</c:v>
                </c:pt>
              </c:numCache>
            </c:numRef>
          </c:xVal>
          <c:yVal>
            <c:numRef>
              <c:f>'18. Jms - Ro-SCV'!$O$132:$O$138</c:f>
              <c:numCache>
                <c:formatCode>0.00</c:formatCode>
                <c:ptCount val="7"/>
                <c:pt idx="0">
                  <c:v>25.8</c:v>
                </c:pt>
                <c:pt idx="1">
                  <c:v>25.049999999999997</c:v>
                </c:pt>
                <c:pt idx="2">
                  <c:v>24.515346534653464</c:v>
                </c:pt>
                <c:pt idx="3">
                  <c:v>21.617818181818183</c:v>
                </c:pt>
                <c:pt idx="4">
                  <c:v>20.380672268907563</c:v>
                </c:pt>
                <c:pt idx="5">
                  <c:v>16.005449871465299</c:v>
                </c:pt>
                <c:pt idx="6">
                  <c:v>4.9109351535836181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F5-44F1-8E4F-DF579FFEBE63}"/>
            </c:ext>
          </c:extLst>
        </c:ser>
        <c:ser>
          <c:idx val="2"/>
          <c:order val="1"/>
          <c:tx>
            <c:strRef>
              <c:f>'18. Jms - Ro-SCV'!$B$146</c:f>
              <c:strCache>
                <c:ptCount val="1"/>
                <c:pt idx="0">
                  <c:v>T. Desgaste 2 L-150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'18. Jms - Ro-SCV'!$P$147:$P$154</c:f>
              <c:numCache>
                <c:formatCode>0.0</c:formatCode>
                <c:ptCount val="8"/>
                <c:pt idx="0">
                  <c:v>1.7382594935439102</c:v>
                </c:pt>
                <c:pt idx="1">
                  <c:v>4.8201472065638429</c:v>
                </c:pt>
                <c:pt idx="2">
                  <c:v>7.5541965275047485</c:v>
                </c:pt>
                <c:pt idx="3">
                  <c:v>13.938486235574244</c:v>
                </c:pt>
                <c:pt idx="4">
                  <c:v>18.021899859954782</c:v>
                </c:pt>
                <c:pt idx="5">
                  <c:v>20.65186327504172</c:v>
                </c:pt>
                <c:pt idx="6">
                  <c:v>23.853762297471732</c:v>
                </c:pt>
                <c:pt idx="7">
                  <c:v>43.938962641365507</c:v>
                </c:pt>
              </c:numCache>
            </c:numRef>
          </c:xVal>
          <c:yVal>
            <c:numRef>
              <c:f>'18. Jms - Ro-SCV'!$O$147:$O$154</c:f>
              <c:numCache>
                <c:formatCode>0.00</c:formatCode>
                <c:ptCount val="8"/>
                <c:pt idx="0">
                  <c:v>27.099999999999998</c:v>
                </c:pt>
                <c:pt idx="1">
                  <c:v>28.766441821247891</c:v>
                </c:pt>
                <c:pt idx="2">
                  <c:v>24.938712686567165</c:v>
                </c:pt>
                <c:pt idx="3">
                  <c:v>26.492105263157896</c:v>
                </c:pt>
                <c:pt idx="4">
                  <c:v>21.323804747576059</c:v>
                </c:pt>
                <c:pt idx="5">
                  <c:v>10.837327995255039</c:v>
                </c:pt>
                <c:pt idx="6">
                  <c:v>5.5995263995754838</c:v>
                </c:pt>
                <c:pt idx="7">
                  <c:v>3.3420731602475926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1F5-44F1-8E4F-DF579FFEBE63}"/>
            </c:ext>
          </c:extLst>
        </c:ser>
        <c:ser>
          <c:idx val="0"/>
          <c:order val="2"/>
          <c:tx>
            <c:strRef>
              <c:f>'18. Jms - Ro-SCV'!$B$118</c:f>
              <c:strCache>
                <c:ptCount val="1"/>
                <c:pt idx="0">
                  <c:v>Cinetica Convencional</c:v>
                </c:pt>
              </c:strCache>
            </c:strRef>
          </c:tx>
          <c:spPr>
            <a:ln w="19050" cap="rnd">
              <a:solidFill>
                <a:srgbClr val="5ED4BE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'18. Jms - Ro-SCV'!$P$119:$P$123</c:f>
              <c:numCache>
                <c:formatCode>0.0</c:formatCode>
                <c:ptCount val="5"/>
                <c:pt idx="0">
                  <c:v>15.47232027546368</c:v>
                </c:pt>
                <c:pt idx="1">
                  <c:v>20.602958513568868</c:v>
                </c:pt>
                <c:pt idx="2">
                  <c:v>24.654361304322084</c:v>
                </c:pt>
                <c:pt idx="3">
                  <c:v>32.10863706456572</c:v>
                </c:pt>
                <c:pt idx="4">
                  <c:v>35.766576245074972</c:v>
                </c:pt>
              </c:numCache>
            </c:numRef>
          </c:xVal>
          <c:yVal>
            <c:numRef>
              <c:f>'18. Jms - Ro-SCV'!$O$119:$O$123</c:f>
              <c:numCache>
                <c:formatCode>0.00</c:formatCode>
                <c:ptCount val="5"/>
                <c:pt idx="0">
                  <c:v>12.8</c:v>
                </c:pt>
                <c:pt idx="1">
                  <c:v>11.502704918032787</c:v>
                </c:pt>
                <c:pt idx="2">
                  <c:v>9.9170275590551196</c:v>
                </c:pt>
                <c:pt idx="3">
                  <c:v>6.1433052434456936</c:v>
                </c:pt>
                <c:pt idx="4">
                  <c:v>4.4837484662576683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1F5-44F1-8E4F-DF579FFEB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267951"/>
        <c:axId val="1129267471"/>
      </c:scatterChart>
      <c:valAx>
        <c:axId val="1129267951"/>
        <c:scaling>
          <c:orientation val="minMax"/>
          <c:max val="10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L"/>
                  <a:t>Recuperación,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ysClr val="windowText" lastClr="000000"/>
                  </a:solidFill>
                  <a:latin typeface="Source Sans Pro" panose="020B0503030403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129267471"/>
        <c:crosses val="autoZero"/>
        <c:crossBetween val="midCat"/>
      </c:valAx>
      <c:valAx>
        <c:axId val="112926747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L"/>
                  <a:t>Grade Fe,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ysClr val="windowText" lastClr="000000"/>
                  </a:solidFill>
                  <a:latin typeface="Source Sans Pro" panose="020B0503030403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129267951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8018767738802979"/>
          <c:y val="0.19793482824766337"/>
          <c:w val="0.35745183983894241"/>
          <c:h val="0.15808687081034237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0" i="0" u="none" strike="noStrike" kern="1200" baseline="0">
              <a:solidFill>
                <a:sysClr val="windowText" lastClr="000000"/>
              </a:solidFill>
              <a:latin typeface="Source Sans Pro" panose="020B0503030403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 b="0" i="0" u="none" strike="noStrike" kern="1200" baseline="0">
          <a:solidFill>
            <a:sysClr val="windowText" lastClr="000000"/>
          </a:solidFill>
          <a:latin typeface="Source Sans Pro" panose="020B0503030403020204" pitchFamily="34" charset="0"/>
          <a:ea typeface="+mn-ea"/>
          <a:cs typeface="Arial" panose="020B0604020202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r>
              <a:rPr lang="es-CL" b="1"/>
              <a:t>Ley (%) vs Recuperación (%) Cu - Cola Rougher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ysClr val="windowText" lastClr="000000"/>
              </a:solidFill>
              <a:latin typeface="Source Sans Pro" panose="020B0503030403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567268540496887"/>
          <c:y val="0.17092165898617512"/>
          <c:w val="0.79192867003890621"/>
          <c:h val="0.6244548060524692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'18. Jms - Ro-SCV'!$B$118</c:f>
              <c:strCache>
                <c:ptCount val="1"/>
                <c:pt idx="0">
                  <c:v>Cinetica Convencional</c:v>
                </c:pt>
              </c:strCache>
            </c:strRef>
          </c:tx>
          <c:spPr>
            <a:ln w="19050" cap="rnd">
              <a:solidFill>
                <a:srgbClr val="5ED4BE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'18. Jms - Ro-SCV'!$K$119:$K$123</c:f>
              <c:numCache>
                <c:formatCode>0.0</c:formatCode>
                <c:ptCount val="5"/>
                <c:pt idx="0">
                  <c:v>15.094323306171056</c:v>
                </c:pt>
                <c:pt idx="1">
                  <c:v>21.478905846045198</c:v>
                </c:pt>
                <c:pt idx="2">
                  <c:v>25.96102396321832</c:v>
                </c:pt>
                <c:pt idx="3">
                  <c:v>38.289803426302434</c:v>
                </c:pt>
                <c:pt idx="4">
                  <c:v>45.579839260330886</c:v>
                </c:pt>
              </c:numCache>
            </c:numRef>
          </c:xVal>
          <c:yVal>
            <c:numRef>
              <c:f>'18. Jms - Ro-SCV'!$J$119:$J$123</c:f>
              <c:numCache>
                <c:formatCode>0.00</c:formatCode>
                <c:ptCount val="5"/>
                <c:pt idx="0">
                  <c:v>1.696</c:v>
                </c:pt>
                <c:pt idx="1">
                  <c:v>1.6286967213114751</c:v>
                </c:pt>
                <c:pt idx="2">
                  <c:v>1.4182972440944881</c:v>
                </c:pt>
                <c:pt idx="3">
                  <c:v>0.99499531835206001</c:v>
                </c:pt>
                <c:pt idx="4">
                  <c:v>0.77605828220858897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947-492C-8136-538561B3FC23}"/>
            </c:ext>
          </c:extLst>
        </c:ser>
        <c:ser>
          <c:idx val="1"/>
          <c:order val="1"/>
          <c:tx>
            <c:strRef>
              <c:f>'18. Jms - Ro-SCV'!$B$131</c:f>
              <c:strCache>
                <c:ptCount val="1"/>
                <c:pt idx="0">
                  <c:v>T. Dilución 2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'18. Jms - Ro-SCV'!$K$132:$K$138</c:f>
              <c:numCache>
                <c:formatCode>0.0</c:formatCode>
                <c:ptCount val="7"/>
                <c:pt idx="0">
                  <c:v>13.056094199558107</c:v>
                </c:pt>
                <c:pt idx="1">
                  <c:v>20.034001358500355</c:v>
                </c:pt>
                <c:pt idx="2">
                  <c:v>26.321619636887402</c:v>
                </c:pt>
                <c:pt idx="3">
                  <c:v>32.401963205102049</c:v>
                </c:pt>
                <c:pt idx="4">
                  <c:v>33.099212588558217</c:v>
                </c:pt>
                <c:pt idx="5">
                  <c:v>34.501335620762291</c:v>
                </c:pt>
                <c:pt idx="6">
                  <c:v>38.935540457844091</c:v>
                </c:pt>
              </c:numCache>
            </c:numRef>
          </c:xVal>
          <c:yVal>
            <c:numRef>
              <c:f>'18. Jms - Ro-SCV'!$J$132:$J$139</c:f>
              <c:numCache>
                <c:formatCode>0.00</c:formatCode>
                <c:ptCount val="8"/>
                <c:pt idx="0">
                  <c:v>3.2149999999999999</c:v>
                </c:pt>
                <c:pt idx="1">
                  <c:v>3.2514772727272727</c:v>
                </c:pt>
                <c:pt idx="2">
                  <c:v>3.2568292079207919</c:v>
                </c:pt>
                <c:pt idx="3">
                  <c:v>2.9449123636363637</c:v>
                </c:pt>
                <c:pt idx="4">
                  <c:v>2.7807659495798323</c:v>
                </c:pt>
                <c:pt idx="5">
                  <c:v>2.2167670179948589</c:v>
                </c:pt>
                <c:pt idx="6">
                  <c:v>0.66426646416382262</c:v>
                </c:pt>
                <c:pt idx="7">
                  <c:v>0.12729574830018592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4947-492C-8136-538561B3FC23}"/>
            </c:ext>
          </c:extLst>
        </c:ser>
        <c:ser>
          <c:idx val="2"/>
          <c:order val="2"/>
          <c:tx>
            <c:strRef>
              <c:f>'18. Jms - Ro-SCV'!$B$146</c:f>
              <c:strCache>
                <c:ptCount val="1"/>
                <c:pt idx="0">
                  <c:v>T. Desgaste 2 L-150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'18. Jms - Ro-SCV'!$K$147:$K$154</c:f>
              <c:numCache>
                <c:formatCode>0.0</c:formatCode>
                <c:ptCount val="8"/>
                <c:pt idx="0">
                  <c:v>1.8653259553277795</c:v>
                </c:pt>
                <c:pt idx="1">
                  <c:v>4.8075117205429692</c:v>
                </c:pt>
                <c:pt idx="2">
                  <c:v>9.1878493103918082</c:v>
                </c:pt>
                <c:pt idx="3">
                  <c:v>14.869886183045161</c:v>
                </c:pt>
                <c:pt idx="4">
                  <c:v>21.772907819665065</c:v>
                </c:pt>
                <c:pt idx="5">
                  <c:v>28.708316356952245</c:v>
                </c:pt>
                <c:pt idx="6">
                  <c:v>34.098314647643605</c:v>
                </c:pt>
                <c:pt idx="7">
                  <c:v>68.373616473246443</c:v>
                </c:pt>
              </c:numCache>
              <c:extLst xmlns:c15="http://schemas.microsoft.com/office/drawing/2012/chart"/>
            </c:numRef>
          </c:xVal>
          <c:yVal>
            <c:numRef>
              <c:f>'18. Jms - Ro-SCV'!$J$147:$J$154</c:f>
              <c:numCache>
                <c:formatCode>0.00</c:formatCode>
                <c:ptCount val="8"/>
                <c:pt idx="0">
                  <c:v>3.5439999999999996</c:v>
                </c:pt>
                <c:pt idx="1">
                  <c:v>3.4964755480607086</c:v>
                </c:pt>
                <c:pt idx="2">
                  <c:v>3.6964421641791048</c:v>
                </c:pt>
                <c:pt idx="3">
                  <c:v>3.444235230934479</c:v>
                </c:pt>
                <c:pt idx="4">
                  <c:v>3.1395315947843527</c:v>
                </c:pt>
                <c:pt idx="5">
                  <c:v>1.8359252669039146</c:v>
                </c:pt>
                <c:pt idx="6">
                  <c:v>0.97546484478641549</c:v>
                </c:pt>
                <c:pt idx="7">
                  <c:v>0.63378069119669878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4947-492C-8136-538561B3F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267951"/>
        <c:axId val="1129267471"/>
        <c:extLst/>
      </c:scatterChart>
      <c:valAx>
        <c:axId val="1129267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L"/>
                  <a:t>Recuperación, %</a:t>
                </a:r>
              </a:p>
            </c:rich>
          </c:tx>
          <c:layout>
            <c:manualLayout>
              <c:xMode val="edge"/>
              <c:yMode val="edge"/>
              <c:x val="0.4848905333833593"/>
              <c:y val="0.891845655021074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ource Sans Pro" panose="020B0503030403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129267471"/>
        <c:crosses val="autoZero"/>
        <c:crossBetween val="midCat"/>
      </c:valAx>
      <c:valAx>
        <c:axId val="112926747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L"/>
                  <a:t>Ley  Cu, %</a:t>
                </a:r>
              </a:p>
            </c:rich>
          </c:tx>
          <c:layout>
            <c:manualLayout>
              <c:xMode val="edge"/>
              <c:yMode val="edge"/>
              <c:x val="2.4231988481986936E-2"/>
              <c:y val="0.38951095082271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ource Sans Pro" panose="020B0503030403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129267951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</c:legendEntry>
      <c:layout>
        <c:manualLayout>
          <c:xMode val="edge"/>
          <c:yMode val="edge"/>
          <c:x val="0.60596276820531758"/>
          <c:y val="0.19257596779147876"/>
          <c:w val="0.33505799991396173"/>
          <c:h val="0.18640465618286564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Source Sans Pro" panose="020B0503030403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0">
          <a:solidFill>
            <a:sysClr val="windowText" lastClr="000000"/>
          </a:solidFill>
          <a:latin typeface="Source Sans Pro" panose="020B0503030403020204" pitchFamily="34" charset="0"/>
          <a:cs typeface="Arial" panose="020B0604020202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r>
              <a:rPr lang="es-CL" b="1"/>
              <a:t>Ley (%) vs Mass Pull - Cola Rougher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ysClr val="windowText" lastClr="000000"/>
              </a:solidFill>
              <a:latin typeface="Source Sans Pro" panose="020B0503030403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567268540496887"/>
          <c:y val="0.17092165898617512"/>
          <c:w val="0.79192867003890621"/>
          <c:h val="0.6244548060524692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'18. Jms - Ro-SCV'!$B$118</c:f>
              <c:strCache>
                <c:ptCount val="1"/>
                <c:pt idx="0">
                  <c:v>Cinetica Convencional</c:v>
                </c:pt>
              </c:strCache>
            </c:strRef>
          </c:tx>
          <c:spPr>
            <a:ln w="19050" cap="rnd">
              <a:solidFill>
                <a:srgbClr val="5ED4BE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'18. Jms - Ro-SCV'!$M$119:$M$123</c:f>
              <c:numCache>
                <c:formatCode>0.0</c:formatCode>
                <c:ptCount val="5"/>
                <c:pt idx="0">
                  <c:v>1.2595614482406936</c:v>
                </c:pt>
                <c:pt idx="1">
                  <c:v>1.866394696583376</c:v>
                </c:pt>
                <c:pt idx="2">
                  <c:v>2.5905150433452322</c:v>
                </c:pt>
                <c:pt idx="3">
                  <c:v>5.4462009178990307</c:v>
                </c:pt>
                <c:pt idx="4">
                  <c:v>8.312085670576236</c:v>
                </c:pt>
              </c:numCache>
            </c:numRef>
          </c:xVal>
          <c:yVal>
            <c:numRef>
              <c:f>'18. Jms - Ro-SCV'!$J$119:$J$123</c:f>
              <c:numCache>
                <c:formatCode>0.00</c:formatCode>
                <c:ptCount val="5"/>
                <c:pt idx="0">
                  <c:v>1.696</c:v>
                </c:pt>
                <c:pt idx="1">
                  <c:v>1.6286967213114751</c:v>
                </c:pt>
                <c:pt idx="2">
                  <c:v>1.4182972440944881</c:v>
                </c:pt>
                <c:pt idx="3">
                  <c:v>0.99499531835206001</c:v>
                </c:pt>
                <c:pt idx="4">
                  <c:v>0.77605828220858897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20-48E6-89D6-A60A8FA8FC5B}"/>
            </c:ext>
          </c:extLst>
        </c:ser>
        <c:ser>
          <c:idx val="1"/>
          <c:order val="1"/>
          <c:tx>
            <c:strRef>
              <c:f>'18. Jms - Ro-SCV'!$B$131</c:f>
              <c:strCache>
                <c:ptCount val="1"/>
                <c:pt idx="0">
                  <c:v>T. Dilución 2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'18. Jms - Ro-SCV'!$M$132:$M$138</c:f>
              <c:numCache>
                <c:formatCode>0.0</c:formatCode>
                <c:ptCount val="7"/>
                <c:pt idx="0">
                  <c:v>0.51694721026764112</c:v>
                </c:pt>
                <c:pt idx="1">
                  <c:v>0.78433369833711064</c:v>
                </c:pt>
                <c:pt idx="2">
                  <c:v>1.0288013445720543</c:v>
                </c:pt>
                <c:pt idx="3">
                  <c:v>1.4005958898876978</c:v>
                </c:pt>
                <c:pt idx="4">
                  <c:v>1.5151900990603275</c:v>
                </c:pt>
                <c:pt idx="5">
                  <c:v>1.9812065496956888</c:v>
                </c:pt>
                <c:pt idx="6">
                  <c:v>7.461356286129007</c:v>
                </c:pt>
              </c:numCache>
            </c:numRef>
          </c:xVal>
          <c:yVal>
            <c:numRef>
              <c:f>'18. Jms - Ro-SCV'!$J$132:$J$138</c:f>
              <c:numCache>
                <c:formatCode>0.00</c:formatCode>
                <c:ptCount val="7"/>
                <c:pt idx="0">
                  <c:v>3.2149999999999999</c:v>
                </c:pt>
                <c:pt idx="1">
                  <c:v>3.2514772727272727</c:v>
                </c:pt>
                <c:pt idx="2">
                  <c:v>3.2568292079207919</c:v>
                </c:pt>
                <c:pt idx="3">
                  <c:v>2.9449123636363637</c:v>
                </c:pt>
                <c:pt idx="4">
                  <c:v>2.7807659495798323</c:v>
                </c:pt>
                <c:pt idx="5">
                  <c:v>2.2167670179948589</c:v>
                </c:pt>
                <c:pt idx="6">
                  <c:v>0.66426646416382262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920-48E6-89D6-A60A8FA8FC5B}"/>
            </c:ext>
          </c:extLst>
        </c:ser>
        <c:ser>
          <c:idx val="2"/>
          <c:order val="2"/>
          <c:tx>
            <c:strRef>
              <c:f>'18. Jms - Ro-SCV'!$B$146</c:f>
              <c:strCache>
                <c:ptCount val="1"/>
                <c:pt idx="0">
                  <c:v>T. Desgaste 2 L-150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'18. Jms - Ro-SCV'!$M$147:$M$154</c:f>
              <c:numCache>
                <c:formatCode>0.0</c:formatCode>
                <c:ptCount val="8"/>
                <c:pt idx="0">
                  <c:v>7.7072468491960019E-2</c:v>
                </c:pt>
                <c:pt idx="1">
                  <c:v>0.20133909169926117</c:v>
                </c:pt>
                <c:pt idx="2">
                  <c:v>0.36397218600608428</c:v>
                </c:pt>
                <c:pt idx="3">
                  <c:v>0.63219795740982176</c:v>
                </c:pt>
                <c:pt idx="4">
                  <c:v>1.0155231421121251</c:v>
                </c:pt>
                <c:pt idx="5">
                  <c:v>2.2897653194263365</c:v>
                </c:pt>
                <c:pt idx="6">
                  <c:v>5.118698392003477</c:v>
                </c:pt>
                <c:pt idx="7">
                  <c:v>15.797479356801391</c:v>
                </c:pt>
              </c:numCache>
            </c:numRef>
          </c:xVal>
          <c:yVal>
            <c:numRef>
              <c:f>'18. Jms - Ro-SCV'!$J$147:$J$154</c:f>
              <c:numCache>
                <c:formatCode>0.00</c:formatCode>
                <c:ptCount val="8"/>
                <c:pt idx="0">
                  <c:v>3.5439999999999996</c:v>
                </c:pt>
                <c:pt idx="1">
                  <c:v>3.4964755480607086</c:v>
                </c:pt>
                <c:pt idx="2">
                  <c:v>3.6964421641791048</c:v>
                </c:pt>
                <c:pt idx="3">
                  <c:v>3.444235230934479</c:v>
                </c:pt>
                <c:pt idx="4">
                  <c:v>3.1395315947843527</c:v>
                </c:pt>
                <c:pt idx="5">
                  <c:v>1.8359252669039146</c:v>
                </c:pt>
                <c:pt idx="6">
                  <c:v>0.97546484478641549</c:v>
                </c:pt>
                <c:pt idx="7">
                  <c:v>0.63378069119669878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920-48E6-89D6-A60A8FA8FC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267951"/>
        <c:axId val="1129267471"/>
      </c:scatterChart>
      <c:valAx>
        <c:axId val="1129267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L"/>
                  <a:t>Mass Pull, %</a:t>
                </a:r>
              </a:p>
            </c:rich>
          </c:tx>
          <c:layout>
            <c:manualLayout>
              <c:xMode val="edge"/>
              <c:yMode val="edge"/>
              <c:x val="0.4848905333833593"/>
              <c:y val="0.891845655021074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ource Sans Pro" panose="020B0503030403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129267471"/>
        <c:crosses val="autoZero"/>
        <c:crossBetween val="midCat"/>
        <c:majorUnit val="5"/>
      </c:valAx>
      <c:valAx>
        <c:axId val="112926747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L"/>
                  <a:t>Ley  Cu, %</a:t>
                </a:r>
              </a:p>
            </c:rich>
          </c:tx>
          <c:layout>
            <c:manualLayout>
              <c:xMode val="edge"/>
              <c:yMode val="edge"/>
              <c:x val="2.4231988481986936E-2"/>
              <c:y val="0.38951095082271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ource Sans Pro" panose="020B0503030403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129267951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</c:legendEntry>
      <c:layout>
        <c:manualLayout>
          <c:xMode val="edge"/>
          <c:yMode val="edge"/>
          <c:x val="0.58820152542929705"/>
          <c:y val="0.18419669145887863"/>
          <c:w val="0.33865954562824335"/>
          <c:h val="0.159690724736226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Source Sans Pro" panose="020B0503030403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0">
          <a:solidFill>
            <a:sysClr val="windowText" lastClr="000000"/>
          </a:solidFill>
          <a:latin typeface="Source Sans Pro" panose="020B0503030403020204" pitchFamily="34" charset="0"/>
          <a:cs typeface="Arial" panose="020B0604020202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r>
              <a:rPr lang="es-CL" sz="1600" b="1" i="0" u="none" strike="noStrike" kern="1200" spc="0" baseline="0">
                <a:solidFill>
                  <a:sysClr val="windowText" lastClr="000000"/>
                </a:solidFill>
                <a:latin typeface="Source Sans Pro" panose="020B0503030403020204" pitchFamily="34" charset="0"/>
                <a:cs typeface="Arial" panose="020B0604020202020204" pitchFamily="34" charset="0"/>
              </a:rPr>
              <a:t>Ley (%) vs Recuperación (%) Cu - Cola Rougher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67268540496887"/>
          <c:y val="0.17092165898617512"/>
          <c:w val="0.79192867003890621"/>
          <c:h val="0.62445480605246928"/>
        </c:manualLayout>
      </c:layout>
      <c:scatterChart>
        <c:scatterStyle val="smoothMarker"/>
        <c:varyColors val="0"/>
        <c:ser>
          <c:idx val="3"/>
          <c:order val="0"/>
          <c:tx>
            <c:v>Cinética Convencional Cond #1</c:v>
          </c:tx>
          <c:spPr>
            <a:ln w="25400">
              <a:solidFill>
                <a:srgbClr val="5ED4BE"/>
              </a:solidFill>
              <a:prstDash val="solid"/>
            </a:ln>
          </c:spPr>
          <c:marker>
            <c:symbol val="none"/>
          </c:marker>
          <c:xVal>
            <c:numRef>
              <c:f>'18. Jms - Ro-SCV'!$K$34:$K$38</c:f>
              <c:numCache>
                <c:formatCode>0.0</c:formatCode>
                <c:ptCount val="5"/>
                <c:pt idx="0">
                  <c:v>6.926402418729535</c:v>
                </c:pt>
                <c:pt idx="1">
                  <c:v>10.265543330922288</c:v>
                </c:pt>
                <c:pt idx="2">
                  <c:v>14.313233656190091</c:v>
                </c:pt>
                <c:pt idx="3">
                  <c:v>26.045522245134372</c:v>
                </c:pt>
                <c:pt idx="4">
                  <c:v>34.602968001294151</c:v>
                </c:pt>
              </c:numCache>
            </c:numRef>
          </c:xVal>
          <c:yVal>
            <c:numRef>
              <c:f>'18. Jms - Ro-SCV'!$J$34:$J$38</c:f>
              <c:numCache>
                <c:formatCode>0.00</c:formatCode>
                <c:ptCount val="5"/>
                <c:pt idx="0">
                  <c:v>0.498</c:v>
                </c:pt>
                <c:pt idx="1">
                  <c:v>0.47675647668393784</c:v>
                </c:pt>
                <c:pt idx="2">
                  <c:v>0.48231203007518803</c:v>
                </c:pt>
                <c:pt idx="3">
                  <c:v>0.50788107324147935</c:v>
                </c:pt>
                <c:pt idx="4">
                  <c:v>0.49599093816631123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264-4C47-95EB-9D9C22D2BDFF}"/>
            </c:ext>
          </c:extLst>
        </c:ser>
        <c:ser>
          <c:idx val="4"/>
          <c:order val="1"/>
          <c:tx>
            <c:v>T. Dilución Cond. #1</c:v>
          </c:tx>
          <c:spPr>
            <a:ln w="1905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'18. Jms - Ro-SCV'!$K$47:$K$53</c:f>
              <c:numCache>
                <c:formatCode>0.0</c:formatCode>
                <c:ptCount val="7"/>
                <c:pt idx="0">
                  <c:v>5.6958346787213436</c:v>
                </c:pt>
                <c:pt idx="1">
                  <c:v>6.9911371405030458</c:v>
                </c:pt>
                <c:pt idx="2">
                  <c:v>8.7450035072873646</c:v>
                </c:pt>
                <c:pt idx="3">
                  <c:v>13.329343561993626</c:v>
                </c:pt>
                <c:pt idx="4">
                  <c:v>16.769231625711203</c:v>
                </c:pt>
                <c:pt idx="5">
                  <c:v>23.406281199084027</c:v>
                </c:pt>
                <c:pt idx="6">
                  <c:v>32.149577455379521</c:v>
                </c:pt>
              </c:numCache>
            </c:numRef>
          </c:xVal>
          <c:yVal>
            <c:numRef>
              <c:f>'18. Jms - Ro-SCV'!$J$47:$J$54</c:f>
              <c:numCache>
                <c:formatCode>0.00</c:formatCode>
                <c:ptCount val="8"/>
                <c:pt idx="0">
                  <c:v>1.512</c:v>
                </c:pt>
                <c:pt idx="1">
                  <c:v>1.4716289062499999</c:v>
                </c:pt>
                <c:pt idx="2">
                  <c:v>1.463506211180124</c:v>
                </c:pt>
                <c:pt idx="3">
                  <c:v>1.4902261410788382</c:v>
                </c:pt>
                <c:pt idx="4">
                  <c:v>1.5688489583333334</c:v>
                </c:pt>
                <c:pt idx="5">
                  <c:v>1.344683368869936</c:v>
                </c:pt>
                <c:pt idx="6">
                  <c:v>0.4398248286367098</c:v>
                </c:pt>
                <c:pt idx="7">
                  <c:v>0.13902582492711746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A-3264-4C47-95EB-9D9C22D2BDFF}"/>
            </c:ext>
          </c:extLst>
        </c:ser>
        <c:ser>
          <c:idx val="5"/>
          <c:order val="2"/>
          <c:tx>
            <c:v>T. Desgaste L-150 Cond. #1</c:v>
          </c:tx>
          <c:spPr>
            <a:ln w="19050">
              <a:solidFill>
                <a:srgbClr val="FFC000"/>
              </a:solidFill>
            </a:ln>
          </c:spPr>
          <c:marker>
            <c:symbol val="circle"/>
            <c:size val="5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</c:spPr>
          </c:marker>
          <c:xVal>
            <c:numRef>
              <c:f>'18. Jms - Ro-SCV'!$K$62:$K$69</c:f>
              <c:numCache>
                <c:formatCode>0.0</c:formatCode>
                <c:ptCount val="8"/>
                <c:pt idx="0">
                  <c:v>8.0694286683202971</c:v>
                </c:pt>
                <c:pt idx="1">
                  <c:v>13.587760316425213</c:v>
                </c:pt>
                <c:pt idx="2">
                  <c:v>16.336946629383437</c:v>
                </c:pt>
                <c:pt idx="3">
                  <c:v>18.552398092303495</c:v>
                </c:pt>
                <c:pt idx="4">
                  <c:v>21.340470699828554</c:v>
                </c:pt>
                <c:pt idx="5">
                  <c:v>22.578837303794923</c:v>
                </c:pt>
                <c:pt idx="6">
                  <c:v>23.715327508408922</c:v>
                </c:pt>
                <c:pt idx="7">
                  <c:v>27.749140173284601</c:v>
                </c:pt>
              </c:numCache>
              <c:extLst xmlns:c15="http://schemas.microsoft.com/office/drawing/2012/chart"/>
            </c:numRef>
          </c:xVal>
          <c:yVal>
            <c:numRef>
              <c:f>'18. Jms - Ro-SCV'!$J$62:$J$69</c:f>
              <c:numCache>
                <c:formatCode>0.00</c:formatCode>
                <c:ptCount val="8"/>
                <c:pt idx="0">
                  <c:v>1.6950000000000001</c:v>
                </c:pt>
                <c:pt idx="1">
                  <c:v>1.7145642536475871</c:v>
                </c:pt>
                <c:pt idx="2">
                  <c:v>1.6897596596136155</c:v>
                </c:pt>
                <c:pt idx="3">
                  <c:v>1.4883002140563684</c:v>
                </c:pt>
                <c:pt idx="4">
                  <c:v>1.2425255049197308</c:v>
                </c:pt>
                <c:pt idx="5">
                  <c:v>1.1796220957249073</c:v>
                </c:pt>
                <c:pt idx="6">
                  <c:v>1.0730748566254151</c:v>
                </c:pt>
                <c:pt idx="7">
                  <c:v>1.0562321625052902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B-3264-4C47-95EB-9D9C22D2BDFF}"/>
            </c:ext>
          </c:extLst>
        </c:ser>
        <c:ser>
          <c:idx val="0"/>
          <c:order val="3"/>
          <c:tx>
            <c:v>Cinética Convencional Cond #2</c:v>
          </c:tx>
          <c:spPr>
            <a:ln w="25400" cap="rnd">
              <a:solidFill>
                <a:srgbClr val="5ED4BE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'18. Jms - Ro-SCV'!$K$119:$K$123</c:f>
              <c:numCache>
                <c:formatCode>0.0</c:formatCode>
                <c:ptCount val="5"/>
                <c:pt idx="0">
                  <c:v>15.094323306171056</c:v>
                </c:pt>
                <c:pt idx="1">
                  <c:v>21.478905846045198</c:v>
                </c:pt>
                <c:pt idx="2">
                  <c:v>25.96102396321832</c:v>
                </c:pt>
                <c:pt idx="3">
                  <c:v>38.289803426302434</c:v>
                </c:pt>
                <c:pt idx="4">
                  <c:v>45.579839260330886</c:v>
                </c:pt>
              </c:numCache>
            </c:numRef>
          </c:xVal>
          <c:yVal>
            <c:numRef>
              <c:f>'18. Jms - Ro-SCV'!$J$119:$J$123</c:f>
              <c:numCache>
                <c:formatCode>0.00</c:formatCode>
                <c:ptCount val="5"/>
                <c:pt idx="0">
                  <c:v>1.696</c:v>
                </c:pt>
                <c:pt idx="1">
                  <c:v>1.6286967213114751</c:v>
                </c:pt>
                <c:pt idx="2">
                  <c:v>1.4182972440944881</c:v>
                </c:pt>
                <c:pt idx="3">
                  <c:v>0.99499531835206001</c:v>
                </c:pt>
                <c:pt idx="4">
                  <c:v>0.77605828220858897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264-4C47-95EB-9D9C22D2BDFF}"/>
            </c:ext>
          </c:extLst>
        </c:ser>
        <c:ser>
          <c:idx val="1"/>
          <c:order val="4"/>
          <c:tx>
            <c:v>T. Dilución Cond. #2</c:v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'18. Jms - Ro-SCV'!$K$132:$K$138</c:f>
              <c:numCache>
                <c:formatCode>0.0</c:formatCode>
                <c:ptCount val="7"/>
                <c:pt idx="0">
                  <c:v>13.056094199558107</c:v>
                </c:pt>
                <c:pt idx="1">
                  <c:v>20.034001358500355</c:v>
                </c:pt>
                <c:pt idx="2">
                  <c:v>26.321619636887402</c:v>
                </c:pt>
                <c:pt idx="3">
                  <c:v>32.401963205102049</c:v>
                </c:pt>
                <c:pt idx="4">
                  <c:v>33.099212588558217</c:v>
                </c:pt>
                <c:pt idx="5">
                  <c:v>34.501335620762291</c:v>
                </c:pt>
                <c:pt idx="6">
                  <c:v>38.935540457844091</c:v>
                </c:pt>
              </c:numCache>
            </c:numRef>
          </c:xVal>
          <c:yVal>
            <c:numRef>
              <c:f>'18. Jms - Ro-SCV'!$J$132:$J$139</c:f>
              <c:numCache>
                <c:formatCode>0.00</c:formatCode>
                <c:ptCount val="8"/>
                <c:pt idx="0">
                  <c:v>3.2149999999999999</c:v>
                </c:pt>
                <c:pt idx="1">
                  <c:v>3.2514772727272727</c:v>
                </c:pt>
                <c:pt idx="2">
                  <c:v>3.2568292079207919</c:v>
                </c:pt>
                <c:pt idx="3">
                  <c:v>2.9449123636363637</c:v>
                </c:pt>
                <c:pt idx="4">
                  <c:v>2.7807659495798323</c:v>
                </c:pt>
                <c:pt idx="5">
                  <c:v>2.2167670179948589</c:v>
                </c:pt>
                <c:pt idx="6">
                  <c:v>0.66426646416382262</c:v>
                </c:pt>
                <c:pt idx="7">
                  <c:v>0.12729574830018592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6-3264-4C47-95EB-9D9C22D2BDFF}"/>
            </c:ext>
          </c:extLst>
        </c:ser>
        <c:ser>
          <c:idx val="2"/>
          <c:order val="5"/>
          <c:tx>
            <c:v>T. Desgaste L-150 Cond. #2</c:v>
          </c:tx>
          <c:spPr>
            <a:ln w="19050" cap="rnd">
              <a:solidFill>
                <a:srgbClr val="FFC000"/>
              </a:solidFill>
              <a:prstDash val="dash"/>
              <a:round/>
            </a:ln>
            <a:effectLst/>
          </c:spPr>
          <c:marker>
            <c:symbol val="x"/>
            <c:size val="5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</c:spPr>
          </c:marker>
          <c:xVal>
            <c:numRef>
              <c:f>'18. Jms - Ro-SCV'!$K$147:$K$154</c:f>
              <c:numCache>
                <c:formatCode>0.0</c:formatCode>
                <c:ptCount val="8"/>
                <c:pt idx="0">
                  <c:v>1.8653259553277795</c:v>
                </c:pt>
                <c:pt idx="1">
                  <c:v>4.8075117205429692</c:v>
                </c:pt>
                <c:pt idx="2">
                  <c:v>9.1878493103918082</c:v>
                </c:pt>
                <c:pt idx="3">
                  <c:v>14.869886183045161</c:v>
                </c:pt>
                <c:pt idx="4">
                  <c:v>21.772907819665065</c:v>
                </c:pt>
                <c:pt idx="5">
                  <c:v>28.708316356952245</c:v>
                </c:pt>
                <c:pt idx="6">
                  <c:v>34.098314647643605</c:v>
                </c:pt>
                <c:pt idx="7">
                  <c:v>68.373616473246443</c:v>
                </c:pt>
              </c:numCache>
              <c:extLst xmlns:c15="http://schemas.microsoft.com/office/drawing/2012/chart"/>
            </c:numRef>
          </c:xVal>
          <c:yVal>
            <c:numRef>
              <c:f>'18. Jms - Ro-SCV'!$J$147:$J$154</c:f>
              <c:numCache>
                <c:formatCode>0.00</c:formatCode>
                <c:ptCount val="8"/>
                <c:pt idx="0">
                  <c:v>3.5439999999999996</c:v>
                </c:pt>
                <c:pt idx="1">
                  <c:v>3.4964755480607086</c:v>
                </c:pt>
                <c:pt idx="2">
                  <c:v>3.6964421641791048</c:v>
                </c:pt>
                <c:pt idx="3">
                  <c:v>3.444235230934479</c:v>
                </c:pt>
                <c:pt idx="4">
                  <c:v>3.1395315947843527</c:v>
                </c:pt>
                <c:pt idx="5">
                  <c:v>1.8359252669039146</c:v>
                </c:pt>
                <c:pt idx="6">
                  <c:v>0.97546484478641549</c:v>
                </c:pt>
                <c:pt idx="7">
                  <c:v>0.63378069119669878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8-3264-4C47-95EB-9D9C22D2B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267951"/>
        <c:axId val="1129267471"/>
        <c:extLst/>
      </c:scatterChart>
      <c:valAx>
        <c:axId val="1129267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L"/>
                  <a:t>Recuperación, %</a:t>
                </a:r>
              </a:p>
            </c:rich>
          </c:tx>
          <c:layout>
            <c:manualLayout>
              <c:xMode val="edge"/>
              <c:yMode val="edge"/>
              <c:x val="0.4848905333833593"/>
              <c:y val="0.8918456550210748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129267471"/>
        <c:crosses val="autoZero"/>
        <c:crossBetween val="midCat"/>
      </c:valAx>
      <c:valAx>
        <c:axId val="112926747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L"/>
                  <a:t>Ley</a:t>
                </a:r>
                <a:r>
                  <a:rPr lang="es-CL" baseline="0"/>
                  <a:t> </a:t>
                </a:r>
                <a:r>
                  <a:rPr lang="es-CL"/>
                  <a:t> Cu, %</a:t>
                </a:r>
              </a:p>
            </c:rich>
          </c:tx>
          <c:layout>
            <c:manualLayout>
              <c:xMode val="edge"/>
              <c:yMode val="edge"/>
              <c:x val="2.4231988481986936E-2"/>
              <c:y val="0.389510950822712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129267951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</c:legendEntry>
      <c:layout>
        <c:manualLayout>
          <c:xMode val="edge"/>
          <c:yMode val="edge"/>
          <c:x val="0.5760930070722734"/>
          <c:y val="0.1802972049706956"/>
          <c:w val="0.37296209186977469"/>
          <c:h val="0.35277280060303168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Source Sans Pro" panose="020B0503030403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legend>
    <c:plotVisOnly val="1"/>
    <c:dispBlanksAs val="gap"/>
    <c:showDLblsOverMax val="0"/>
    <c:extLst/>
  </c:chart>
  <c:txPr>
    <a:bodyPr/>
    <a:lstStyle/>
    <a:p>
      <a:pPr>
        <a:defRPr sz="1200" b="0">
          <a:solidFill>
            <a:sysClr val="windowText" lastClr="000000"/>
          </a:solidFill>
          <a:latin typeface="Source Sans Pro" panose="020B0503030403020204" pitchFamily="34" charset="0"/>
          <a:cs typeface="Arial" panose="020B0604020202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'18.1 Jms - Ro-SCV - T. Desgaste'!$S$7</c:f>
              <c:strCache>
                <c:ptCount val="1"/>
                <c:pt idx="0">
                  <c:v>Cu %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'18.1 Jms - Ro-SCV - T. Desgaste'!$P$9:$P$16</c:f>
              <c:numCache>
                <c:formatCode>0.00</c:formatCode>
                <c:ptCount val="8"/>
                <c:pt idx="0">
                  <c:v>3.775494317297214</c:v>
                </c:pt>
                <c:pt idx="1">
                  <c:v>5.680487233544155</c:v>
                </c:pt>
                <c:pt idx="2">
                  <c:v>10.310374149659863</c:v>
                </c:pt>
                <c:pt idx="3">
                  <c:v>6.4255431902490727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xVal>
          <c:yVal>
            <c:numRef>
              <c:f>'18.1 Jms - Ro-SCV - T. Desgaste'!$S$9:$S$16</c:f>
              <c:numCache>
                <c:formatCode>0.00</c:formatCode>
                <c:ptCount val="8"/>
                <c:pt idx="0">
                  <c:v>1.6950000000000001</c:v>
                </c:pt>
                <c:pt idx="1">
                  <c:v>1.7145642536475869</c:v>
                </c:pt>
                <c:pt idx="2">
                  <c:v>1.6897596596136155</c:v>
                </c:pt>
                <c:pt idx="3">
                  <c:v>1.4883002140563684</c:v>
                </c:pt>
                <c:pt idx="4">
                  <c:v>1.242525504919731</c:v>
                </c:pt>
                <c:pt idx="5">
                  <c:v>1.1796220957249073</c:v>
                </c:pt>
                <c:pt idx="6">
                  <c:v>1.0730748566254151</c:v>
                </c:pt>
                <c:pt idx="7">
                  <c:v>0.83744571888519981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10-4F45-8C68-9DB838EEB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9675664"/>
        <c:axId val="1019679504"/>
      </c:scatterChart>
      <c:valAx>
        <c:axId val="1019675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Razón Agua de Lavado, W (Qww/Qwc)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19679504"/>
        <c:crosses val="autoZero"/>
        <c:crossBetween val="midCat"/>
      </c:valAx>
      <c:valAx>
        <c:axId val="101967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Cu</a:t>
                </a:r>
                <a:r>
                  <a:rPr lang="es-CL" baseline="0"/>
                  <a:t> (%)</a:t>
                </a: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19675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'18.1 Jms - Ro-SCV - T. Desgaste'!$Q$5:$Q$7</c:f>
              <c:strCache>
                <c:ptCount val="3"/>
                <c:pt idx="0">
                  <c:v>Vel. Sup. Agua</c:v>
                </c:pt>
                <c:pt idx="1">
                  <c:v>Jb</c:v>
                </c:pt>
                <c:pt idx="2">
                  <c:v>cm/s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'18.1 Jms - Ro-SCV - T. Desgaste'!$P$9:$P$16</c:f>
              <c:numCache>
                <c:formatCode>0.00</c:formatCode>
                <c:ptCount val="8"/>
                <c:pt idx="0">
                  <c:v>3.775494317297214</c:v>
                </c:pt>
                <c:pt idx="1">
                  <c:v>5.680487233544155</c:v>
                </c:pt>
                <c:pt idx="2">
                  <c:v>10.310374149659863</c:v>
                </c:pt>
                <c:pt idx="3">
                  <c:v>6.4255431902490727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xVal>
          <c:yVal>
            <c:numRef>
              <c:f>'18.1 Jms - Ro-SCV - T. Desgaste'!$Q$9:$Q$16</c:f>
              <c:numCache>
                <c:formatCode>0.00</c:formatCode>
                <c:ptCount val="8"/>
                <c:pt idx="0">
                  <c:v>0.31965087962970457</c:v>
                </c:pt>
                <c:pt idx="1">
                  <c:v>0.358273642557981</c:v>
                </c:pt>
                <c:pt idx="2">
                  <c:v>0.39264682572116849</c:v>
                </c:pt>
                <c:pt idx="3">
                  <c:v>0.36714934713063502</c:v>
                </c:pt>
                <c:pt idx="4">
                  <c:v>-0.1139317714235229</c:v>
                </c:pt>
                <c:pt idx="5">
                  <c:v>-4.7552259649855641E-2</c:v>
                </c:pt>
                <c:pt idx="6">
                  <c:v>-7.1597350219409342E-2</c:v>
                </c:pt>
                <c:pt idx="7">
                  <c:v>-3.3638023794543427E-2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19-42AC-BEC9-84195F80C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9645904"/>
        <c:axId val="1019634864"/>
      </c:scatterChart>
      <c:valAx>
        <c:axId val="1019645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Razón Agua de Lavado, W (Qww/Qwc)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19634864"/>
        <c:crossesAt val="-0.2"/>
        <c:crossBetween val="midCat"/>
      </c:valAx>
      <c:valAx>
        <c:axId val="101963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Velocidad Superficial Agua,</a:t>
                </a:r>
                <a:r>
                  <a:rPr lang="es-CL" baseline="0"/>
                  <a:t> </a:t>
                </a:r>
                <a:r>
                  <a:rPr lang="es-CL"/>
                  <a:t>Jb</a:t>
                </a:r>
                <a:r>
                  <a:rPr lang="es-CL" baseline="0"/>
                  <a:t> (cm/s)</a:t>
                </a: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19645904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'18.1 Jms - Ro-SCV - T. Desgaste'!$P$9:$P$16</c:f>
              <c:numCache>
                <c:formatCode>0.00</c:formatCode>
                <c:ptCount val="8"/>
                <c:pt idx="0">
                  <c:v>3.775494317297214</c:v>
                </c:pt>
                <c:pt idx="1">
                  <c:v>5.680487233544155</c:v>
                </c:pt>
                <c:pt idx="2">
                  <c:v>10.310374149659863</c:v>
                </c:pt>
                <c:pt idx="3">
                  <c:v>6.4255431902490727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xVal>
          <c:yVal>
            <c:numRef>
              <c:f>'18.1 Jms - Ro-SCV - T. Desgaste'!$R$9:$R$16</c:f>
              <c:numCache>
                <c:formatCode>0.00</c:formatCode>
                <c:ptCount val="8"/>
                <c:pt idx="0">
                  <c:v>8.1651131705594349</c:v>
                </c:pt>
                <c:pt idx="1">
                  <c:v>13.748879292236483</c:v>
                </c:pt>
                <c:pt idx="2">
                  <c:v>16.530664508379861</c:v>
                </c:pt>
                <c:pt idx="3">
                  <c:v>18.772386030702844</c:v>
                </c:pt>
                <c:pt idx="4">
                  <c:v>21.593518641683289</c:v>
                </c:pt>
                <c:pt idx="5">
                  <c:v>22.846569369763092</c:v>
                </c:pt>
                <c:pt idx="6">
                  <c:v>23.996535683281188</c:v>
                </c:pt>
                <c:pt idx="7">
                  <c:v>26.892414394666609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D8-4B04-82EC-89BB36824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9675664"/>
        <c:axId val="1019679504"/>
      </c:scatterChart>
      <c:valAx>
        <c:axId val="1019675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Razón Agua de Lavado, W (Qww/Qwc)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19679504"/>
        <c:crosses val="autoZero"/>
        <c:crossBetween val="midCat"/>
      </c:valAx>
      <c:valAx>
        <c:axId val="101967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Recuperación Cu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19675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r>
              <a:rPr lang="es-CL" b="1"/>
              <a:t>Ley (%) vs Recuperación (%) Cu - Pre Cleaner #1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ysClr val="windowText" lastClr="000000"/>
              </a:solidFill>
              <a:latin typeface="Source Sans Pro" panose="020B0503030403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567268540496887"/>
          <c:y val="0.17092165898617512"/>
          <c:w val="0.79192867003890621"/>
          <c:h val="0.6244548060524692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'19. Jms - Pre-Cle'!$B$33</c:f>
              <c:strCache>
                <c:ptCount val="1"/>
                <c:pt idx="0">
                  <c:v>Cinetica Convencional</c:v>
                </c:pt>
              </c:strCache>
            </c:strRef>
          </c:tx>
          <c:spPr>
            <a:ln w="19050" cap="rnd">
              <a:solidFill>
                <a:srgbClr val="5ED4BE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'19. Jms - Pre-Cle'!$K$34:$K$38</c:f>
              <c:numCache>
                <c:formatCode>0.0</c:formatCode>
                <c:ptCount val="5"/>
                <c:pt idx="0">
                  <c:v>13.434693158080286</c:v>
                </c:pt>
                <c:pt idx="1">
                  <c:v>25.197799865648683</c:v>
                </c:pt>
                <c:pt idx="2">
                  <c:v>51.784145141516134</c:v>
                </c:pt>
                <c:pt idx="3">
                  <c:v>91.825792295671121</c:v>
                </c:pt>
                <c:pt idx="4">
                  <c:v>95.182540643027153</c:v>
                </c:pt>
              </c:numCache>
            </c:numRef>
          </c:xVal>
          <c:yVal>
            <c:numRef>
              <c:f>'19. Jms - Pre-Cle'!$J$34:$J$38</c:f>
              <c:numCache>
                <c:formatCode>0.00</c:formatCode>
                <c:ptCount val="5"/>
                <c:pt idx="0">
                  <c:v>14.59</c:v>
                </c:pt>
                <c:pt idx="1">
                  <c:v>16.279263456090654</c:v>
                </c:pt>
                <c:pt idx="2">
                  <c:v>17.893681818181818</c:v>
                </c:pt>
                <c:pt idx="3">
                  <c:v>16.820626506024094</c:v>
                </c:pt>
                <c:pt idx="4">
                  <c:v>14.476302767589196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3D-4BE6-BBD6-7501298E1247}"/>
            </c:ext>
          </c:extLst>
        </c:ser>
        <c:ser>
          <c:idx val="1"/>
          <c:order val="1"/>
          <c:tx>
            <c:strRef>
              <c:f>'19. Jms - Pre-Cle'!$B$46</c:f>
              <c:strCache>
                <c:ptCount val="1"/>
                <c:pt idx="0">
                  <c:v>T. Dilución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'19. Jms - Pre-Cle'!$K$47:$K$53</c:f>
              <c:numCache>
                <c:formatCode>0.0</c:formatCode>
                <c:ptCount val="7"/>
                <c:pt idx="0">
                  <c:v>21.749093958025767</c:v>
                </c:pt>
                <c:pt idx="1">
                  <c:v>33.015764636209397</c:v>
                </c:pt>
                <c:pt idx="2">
                  <c:v>55.756312103192883</c:v>
                </c:pt>
                <c:pt idx="3">
                  <c:v>83.138793525011266</c:v>
                </c:pt>
                <c:pt idx="4">
                  <c:v>88.06003247660756</c:v>
                </c:pt>
                <c:pt idx="5">
                  <c:v>90.386879120275154</c:v>
                </c:pt>
                <c:pt idx="6">
                  <c:v>93.843789277265159</c:v>
                </c:pt>
              </c:numCache>
            </c:numRef>
          </c:xVal>
          <c:yVal>
            <c:numRef>
              <c:f>'19. Jms - Pre-Cle'!$J$47:$J$54</c:f>
              <c:numCache>
                <c:formatCode>0.00</c:formatCode>
                <c:ptCount val="8"/>
                <c:pt idx="0">
                  <c:v>25.82</c:v>
                </c:pt>
                <c:pt idx="1">
                  <c:v>25.747951219512192</c:v>
                </c:pt>
                <c:pt idx="2">
                  <c:v>25.180593220338984</c:v>
                </c:pt>
                <c:pt idx="3">
                  <c:v>24.388348623853211</c:v>
                </c:pt>
                <c:pt idx="4">
                  <c:v>23.956477595008508</c:v>
                </c:pt>
                <c:pt idx="5">
                  <c:v>22.732705820660723</c:v>
                </c:pt>
                <c:pt idx="6">
                  <c:v>15.483065015479875</c:v>
                </c:pt>
                <c:pt idx="7">
                  <c:v>4.6112783386212879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93D-4BE6-BBD6-7501298E1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267951"/>
        <c:axId val="1129267471"/>
      </c:scatterChart>
      <c:valAx>
        <c:axId val="1129267951"/>
        <c:scaling>
          <c:orientation val="minMax"/>
          <c:max val="10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L"/>
                  <a:t>Recuperación, %</a:t>
                </a:r>
              </a:p>
            </c:rich>
          </c:tx>
          <c:layout>
            <c:manualLayout>
              <c:xMode val="edge"/>
              <c:yMode val="edge"/>
              <c:x val="0.4848905333833593"/>
              <c:y val="0.891845655021074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ource Sans Pro" panose="020B0503030403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129267471"/>
        <c:crosses val="autoZero"/>
        <c:crossBetween val="midCat"/>
      </c:valAx>
      <c:valAx>
        <c:axId val="112926747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L"/>
                  <a:t>Ley  Cu, %</a:t>
                </a:r>
              </a:p>
            </c:rich>
          </c:tx>
          <c:layout>
            <c:manualLayout>
              <c:xMode val="edge"/>
              <c:yMode val="edge"/>
              <c:x val="2.4231988481986936E-2"/>
              <c:y val="0.38951095082271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ource Sans Pro" panose="020B0503030403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129267951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</c:legendEntry>
      <c:layout>
        <c:manualLayout>
          <c:xMode val="edge"/>
          <c:yMode val="edge"/>
          <c:x val="0.42503029624880456"/>
          <c:y val="0.61148336690471827"/>
          <c:w val="0.38329419655709268"/>
          <c:h val="0.159690724736226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Source Sans Pro" panose="020B0503030403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0">
          <a:solidFill>
            <a:sysClr val="windowText" lastClr="000000"/>
          </a:solidFill>
          <a:latin typeface="Source Sans Pro" panose="020B0503030403020204" pitchFamily="34" charset="0"/>
          <a:cs typeface="Arial" panose="020B0604020202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40" b="0" i="0" u="none" strike="noStrike" kern="1200" spc="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r>
              <a:rPr lang="es-CL" sz="1600" b="0" i="0" u="none" strike="noStrike" kern="1200" spc="0" baseline="0">
                <a:solidFill>
                  <a:sysClr val="windowText" lastClr="000000"/>
                </a:solidFill>
                <a:latin typeface="Source Sans Pro" panose="020B0503030403020204" pitchFamily="34" charset="0"/>
                <a:cs typeface="Arial" panose="020B0604020202020204" pitchFamily="34" charset="0"/>
              </a:rPr>
              <a:t>Ley (%) vs Recuperación (%) Fe - Cola Rougher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40" b="0" i="0" u="none" strike="noStrike" kern="1200" spc="0" baseline="0">
              <a:solidFill>
                <a:sysClr val="windowText" lastClr="000000"/>
              </a:solidFill>
              <a:latin typeface="Source Sans Pro" panose="020B0503030403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567268540496887"/>
          <c:y val="0.17092165898617512"/>
          <c:w val="0.79192867003890621"/>
          <c:h val="0.62445480605246928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'19. Jms - Pre-Cle'!$B$101</c:f>
              <c:strCache>
                <c:ptCount val="1"/>
                <c:pt idx="0">
                  <c:v>T. Dilución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'19. Jms - Pre-Cle'!$P$102:$P$109</c:f>
              <c:numCache>
                <c:formatCode>0.0</c:formatCode>
                <c:ptCount val="8"/>
                <c:pt idx="0">
                  <c:v>118.11403969337395</c:v>
                </c:pt>
                <c:pt idx="1">
                  <c:v>166.89943645209846</c:v>
                </c:pt>
                <c:pt idx="2">
                  <c:v>212.53981588435019</c:v>
                </c:pt>
                <c:pt idx="3">
                  <c:v>241.74279813784173</c:v>
                </c:pt>
                <c:pt idx="4">
                  <c:v>246.20567748258603</c:v>
                </c:pt>
                <c:pt idx="5">
                  <c:v>262.83209072771189</c:v>
                </c:pt>
                <c:pt idx="6">
                  <c:v>321.22265392558364</c:v>
                </c:pt>
                <c:pt idx="7">
                  <c:v>714.67569743428191</c:v>
                </c:pt>
              </c:numCache>
            </c:numRef>
          </c:xVal>
          <c:yVal>
            <c:numRef>
              <c:f>'19. Jms - Pre-Cle'!$O$102:$O$109</c:f>
              <c:numCache>
                <c:formatCode>0.00</c:formatCode>
                <c:ptCount val="8"/>
                <c:pt idx="0">
                  <c:v>22.800000000000004</c:v>
                </c:pt>
                <c:pt idx="1">
                  <c:v>22.651543942992877</c:v>
                </c:pt>
                <c:pt idx="2">
                  <c:v>22.530797773654914</c:v>
                </c:pt>
                <c:pt idx="3">
                  <c:v>22.278548387096773</c:v>
                </c:pt>
                <c:pt idx="4">
                  <c:v>22.153858267716533</c:v>
                </c:pt>
                <c:pt idx="5">
                  <c:v>20.572191780821917</c:v>
                </c:pt>
                <c:pt idx="6">
                  <c:v>11.980430809399479</c:v>
                </c:pt>
                <c:pt idx="7">
                  <c:v>4.8694419270212261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EE-4269-B84B-1C2FF466AB6E}"/>
            </c:ext>
          </c:extLst>
        </c:ser>
        <c:ser>
          <c:idx val="2"/>
          <c:order val="1"/>
          <c:tx>
            <c:strRef>
              <c:f>'19. Jms - Pre-Cle'!#REF!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'19. Jms - Pre-Cle'!$P$117:$P$124</c:f>
              <c:numCache>
                <c:formatCode>General</c:formatCode>
                <c:ptCount val="8"/>
              </c:numCache>
            </c:numRef>
          </c:xVal>
          <c:yVal>
            <c:numRef>
              <c:f>'19. Jms - Pre-Cle'!$O$117:$O$124</c:f>
              <c:numCache>
                <c:formatCode>General</c:formatCode>
                <c:ptCount val="8"/>
                <c:pt idx="0">
                  <c:v>0</c:v>
                </c:pt>
                <c:pt idx="1">
                  <c:v>2.3929999999999998</c:v>
                </c:pt>
                <c:pt idx="2">
                  <c:v>27.12</c:v>
                </c:pt>
                <c:pt idx="3">
                  <c:v>0.89300000000000002</c:v>
                </c:pt>
                <c:pt idx="5" formatCode="0.00">
                  <c:v>5.7192969077668039</c:v>
                </c:pt>
                <c:pt idx="6" formatCode="0.00">
                  <c:v>64.81710494719421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3EE-4269-B84B-1C2FF466AB6E}"/>
            </c:ext>
          </c:extLst>
        </c:ser>
        <c:ser>
          <c:idx val="0"/>
          <c:order val="2"/>
          <c:tx>
            <c:strRef>
              <c:f>'19. Jms - Pre-Cle'!$B$88</c:f>
              <c:strCache>
                <c:ptCount val="1"/>
                <c:pt idx="0">
                  <c:v>Cinética Convencional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'19. Jms - Pre-Cle'!$P$89:$P$93</c:f>
              <c:numCache>
                <c:formatCode>0.0</c:formatCode>
                <c:ptCount val="5"/>
                <c:pt idx="0">
                  <c:v>14.289883713689132</c:v>
                </c:pt>
                <c:pt idx="1">
                  <c:v>19.982778511804327</c:v>
                </c:pt>
                <c:pt idx="2">
                  <c:v>27.875502095414451</c:v>
                </c:pt>
                <c:pt idx="3">
                  <c:v>47.058979470515524</c:v>
                </c:pt>
                <c:pt idx="4">
                  <c:v>53.10858365889348</c:v>
                </c:pt>
              </c:numCache>
            </c:numRef>
          </c:xVal>
          <c:yVal>
            <c:numRef>
              <c:f>'19. Jms - Pre-Cle'!$O$89:$O$93</c:f>
              <c:numCache>
                <c:formatCode>0.00</c:formatCode>
                <c:ptCount val="5"/>
                <c:pt idx="0">
                  <c:v>21.400000000000002</c:v>
                </c:pt>
                <c:pt idx="1">
                  <c:v>21.594864864864864</c:v>
                </c:pt>
                <c:pt idx="2">
                  <c:v>21.393474088291743</c:v>
                </c:pt>
                <c:pt idx="3">
                  <c:v>17.92047619047619</c:v>
                </c:pt>
                <c:pt idx="4">
                  <c:v>14.072518223989395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3EE-4269-B84B-1C2FF466AB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267951"/>
        <c:axId val="1129267471"/>
      </c:scatterChart>
      <c:valAx>
        <c:axId val="1129267951"/>
        <c:scaling>
          <c:orientation val="minMax"/>
          <c:max val="10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L"/>
                  <a:t>Recuperación,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ysClr val="windowText" lastClr="000000"/>
                  </a:solidFill>
                  <a:latin typeface="Source Sans Pro" panose="020B0503030403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129267471"/>
        <c:crosses val="autoZero"/>
        <c:crossBetween val="midCat"/>
      </c:valAx>
      <c:valAx>
        <c:axId val="112926747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L"/>
                  <a:t>Grade Fe,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ysClr val="windowText" lastClr="000000"/>
                  </a:solidFill>
                  <a:latin typeface="Source Sans Pro" panose="020B0503030403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129267951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292660487737866"/>
          <c:y val="0.19793482824766337"/>
          <c:w val="0.25471291234959342"/>
          <c:h val="0.15808687081034237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0" i="0" u="none" strike="noStrike" kern="1200" baseline="0">
              <a:solidFill>
                <a:sysClr val="windowText" lastClr="000000"/>
              </a:solidFill>
              <a:latin typeface="Source Sans Pro" panose="020B0503030403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 b="0" i="0" u="none" strike="noStrike" kern="1200" baseline="0">
          <a:solidFill>
            <a:sysClr val="windowText" lastClr="000000"/>
          </a:solidFill>
          <a:latin typeface="Source Sans Pro" panose="020B0503030403020204" pitchFamily="34" charset="0"/>
          <a:ea typeface="+mn-ea"/>
          <a:cs typeface="Arial" panose="020B0604020202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b="1"/>
            </a:pPr>
            <a:r>
              <a:rPr lang="es-CL" b="1"/>
              <a:t>Ley (%) vs Recuperación (%) Cu - Pre Cleaner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67268540496887"/>
          <c:y val="0.17092165898617512"/>
          <c:w val="0.79192867003890621"/>
          <c:h val="0.62445480605246928"/>
        </c:manualLayout>
      </c:layout>
      <c:scatterChart>
        <c:scatterStyle val="smoothMarker"/>
        <c:varyColors val="0"/>
        <c:ser>
          <c:idx val="3"/>
          <c:order val="0"/>
          <c:tx>
            <c:v>Cinética Convencional Cond #1</c:v>
          </c:tx>
          <c:spPr>
            <a:ln w="25400">
              <a:solidFill>
                <a:srgbClr val="5ED4BE"/>
              </a:solidFill>
              <a:prstDash val="solid"/>
            </a:ln>
          </c:spPr>
          <c:marker>
            <c:symbol val="none"/>
          </c:marker>
          <c:xVal>
            <c:numRef>
              <c:f>'19. Jms - Pre-Cle'!$K$34:$K$38</c:f>
              <c:numCache>
                <c:formatCode>0.0</c:formatCode>
                <c:ptCount val="5"/>
                <c:pt idx="0">
                  <c:v>13.434693158080286</c:v>
                </c:pt>
                <c:pt idx="1">
                  <c:v>25.197799865648683</c:v>
                </c:pt>
                <c:pt idx="2">
                  <c:v>51.784145141516134</c:v>
                </c:pt>
                <c:pt idx="3">
                  <c:v>91.825792295671121</c:v>
                </c:pt>
                <c:pt idx="4">
                  <c:v>95.182540643027153</c:v>
                </c:pt>
              </c:numCache>
            </c:numRef>
          </c:xVal>
          <c:yVal>
            <c:numRef>
              <c:f>'19. Jms - Pre-Cle'!$J$34:$J$38</c:f>
              <c:numCache>
                <c:formatCode>0.00</c:formatCode>
                <c:ptCount val="5"/>
                <c:pt idx="0">
                  <c:v>14.59</c:v>
                </c:pt>
                <c:pt idx="1">
                  <c:v>16.279263456090654</c:v>
                </c:pt>
                <c:pt idx="2">
                  <c:v>17.893681818181818</c:v>
                </c:pt>
                <c:pt idx="3">
                  <c:v>16.820626506024094</c:v>
                </c:pt>
                <c:pt idx="4">
                  <c:v>14.476302767589196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605-4AF7-A3CF-1DBBF6F33E69}"/>
            </c:ext>
          </c:extLst>
        </c:ser>
        <c:ser>
          <c:idx val="4"/>
          <c:order val="1"/>
          <c:tx>
            <c:v>T. Dilución Cond. #1</c:v>
          </c:tx>
          <c:spPr>
            <a:ln w="1905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'19. Jms - Pre-Cle'!$K$47:$K$53</c:f>
              <c:numCache>
                <c:formatCode>0.0</c:formatCode>
                <c:ptCount val="7"/>
                <c:pt idx="0">
                  <c:v>21.749093958025767</c:v>
                </c:pt>
                <c:pt idx="1">
                  <c:v>33.015764636209397</c:v>
                </c:pt>
                <c:pt idx="2">
                  <c:v>55.756312103192883</c:v>
                </c:pt>
                <c:pt idx="3">
                  <c:v>83.138793525011266</c:v>
                </c:pt>
                <c:pt idx="4">
                  <c:v>88.06003247660756</c:v>
                </c:pt>
                <c:pt idx="5">
                  <c:v>90.386879120275154</c:v>
                </c:pt>
                <c:pt idx="6">
                  <c:v>93.843789277265159</c:v>
                </c:pt>
              </c:numCache>
            </c:numRef>
          </c:xVal>
          <c:yVal>
            <c:numRef>
              <c:f>'19. Jms - Pre-Cle'!$J$47:$J$53</c:f>
              <c:numCache>
                <c:formatCode>0.00</c:formatCode>
                <c:ptCount val="7"/>
                <c:pt idx="0">
                  <c:v>25.82</c:v>
                </c:pt>
                <c:pt idx="1">
                  <c:v>25.747951219512192</c:v>
                </c:pt>
                <c:pt idx="2">
                  <c:v>25.180593220338984</c:v>
                </c:pt>
                <c:pt idx="3">
                  <c:v>24.388348623853211</c:v>
                </c:pt>
                <c:pt idx="4">
                  <c:v>23.956477595008508</c:v>
                </c:pt>
                <c:pt idx="5">
                  <c:v>22.732705820660723</c:v>
                </c:pt>
                <c:pt idx="6">
                  <c:v>15.483065015479875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A-8605-4AF7-A3CF-1DBBF6F33E69}"/>
            </c:ext>
          </c:extLst>
        </c:ser>
        <c:ser>
          <c:idx val="0"/>
          <c:order val="2"/>
          <c:tx>
            <c:v>Cinética Convencional Cond #2</c:v>
          </c:tx>
          <c:spPr>
            <a:ln w="25400">
              <a:solidFill>
                <a:srgbClr val="5ED4BE"/>
              </a:solidFill>
              <a:prstDash val="dash"/>
            </a:ln>
          </c:spPr>
          <c:marker>
            <c:symbol val="none"/>
          </c:marker>
          <c:xVal>
            <c:numRef>
              <c:f>'19. Jms - Pre-Cle'!$K$89:$K$93</c:f>
              <c:numCache>
                <c:formatCode>0.0</c:formatCode>
                <c:ptCount val="5"/>
                <c:pt idx="0">
                  <c:v>39.11319547647021</c:v>
                </c:pt>
                <c:pt idx="1">
                  <c:v>53.286138780169182</c:v>
                </c:pt>
                <c:pt idx="2">
                  <c:v>70.286923196447177</c:v>
                </c:pt>
                <c:pt idx="3">
                  <c:v>92.428047227536254</c:v>
                </c:pt>
                <c:pt idx="4">
                  <c:v>94.992932743951741</c:v>
                </c:pt>
              </c:numCache>
            </c:numRef>
          </c:xVal>
          <c:yVal>
            <c:numRef>
              <c:f>'19. Jms - Pre-Cle'!$J$89:$J$93</c:f>
              <c:numCache>
                <c:formatCode>0.00</c:formatCode>
                <c:ptCount val="5"/>
                <c:pt idx="0">
                  <c:v>26.53</c:v>
                </c:pt>
                <c:pt idx="1">
                  <c:v>26.081810810810811</c:v>
                </c:pt>
                <c:pt idx="2">
                  <c:v>24.4321689059501</c:v>
                </c:pt>
                <c:pt idx="3">
                  <c:v>15.941885714285716</c:v>
                </c:pt>
                <c:pt idx="4">
                  <c:v>11.400588469184891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605-4AF7-A3CF-1DBBF6F33E69}"/>
            </c:ext>
          </c:extLst>
        </c:ser>
        <c:ser>
          <c:idx val="1"/>
          <c:order val="3"/>
          <c:tx>
            <c:v>T. Dilución Cond. #2</c:v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'19. Jms - Pre-Cle'!$K$102:$K$108</c:f>
              <c:numCache>
                <c:formatCode>0.0</c:formatCode>
                <c:ptCount val="7"/>
                <c:pt idx="0">
                  <c:v>41.131562095473157</c:v>
                </c:pt>
                <c:pt idx="1">
                  <c:v>58.137149547479602</c:v>
                </c:pt>
                <c:pt idx="2">
                  <c:v>73.606668663821182</c:v>
                </c:pt>
                <c:pt idx="3">
                  <c:v>83.958433534606215</c:v>
                </c:pt>
                <c:pt idx="4">
                  <c:v>85.590145416667823</c:v>
                </c:pt>
                <c:pt idx="5">
                  <c:v>89.229822097506954</c:v>
                </c:pt>
                <c:pt idx="6">
                  <c:v>94.198086579396517</c:v>
                </c:pt>
              </c:numCache>
            </c:numRef>
          </c:xVal>
          <c:yVal>
            <c:numRef>
              <c:f>'19. Jms - Pre-Cle'!$J$102:$J$108</c:f>
              <c:numCache>
                <c:formatCode>0.00</c:formatCode>
                <c:ptCount val="7"/>
                <c:pt idx="0">
                  <c:v>25.280000000000005</c:v>
                </c:pt>
                <c:pt idx="1">
                  <c:v>25.122636579572447</c:v>
                </c:pt>
                <c:pt idx="2">
                  <c:v>24.844025974025971</c:v>
                </c:pt>
                <c:pt idx="3">
                  <c:v>24.635774193548386</c:v>
                </c:pt>
                <c:pt idx="4">
                  <c:v>24.521307086614172</c:v>
                </c:pt>
                <c:pt idx="5">
                  <c:v>22.23723287671233</c:v>
                </c:pt>
                <c:pt idx="6">
                  <c:v>11.186053524804178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6-8605-4AF7-A3CF-1DBBF6F33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267951"/>
        <c:axId val="1129267471"/>
        <c:extLst/>
      </c:scatterChart>
      <c:valAx>
        <c:axId val="1129267951"/>
        <c:scaling>
          <c:orientation val="minMax"/>
          <c:max val="10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s-CL"/>
                  <a:t>Recuperación, %</a:t>
                </a:r>
              </a:p>
            </c:rich>
          </c:tx>
          <c:layout>
            <c:manualLayout>
              <c:xMode val="edge"/>
              <c:yMode val="edge"/>
              <c:x val="0.4848905333833593"/>
              <c:y val="0.8918456550210748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s-CL"/>
          </a:p>
        </c:txPr>
        <c:crossAx val="1129267471"/>
        <c:crosses val="autoZero"/>
        <c:crossBetween val="midCat"/>
      </c:valAx>
      <c:valAx>
        <c:axId val="112926747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s-CL"/>
                  <a:t>Ley  Cu, %</a:t>
                </a:r>
              </a:p>
            </c:rich>
          </c:tx>
          <c:layout>
            <c:manualLayout>
              <c:xMode val="edge"/>
              <c:yMode val="edge"/>
              <c:x val="2.4231988481986936E-2"/>
              <c:y val="0.389510950822712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s-CL"/>
          </a:p>
        </c:txPr>
        <c:crossAx val="1129267951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egendEntry>
        <c:idx val="2"/>
        <c:txPr>
          <a:bodyPr rot="0" vert="horz"/>
          <a:lstStyle/>
          <a:p>
            <a:pPr>
              <a:defRPr/>
            </a:pPr>
            <a:endParaRPr lang="es-CL"/>
          </a:p>
        </c:txPr>
      </c:legendEntry>
      <c:layout>
        <c:manualLayout>
          <c:xMode val="edge"/>
          <c:yMode val="edge"/>
          <c:x val="0.38691506332441389"/>
          <c:y val="0.59285329443067558"/>
          <c:w val="0.50210485625830958"/>
          <c:h val="0.19277537859635455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vert="horz"/>
        <a:lstStyle/>
        <a:p>
          <a:pPr>
            <a:defRPr/>
          </a:pPr>
          <a:endParaRPr lang="es-CL"/>
        </a:p>
      </c:txPr>
    </c:legend>
    <c:plotVisOnly val="1"/>
    <c:dispBlanksAs val="gap"/>
    <c:showDLblsOverMax val="0"/>
    <c:extLst/>
  </c:chart>
  <c:txPr>
    <a:bodyPr/>
    <a:lstStyle/>
    <a:p>
      <a:pPr>
        <a:defRPr sz="1400" b="0">
          <a:solidFill>
            <a:sysClr val="windowText" lastClr="000000"/>
          </a:solidFill>
          <a:latin typeface="Source Sans Pro" panose="020B0503030403020204" pitchFamily="34" charset="0"/>
          <a:cs typeface="Arial" panose="020B0604020202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r>
              <a:rPr lang="es-CL" sz="1600" b="0" i="0" u="none" strike="noStrike" kern="1200" spc="0" baseline="0">
                <a:solidFill>
                  <a:sysClr val="windowText" lastClr="000000"/>
                </a:solidFill>
                <a:latin typeface="Source Sans Pro" panose="020B0503030403020204" pitchFamily="34" charset="0"/>
                <a:cs typeface="Arial" panose="020B0604020202020204" pitchFamily="34" charset="0"/>
              </a:rPr>
              <a:t>Ley (%) vs Recuperación (%) Cu - Pre Cleaner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ysClr val="windowText" lastClr="000000"/>
              </a:solidFill>
              <a:latin typeface="Source Sans Pro" panose="020B0503030403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567268540496887"/>
          <c:y val="0.17092165898617512"/>
          <c:w val="0.79192867003890621"/>
          <c:h val="0.6244548060524692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'19. Jms - Pre-Cle'!$B$88</c:f>
              <c:strCache>
                <c:ptCount val="1"/>
                <c:pt idx="0">
                  <c:v>Cinética Convencional</c:v>
                </c:pt>
              </c:strCache>
            </c:strRef>
          </c:tx>
          <c:spPr>
            <a:ln w="19050" cap="rnd">
              <a:solidFill>
                <a:srgbClr val="5ED4BE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'19. Jms - Pre-Cle'!$K$89:$K$93</c:f>
              <c:numCache>
                <c:formatCode>0.0</c:formatCode>
                <c:ptCount val="5"/>
                <c:pt idx="0">
                  <c:v>39.11319547647021</c:v>
                </c:pt>
                <c:pt idx="1">
                  <c:v>53.286138780169182</c:v>
                </c:pt>
                <c:pt idx="2">
                  <c:v>70.286923196447177</c:v>
                </c:pt>
                <c:pt idx="3">
                  <c:v>92.428047227536254</c:v>
                </c:pt>
                <c:pt idx="4">
                  <c:v>94.992932743951741</c:v>
                </c:pt>
              </c:numCache>
            </c:numRef>
          </c:xVal>
          <c:yVal>
            <c:numRef>
              <c:f>'19. Jms - Pre-Cle'!$J$89:$J$93</c:f>
              <c:numCache>
                <c:formatCode>0.00</c:formatCode>
                <c:ptCount val="5"/>
                <c:pt idx="0">
                  <c:v>26.53</c:v>
                </c:pt>
                <c:pt idx="1">
                  <c:v>26.081810810810811</c:v>
                </c:pt>
                <c:pt idx="2">
                  <c:v>24.4321689059501</c:v>
                </c:pt>
                <c:pt idx="3">
                  <c:v>15.941885714285716</c:v>
                </c:pt>
                <c:pt idx="4">
                  <c:v>11.400588469184891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BF-462B-ACF3-F5BD44B5A6AC}"/>
            </c:ext>
          </c:extLst>
        </c:ser>
        <c:ser>
          <c:idx val="1"/>
          <c:order val="1"/>
          <c:tx>
            <c:strRef>
              <c:f>'19. Jms - Pre-Cle'!$B$101</c:f>
              <c:strCache>
                <c:ptCount val="1"/>
                <c:pt idx="0">
                  <c:v>T. Dilución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'19. Jms - Pre-Cle'!$K$102:$K$108</c:f>
              <c:numCache>
                <c:formatCode>0.0</c:formatCode>
                <c:ptCount val="7"/>
                <c:pt idx="0">
                  <c:v>41.131562095473157</c:v>
                </c:pt>
                <c:pt idx="1">
                  <c:v>58.137149547479602</c:v>
                </c:pt>
                <c:pt idx="2">
                  <c:v>73.606668663821182</c:v>
                </c:pt>
                <c:pt idx="3">
                  <c:v>83.958433534606215</c:v>
                </c:pt>
                <c:pt idx="4">
                  <c:v>85.590145416667823</c:v>
                </c:pt>
                <c:pt idx="5">
                  <c:v>89.229822097506954</c:v>
                </c:pt>
                <c:pt idx="6">
                  <c:v>94.198086579396517</c:v>
                </c:pt>
              </c:numCache>
            </c:numRef>
          </c:xVal>
          <c:yVal>
            <c:numRef>
              <c:f>'19. Jms - Pre-Cle'!$J$102:$J$108</c:f>
              <c:numCache>
                <c:formatCode>0.00</c:formatCode>
                <c:ptCount val="7"/>
                <c:pt idx="0">
                  <c:v>25.280000000000005</c:v>
                </c:pt>
                <c:pt idx="1">
                  <c:v>25.122636579572447</c:v>
                </c:pt>
                <c:pt idx="2">
                  <c:v>24.844025974025971</c:v>
                </c:pt>
                <c:pt idx="3">
                  <c:v>24.635774193548386</c:v>
                </c:pt>
                <c:pt idx="4">
                  <c:v>24.521307086614172</c:v>
                </c:pt>
                <c:pt idx="5">
                  <c:v>22.23723287671233</c:v>
                </c:pt>
                <c:pt idx="6">
                  <c:v>11.186053524804178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CBF-462B-ACF3-F5BD44B5A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267951"/>
        <c:axId val="1129267471"/>
      </c:scatterChart>
      <c:scatterChart>
        <c:scatterStyle val="lineMarker"/>
        <c:varyColors val="0"/>
        <c:ser>
          <c:idx val="2"/>
          <c:order val="2"/>
          <c:tx>
            <c:strRef>
              <c:f>'19. Jms - Pre-Cle'!$B$116:$C$116</c:f>
              <c:strCache>
                <c:ptCount val="1"/>
                <c:pt idx="0">
                  <c:v>Continua 1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'19. Jms - Pre-Cle'!$C$123</c:f>
              <c:numCache>
                <c:formatCode>0.00</c:formatCode>
                <c:ptCount val="1"/>
                <c:pt idx="0">
                  <c:v>29.973375409269199</c:v>
                </c:pt>
              </c:numCache>
            </c:numRef>
          </c:xVal>
          <c:yVal>
            <c:numRef>
              <c:f>'19. Jms - Pre-Cle'!$C$119</c:f>
              <c:numCache>
                <c:formatCode>General</c:formatCode>
                <c:ptCount val="1"/>
                <c:pt idx="0">
                  <c:v>31.33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CBF-462B-ACF3-F5BD44B5A6AC}"/>
            </c:ext>
          </c:extLst>
        </c:ser>
        <c:ser>
          <c:idx val="3"/>
          <c:order val="3"/>
          <c:tx>
            <c:strRef>
              <c:f>'19. Jms - Pre-Cle'!$D$116:$E$116</c:f>
              <c:strCache>
                <c:ptCount val="1"/>
                <c:pt idx="0">
                  <c:v>Continua 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'19. Jms - Pre-Cle'!$E$123</c:f>
              <c:numCache>
                <c:formatCode>0.00</c:formatCode>
                <c:ptCount val="1"/>
                <c:pt idx="0">
                  <c:v>54.936283558974878</c:v>
                </c:pt>
              </c:numCache>
            </c:numRef>
          </c:xVal>
          <c:yVal>
            <c:numRef>
              <c:f>'19. Jms - Pre-Cle'!$E$119</c:f>
              <c:numCache>
                <c:formatCode>General</c:formatCode>
                <c:ptCount val="1"/>
                <c:pt idx="0">
                  <c:v>31.72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CBF-462B-ACF3-F5BD44B5A6AC}"/>
            </c:ext>
          </c:extLst>
        </c:ser>
        <c:ser>
          <c:idx val="4"/>
          <c:order val="4"/>
          <c:tx>
            <c:strRef>
              <c:f>'19. Jms - Pre-Cle'!$F$116:$G$116</c:f>
              <c:strCache>
                <c:ptCount val="1"/>
                <c:pt idx="0">
                  <c:v>Continua 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'19. Jms - Pre-Cle'!$G$123</c:f>
              <c:numCache>
                <c:formatCode>0.00</c:formatCode>
                <c:ptCount val="1"/>
                <c:pt idx="0">
                  <c:v>42.441897550811312</c:v>
                </c:pt>
              </c:numCache>
            </c:numRef>
          </c:xVal>
          <c:yVal>
            <c:numRef>
              <c:f>'19. Jms - Pre-Cle'!$G$119</c:f>
              <c:numCache>
                <c:formatCode>General</c:formatCode>
                <c:ptCount val="1"/>
                <c:pt idx="0">
                  <c:v>31.67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CBF-462B-ACF3-F5BD44B5A6AC}"/>
            </c:ext>
          </c:extLst>
        </c:ser>
        <c:ser>
          <c:idx val="5"/>
          <c:order val="5"/>
          <c:tx>
            <c:strRef>
              <c:f>'19. Jms - Pre-Cle'!$H$116:$I$116</c:f>
              <c:strCache>
                <c:ptCount val="1"/>
                <c:pt idx="0">
                  <c:v>Continua 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'19. Jms - Pre-Cle'!$I$123</c:f>
              <c:numCache>
                <c:formatCode>0.00</c:formatCode>
                <c:ptCount val="1"/>
                <c:pt idx="0">
                  <c:v>53.873467289095807</c:v>
                </c:pt>
              </c:numCache>
            </c:numRef>
          </c:xVal>
          <c:yVal>
            <c:numRef>
              <c:f>'19. Jms - Pre-Cle'!$I$119</c:f>
              <c:numCache>
                <c:formatCode>General</c:formatCode>
                <c:ptCount val="1"/>
                <c:pt idx="0">
                  <c:v>33.49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CBF-462B-ACF3-F5BD44B5A6AC}"/>
            </c:ext>
          </c:extLst>
        </c:ser>
        <c:ser>
          <c:idx val="6"/>
          <c:order val="6"/>
          <c:tx>
            <c:strRef>
              <c:f>'19. Jms - Pre-Cle'!$J$116:$K$116</c:f>
              <c:strCache>
                <c:ptCount val="1"/>
                <c:pt idx="0">
                  <c:v>Continua 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'19. Jms - Pre-Cle'!$K$123</c:f>
              <c:numCache>
                <c:formatCode>0.00</c:formatCode>
                <c:ptCount val="1"/>
                <c:pt idx="0">
                  <c:v>64.215984711069908</c:v>
                </c:pt>
              </c:numCache>
            </c:numRef>
          </c:xVal>
          <c:yVal>
            <c:numRef>
              <c:f>'19. Jms - Pre-Cle'!$K$119</c:f>
              <c:numCache>
                <c:formatCode>General</c:formatCode>
                <c:ptCount val="1"/>
                <c:pt idx="0">
                  <c:v>29.13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CBF-462B-ACF3-F5BD44B5A6AC}"/>
            </c:ext>
          </c:extLst>
        </c:ser>
        <c:ser>
          <c:idx val="7"/>
          <c:order val="7"/>
          <c:tx>
            <c:strRef>
              <c:f>'19. Jms - Pre-Cle'!$L$116:$M$116</c:f>
              <c:strCache>
                <c:ptCount val="1"/>
                <c:pt idx="0">
                  <c:v>Continua 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'19. Jms - Pre-Cle'!$M$123</c:f>
              <c:numCache>
                <c:formatCode>0.00</c:formatCode>
                <c:ptCount val="1"/>
                <c:pt idx="0">
                  <c:v>66.720567885700589</c:v>
                </c:pt>
              </c:numCache>
            </c:numRef>
          </c:xVal>
          <c:yVal>
            <c:numRef>
              <c:f>'19. Jms - Pre-Cle'!$M$119</c:f>
              <c:numCache>
                <c:formatCode>General</c:formatCode>
                <c:ptCount val="1"/>
                <c:pt idx="0">
                  <c:v>27.22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CBF-462B-ACF3-F5BD44B5A6AC}"/>
            </c:ext>
          </c:extLst>
        </c:ser>
        <c:ser>
          <c:idx val="8"/>
          <c:order val="8"/>
          <c:tx>
            <c:strRef>
              <c:f>'19. Jms - Pre-Cle'!$N$116:$O$116</c:f>
              <c:strCache>
                <c:ptCount val="1"/>
                <c:pt idx="0">
                  <c:v>Continua 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'19. Jms - Pre-Cle'!$O$123</c:f>
              <c:numCache>
                <c:formatCode>0.00</c:formatCode>
                <c:ptCount val="1"/>
                <c:pt idx="0">
                  <c:v>64.81710494719421</c:v>
                </c:pt>
              </c:numCache>
            </c:numRef>
          </c:xVal>
          <c:yVal>
            <c:numRef>
              <c:f>'19. Jms - Pre-Cle'!$O$119</c:f>
              <c:numCache>
                <c:formatCode>General</c:formatCode>
                <c:ptCount val="1"/>
                <c:pt idx="0">
                  <c:v>27.12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CBF-462B-ACF3-F5BD44B5A6AC}"/>
            </c:ext>
          </c:extLst>
        </c:ser>
        <c:ser>
          <c:idx val="9"/>
          <c:order val="9"/>
          <c:tx>
            <c:v>Cleaner Base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'19. Jms - Pre-Cle'!$D$162</c:f>
              <c:numCache>
                <c:formatCode>0.00</c:formatCode>
                <c:ptCount val="1"/>
                <c:pt idx="0">
                  <c:v>92.923647886445309</c:v>
                </c:pt>
              </c:numCache>
            </c:numRef>
          </c:xVal>
          <c:yVal>
            <c:numRef>
              <c:f>'19. Jms - Pre-Cle'!$E$162</c:f>
              <c:numCache>
                <c:formatCode>0.00</c:formatCode>
                <c:ptCount val="1"/>
                <c:pt idx="0">
                  <c:v>19.7425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CBF-462B-ACF3-F5BD44B5A6AC}"/>
            </c:ext>
          </c:extLst>
        </c:ser>
        <c:ser>
          <c:idx val="10"/>
          <c:order val="10"/>
          <c:tx>
            <c:v>Cleaner Jameson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'19. Jms - Pre-Cle'!$D$187</c:f>
              <c:numCache>
                <c:formatCode>0.00</c:formatCode>
                <c:ptCount val="1"/>
                <c:pt idx="0">
                  <c:v>97.165969364519782</c:v>
                </c:pt>
              </c:numCache>
            </c:numRef>
          </c:xVal>
          <c:yVal>
            <c:numRef>
              <c:f>'19. Jms - Pre-Cle'!$E$187</c:f>
              <c:numCache>
                <c:formatCode>0.00</c:formatCode>
                <c:ptCount val="1"/>
                <c:pt idx="0">
                  <c:v>27.403333333333332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CBF-462B-ACF3-F5BD44B5A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267951"/>
        <c:axId val="1129267471"/>
      </c:scatterChart>
      <c:valAx>
        <c:axId val="1129267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L"/>
                  <a:t>Recuperación, %</a:t>
                </a:r>
              </a:p>
            </c:rich>
          </c:tx>
          <c:layout>
            <c:manualLayout>
              <c:xMode val="edge"/>
              <c:yMode val="edge"/>
              <c:x val="0.4848905333833593"/>
              <c:y val="0.891845655021074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Source Sans Pro" panose="020B0503030403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129267471"/>
        <c:crosses val="autoZero"/>
        <c:crossBetween val="midCat"/>
      </c:valAx>
      <c:valAx>
        <c:axId val="112926747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L"/>
                  <a:t>Ley</a:t>
                </a:r>
                <a:r>
                  <a:rPr lang="es-CL" baseline="0"/>
                  <a:t> </a:t>
                </a:r>
                <a:r>
                  <a:rPr lang="es-CL"/>
                  <a:t> Cu, %</a:t>
                </a:r>
              </a:p>
            </c:rich>
          </c:tx>
          <c:layout>
            <c:manualLayout>
              <c:xMode val="edge"/>
              <c:yMode val="edge"/>
              <c:x val="2.4231988481986936E-2"/>
              <c:y val="0.38951095082271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Source Sans Pro" panose="020B0503030403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129267951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</c:legendEntry>
      <c:layout>
        <c:manualLayout>
          <c:xMode val="edge"/>
          <c:yMode val="edge"/>
          <c:x val="0.16341573977738211"/>
          <c:y val="0.52713752033338268"/>
          <c:w val="0.61475306378809835"/>
          <c:h val="0.25426801034669178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Source Sans Pro" panose="020B0503030403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0">
          <a:solidFill>
            <a:sysClr val="windowText" lastClr="000000"/>
          </a:solidFill>
          <a:latin typeface="Source Sans Pro" panose="020B0503030403020204" pitchFamily="34" charset="0"/>
          <a:cs typeface="Arial" panose="020B0604020202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40" b="1" i="0" u="none" strike="noStrike" kern="1200" spc="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r>
              <a:rPr lang="es-CL" sz="1600" b="1" i="0" u="none" strike="noStrike" kern="1200" spc="0" baseline="0">
                <a:solidFill>
                  <a:sysClr val="windowText" lastClr="000000"/>
                </a:solidFill>
                <a:latin typeface="Source Sans Pro" panose="020B0503030403020204" pitchFamily="34" charset="0"/>
                <a:cs typeface="Arial" panose="020B0604020202020204" pitchFamily="34" charset="0"/>
              </a:rPr>
              <a:t>Ley (%) vs Recuperación (%) Fe - Cola Rougher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40" b="1" i="0" u="none" strike="noStrike" kern="1200" spc="0" baseline="0">
              <a:solidFill>
                <a:sysClr val="windowText" lastClr="000000"/>
              </a:solidFill>
              <a:latin typeface="Source Sans Pro" panose="020B0503030403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567268540496887"/>
          <c:y val="0.17092165898617512"/>
          <c:w val="0.79192867003890621"/>
          <c:h val="0.62445480605246928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'19. Jms - Pre-Cle'!$B$46</c:f>
              <c:strCache>
                <c:ptCount val="1"/>
                <c:pt idx="0">
                  <c:v>T. Dilución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'19. Jms - Pre-Cle'!$P$47:$P$54</c:f>
              <c:numCache>
                <c:formatCode>0.0</c:formatCode>
                <c:ptCount val="8"/>
                <c:pt idx="0">
                  <c:v>9.308382376124392</c:v>
                </c:pt>
                <c:pt idx="1">
                  <c:v>13.953431969276778</c:v>
                </c:pt>
                <c:pt idx="2">
                  <c:v>24.044073681254975</c:v>
                </c:pt>
                <c:pt idx="3">
                  <c:v>36.284202857587943</c:v>
                </c:pt>
                <c:pt idx="4">
                  <c:v>38.469230604194124</c:v>
                </c:pt>
                <c:pt idx="5">
                  <c:v>38.993099961474705</c:v>
                </c:pt>
                <c:pt idx="6">
                  <c:v>42.677722399612691</c:v>
                </c:pt>
                <c:pt idx="7">
                  <c:v>100</c:v>
                </c:pt>
              </c:numCache>
            </c:numRef>
          </c:xVal>
          <c:yVal>
            <c:numRef>
              <c:f>'19. Jms - Pre-Cle'!$O$47:$O$54</c:f>
              <c:numCache>
                <c:formatCode>0.00</c:formatCode>
                <c:ptCount val="8"/>
                <c:pt idx="0">
                  <c:v>24.7</c:v>
                </c:pt>
                <c:pt idx="1">
                  <c:v>24.322601626016258</c:v>
                </c:pt>
                <c:pt idx="2">
                  <c:v>24.270998116760826</c:v>
                </c:pt>
                <c:pt idx="3">
                  <c:v>23.790519877675841</c:v>
                </c:pt>
                <c:pt idx="4">
                  <c:v>23.391888825864999</c:v>
                </c:pt>
                <c:pt idx="5">
                  <c:v>21.920031463030934</c:v>
                </c:pt>
                <c:pt idx="6">
                  <c:v>15.738390092879254</c:v>
                </c:pt>
                <c:pt idx="7">
                  <c:v>10.306922411306605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E2-416E-9B5E-BCDEE52DFB21}"/>
            </c:ext>
          </c:extLst>
        </c:ser>
        <c:ser>
          <c:idx val="0"/>
          <c:order val="1"/>
          <c:tx>
            <c:strRef>
              <c:f>'19. Jms - Pre-Cle'!$B$33</c:f>
              <c:strCache>
                <c:ptCount val="1"/>
                <c:pt idx="0">
                  <c:v>Cinetica Convencional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'19. Jms - Pre-Cle'!$P$34:$P$38</c:f>
              <c:numCache>
                <c:formatCode>0.0</c:formatCode>
                <c:ptCount val="5"/>
                <c:pt idx="0">
                  <c:v>8.4371773827747667</c:v>
                </c:pt>
                <c:pt idx="1">
                  <c:v>15.639638779340157</c:v>
                </c:pt>
                <c:pt idx="2">
                  <c:v>31.727921117923092</c:v>
                </c:pt>
                <c:pt idx="3">
                  <c:v>59.319063304450502</c:v>
                </c:pt>
                <c:pt idx="4">
                  <c:v>64.238945055866452</c:v>
                </c:pt>
              </c:numCache>
            </c:numRef>
          </c:xVal>
          <c:yVal>
            <c:numRef>
              <c:f>'19. Jms - Pre-Cle'!$O$34:$O$38</c:f>
              <c:numCache>
                <c:formatCode>0.00</c:formatCode>
                <c:ptCount val="5"/>
                <c:pt idx="0">
                  <c:v>13.8</c:v>
                </c:pt>
                <c:pt idx="1">
                  <c:v>15.217847025495754</c:v>
                </c:pt>
                <c:pt idx="2">
                  <c:v>16.511969696969697</c:v>
                </c:pt>
                <c:pt idx="3">
                  <c:v>16.365381526104414</c:v>
                </c:pt>
                <c:pt idx="4">
                  <c:v>14.714758252750915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E2-416E-9B5E-BCDEE52DF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267951"/>
        <c:axId val="1129267471"/>
      </c:scatterChart>
      <c:valAx>
        <c:axId val="1129267951"/>
        <c:scaling>
          <c:orientation val="minMax"/>
          <c:max val="10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L"/>
                  <a:t>Recuperación,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ysClr val="windowText" lastClr="000000"/>
                  </a:solidFill>
                  <a:latin typeface="Source Sans Pro" panose="020B0503030403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129267471"/>
        <c:crosses val="autoZero"/>
        <c:crossBetween val="midCat"/>
      </c:valAx>
      <c:valAx>
        <c:axId val="112926747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L"/>
                  <a:t>Grade Fe,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ysClr val="windowText" lastClr="000000"/>
                  </a:solidFill>
                  <a:latin typeface="Source Sans Pro" panose="020B0503030403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129267951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292660487737866"/>
          <c:y val="0.19793482824766337"/>
          <c:w val="0.25471291234959342"/>
          <c:h val="0.15808687081034237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0" i="0" u="none" strike="noStrike" kern="1200" baseline="0">
              <a:solidFill>
                <a:sysClr val="windowText" lastClr="000000"/>
              </a:solidFill>
              <a:latin typeface="Source Sans Pro" panose="020B0503030403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 b="0" i="0" u="none" strike="noStrike" kern="1200" baseline="0">
          <a:solidFill>
            <a:sysClr val="windowText" lastClr="000000"/>
          </a:solidFill>
          <a:latin typeface="Source Sans Pro" panose="020B0503030403020204" pitchFamily="34" charset="0"/>
          <a:ea typeface="+mn-ea"/>
          <a:cs typeface="Arial" panose="020B0604020202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r>
              <a:rPr lang="es-CL" b="1"/>
              <a:t>Ley (%) vs Mass Pull (%) Cu - Pre Cleaner #1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ysClr val="windowText" lastClr="000000"/>
              </a:solidFill>
              <a:latin typeface="Source Sans Pro" panose="020B0503030403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567268540496887"/>
          <c:y val="0.17092165898617512"/>
          <c:w val="0.79192867003890621"/>
          <c:h val="0.6244548060524692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'19. Jms - Pre-Cle'!$B$33</c:f>
              <c:strCache>
                <c:ptCount val="1"/>
                <c:pt idx="0">
                  <c:v>Cinetica Convencional</c:v>
                </c:pt>
              </c:strCache>
            </c:strRef>
          </c:tx>
          <c:spPr>
            <a:ln w="19050" cap="rnd">
              <a:solidFill>
                <a:srgbClr val="5ED4BE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'19. Jms - Pre-Cle'!$M$34:$M$38</c:f>
              <c:numCache>
                <c:formatCode>0.0</c:formatCode>
                <c:ptCount val="5"/>
                <c:pt idx="0">
                  <c:v>4.2756795276392143</c:v>
                </c:pt>
                <c:pt idx="1">
                  <c:v>7.1872136821744892</c:v>
                </c:pt>
                <c:pt idx="2">
                  <c:v>13.43784994400896</c:v>
                </c:pt>
                <c:pt idx="3">
                  <c:v>25.348671485289628</c:v>
                </c:pt>
                <c:pt idx="4">
                  <c:v>30.530387865214294</c:v>
                </c:pt>
              </c:numCache>
            </c:numRef>
          </c:xVal>
          <c:yVal>
            <c:numRef>
              <c:f>'19. Jms - Pre-Cle'!$J$34:$J$38</c:f>
              <c:numCache>
                <c:formatCode>0.00</c:formatCode>
                <c:ptCount val="5"/>
                <c:pt idx="0">
                  <c:v>14.59</c:v>
                </c:pt>
                <c:pt idx="1">
                  <c:v>16.279263456090654</c:v>
                </c:pt>
                <c:pt idx="2">
                  <c:v>17.893681818181818</c:v>
                </c:pt>
                <c:pt idx="3">
                  <c:v>16.820626506024094</c:v>
                </c:pt>
                <c:pt idx="4">
                  <c:v>14.476302767589196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F3-4872-BBBA-91BAAA880D7E}"/>
            </c:ext>
          </c:extLst>
        </c:ser>
        <c:ser>
          <c:idx val="1"/>
          <c:order val="1"/>
          <c:tx>
            <c:strRef>
              <c:f>'19. Jms - Pre-Cle'!$B$46</c:f>
              <c:strCache>
                <c:ptCount val="1"/>
                <c:pt idx="0">
                  <c:v>T. Dilución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'19. Jms - Pre-Cle'!$M$47:$M$53</c:f>
              <c:numCache>
                <c:formatCode>0.0</c:formatCode>
                <c:ptCount val="7"/>
                <c:pt idx="0">
                  <c:v>3.8842418998173258</c:v>
                </c:pt>
                <c:pt idx="1">
                  <c:v>5.9128929910585528</c:v>
                </c:pt>
                <c:pt idx="2">
                  <c:v>10.210556677242575</c:v>
                </c:pt>
                <c:pt idx="3">
                  <c:v>15.719642342082494</c:v>
                </c:pt>
                <c:pt idx="4">
                  <c:v>16.950293241034519</c:v>
                </c:pt>
                <c:pt idx="5">
                  <c:v>18.334775502355544</c:v>
                </c:pt>
                <c:pt idx="6">
                  <c:v>27.949235650418231</c:v>
                </c:pt>
              </c:numCache>
            </c:numRef>
          </c:xVal>
          <c:yVal>
            <c:numRef>
              <c:f>'19. Jms - Pre-Cle'!$J$47:$J$54</c:f>
              <c:numCache>
                <c:formatCode>0.00</c:formatCode>
                <c:ptCount val="8"/>
                <c:pt idx="0">
                  <c:v>25.82</c:v>
                </c:pt>
                <c:pt idx="1">
                  <c:v>25.747951219512192</c:v>
                </c:pt>
                <c:pt idx="2">
                  <c:v>25.180593220338984</c:v>
                </c:pt>
                <c:pt idx="3">
                  <c:v>24.388348623853211</c:v>
                </c:pt>
                <c:pt idx="4">
                  <c:v>23.956477595008508</c:v>
                </c:pt>
                <c:pt idx="5">
                  <c:v>22.732705820660723</c:v>
                </c:pt>
                <c:pt idx="6">
                  <c:v>15.483065015479875</c:v>
                </c:pt>
                <c:pt idx="7">
                  <c:v>4.6112783386212879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4F3-4872-BBBA-91BAAA880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267951"/>
        <c:axId val="1129267471"/>
      </c:scatterChart>
      <c:valAx>
        <c:axId val="1129267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L"/>
                  <a:t>Recuperación, %</a:t>
                </a:r>
              </a:p>
            </c:rich>
          </c:tx>
          <c:layout>
            <c:manualLayout>
              <c:xMode val="edge"/>
              <c:yMode val="edge"/>
              <c:x val="0.4848905333833593"/>
              <c:y val="0.891845655021074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ource Sans Pro" panose="020B0503030403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129267471"/>
        <c:crosses val="autoZero"/>
        <c:crossBetween val="midCat"/>
      </c:valAx>
      <c:valAx>
        <c:axId val="112926747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L"/>
                  <a:t>Ley  Cu, %</a:t>
                </a:r>
              </a:p>
            </c:rich>
          </c:tx>
          <c:layout>
            <c:manualLayout>
              <c:xMode val="edge"/>
              <c:yMode val="edge"/>
              <c:x val="2.4231988481986936E-2"/>
              <c:y val="0.38951095082271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ource Sans Pro" panose="020B0503030403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129267951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</c:legendEntry>
      <c:layout>
        <c:manualLayout>
          <c:xMode val="edge"/>
          <c:yMode val="edge"/>
          <c:x val="0.42503029624880456"/>
          <c:y val="0.61148336690471827"/>
          <c:w val="0.38329419655709268"/>
          <c:h val="0.159690724736226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Source Sans Pro" panose="020B0503030403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0">
          <a:solidFill>
            <a:sysClr val="windowText" lastClr="000000"/>
          </a:solidFill>
          <a:latin typeface="Source Sans Pro" panose="020B0503030403020204" pitchFamily="34" charset="0"/>
          <a:cs typeface="Arial" panose="020B0604020202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r>
              <a:rPr lang="es-CL" b="1"/>
              <a:t>Ley (%) vs Recuperación (%) Cu - Pre Cleaner #2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ysClr val="windowText" lastClr="000000"/>
              </a:solidFill>
              <a:latin typeface="Source Sans Pro" panose="020B0503030403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567268540496887"/>
          <c:y val="0.17092165898617512"/>
          <c:w val="0.79192867003890621"/>
          <c:h val="0.6244548060524692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'19. Jms - Pre-Cle'!$B$88</c:f>
              <c:strCache>
                <c:ptCount val="1"/>
                <c:pt idx="0">
                  <c:v>Cinética Convencional</c:v>
                </c:pt>
              </c:strCache>
            </c:strRef>
          </c:tx>
          <c:spPr>
            <a:ln w="19050" cap="rnd">
              <a:solidFill>
                <a:srgbClr val="5ED4BE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'19. Jms - Pre-Cle'!$K$89:$K$93</c:f>
              <c:numCache>
                <c:formatCode>0.0</c:formatCode>
                <c:ptCount val="5"/>
                <c:pt idx="0">
                  <c:v>39.11319547647021</c:v>
                </c:pt>
                <c:pt idx="1">
                  <c:v>53.286138780169182</c:v>
                </c:pt>
                <c:pt idx="2">
                  <c:v>70.286923196447177</c:v>
                </c:pt>
                <c:pt idx="3">
                  <c:v>92.428047227536254</c:v>
                </c:pt>
                <c:pt idx="4">
                  <c:v>94.992932743951741</c:v>
                </c:pt>
              </c:numCache>
            </c:numRef>
          </c:xVal>
          <c:yVal>
            <c:numRef>
              <c:f>'19. Jms - Pre-Cle'!$J$89:$J$93</c:f>
              <c:numCache>
                <c:formatCode>0.00</c:formatCode>
                <c:ptCount val="5"/>
                <c:pt idx="0">
                  <c:v>26.53</c:v>
                </c:pt>
                <c:pt idx="1">
                  <c:v>26.081810810810811</c:v>
                </c:pt>
                <c:pt idx="2">
                  <c:v>24.4321689059501</c:v>
                </c:pt>
                <c:pt idx="3">
                  <c:v>15.941885714285716</c:v>
                </c:pt>
                <c:pt idx="4">
                  <c:v>11.400588469184891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A6-4A90-8A32-47ADB7FC2AA6}"/>
            </c:ext>
          </c:extLst>
        </c:ser>
        <c:ser>
          <c:idx val="1"/>
          <c:order val="1"/>
          <c:tx>
            <c:strRef>
              <c:f>'19. Jms - Pre-Cle'!$B$101</c:f>
              <c:strCache>
                <c:ptCount val="1"/>
                <c:pt idx="0">
                  <c:v>T. Dilución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'19. Jms - Pre-Cle'!$K$102:$K$108</c:f>
              <c:numCache>
                <c:formatCode>0.0</c:formatCode>
                <c:ptCount val="7"/>
                <c:pt idx="0">
                  <c:v>41.131562095473157</c:v>
                </c:pt>
                <c:pt idx="1">
                  <c:v>58.137149547479602</c:v>
                </c:pt>
                <c:pt idx="2">
                  <c:v>73.606668663821182</c:v>
                </c:pt>
                <c:pt idx="3">
                  <c:v>83.958433534606215</c:v>
                </c:pt>
                <c:pt idx="4">
                  <c:v>85.590145416667823</c:v>
                </c:pt>
                <c:pt idx="5">
                  <c:v>89.229822097506954</c:v>
                </c:pt>
                <c:pt idx="6">
                  <c:v>94.198086579396517</c:v>
                </c:pt>
              </c:numCache>
            </c:numRef>
          </c:xVal>
          <c:yVal>
            <c:numRef>
              <c:f>'19. Jms - Pre-Cle'!$J$102:$J$108</c:f>
              <c:numCache>
                <c:formatCode>0.00</c:formatCode>
                <c:ptCount val="7"/>
                <c:pt idx="0">
                  <c:v>25.280000000000005</c:v>
                </c:pt>
                <c:pt idx="1">
                  <c:v>25.122636579572447</c:v>
                </c:pt>
                <c:pt idx="2">
                  <c:v>24.844025974025971</c:v>
                </c:pt>
                <c:pt idx="3">
                  <c:v>24.635774193548386</c:v>
                </c:pt>
                <c:pt idx="4">
                  <c:v>24.521307086614172</c:v>
                </c:pt>
                <c:pt idx="5">
                  <c:v>22.23723287671233</c:v>
                </c:pt>
                <c:pt idx="6">
                  <c:v>11.186053524804178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9A6-4A90-8A32-47ADB7FC2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267951"/>
        <c:axId val="1129267471"/>
      </c:scatterChart>
      <c:scatterChart>
        <c:scatterStyle val="lineMarker"/>
        <c:varyColors val="0"/>
        <c:ser>
          <c:idx val="2"/>
          <c:order val="2"/>
          <c:tx>
            <c:strRef>
              <c:f>'19. Jms - Pre-Cle'!$B$116:$C$116</c:f>
              <c:strCache>
                <c:ptCount val="1"/>
                <c:pt idx="0">
                  <c:v>Continua 1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'19. Jms - Pre-Cle'!$C$123</c:f>
              <c:numCache>
                <c:formatCode>0.00</c:formatCode>
                <c:ptCount val="1"/>
                <c:pt idx="0">
                  <c:v>29.973375409269199</c:v>
                </c:pt>
              </c:numCache>
            </c:numRef>
          </c:xVal>
          <c:yVal>
            <c:numRef>
              <c:f>'19. Jms - Pre-Cle'!$C$119</c:f>
              <c:numCache>
                <c:formatCode>General</c:formatCode>
                <c:ptCount val="1"/>
                <c:pt idx="0">
                  <c:v>31.33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9A6-4A90-8A32-47ADB7FC2AA6}"/>
            </c:ext>
          </c:extLst>
        </c:ser>
        <c:ser>
          <c:idx val="3"/>
          <c:order val="3"/>
          <c:tx>
            <c:strRef>
              <c:f>'19. Jms - Pre-Cle'!$D$116:$E$116</c:f>
              <c:strCache>
                <c:ptCount val="1"/>
                <c:pt idx="0">
                  <c:v>Continua 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'19. Jms - Pre-Cle'!$E$123</c:f>
              <c:numCache>
                <c:formatCode>0.00</c:formatCode>
                <c:ptCount val="1"/>
                <c:pt idx="0">
                  <c:v>54.936283558974878</c:v>
                </c:pt>
              </c:numCache>
            </c:numRef>
          </c:xVal>
          <c:yVal>
            <c:numRef>
              <c:f>'19. Jms - Pre-Cle'!$E$119</c:f>
              <c:numCache>
                <c:formatCode>General</c:formatCode>
                <c:ptCount val="1"/>
                <c:pt idx="0">
                  <c:v>31.72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9A6-4A90-8A32-47ADB7FC2AA6}"/>
            </c:ext>
          </c:extLst>
        </c:ser>
        <c:ser>
          <c:idx val="4"/>
          <c:order val="4"/>
          <c:tx>
            <c:strRef>
              <c:f>'19. Jms - Pre-Cle'!$F$116:$G$116</c:f>
              <c:strCache>
                <c:ptCount val="1"/>
                <c:pt idx="0">
                  <c:v>Continua 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'19. Jms - Pre-Cle'!$G$123</c:f>
              <c:numCache>
                <c:formatCode>0.00</c:formatCode>
                <c:ptCount val="1"/>
                <c:pt idx="0">
                  <c:v>42.441897550811312</c:v>
                </c:pt>
              </c:numCache>
            </c:numRef>
          </c:xVal>
          <c:yVal>
            <c:numRef>
              <c:f>'19. Jms - Pre-Cle'!$G$119</c:f>
              <c:numCache>
                <c:formatCode>General</c:formatCode>
                <c:ptCount val="1"/>
                <c:pt idx="0">
                  <c:v>31.67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9A6-4A90-8A32-47ADB7FC2AA6}"/>
            </c:ext>
          </c:extLst>
        </c:ser>
        <c:ser>
          <c:idx val="5"/>
          <c:order val="5"/>
          <c:tx>
            <c:strRef>
              <c:f>'19. Jms - Pre-Cle'!$H$116:$I$116</c:f>
              <c:strCache>
                <c:ptCount val="1"/>
                <c:pt idx="0">
                  <c:v>Continua 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'19. Jms - Pre-Cle'!$I$123</c:f>
              <c:numCache>
                <c:formatCode>0.00</c:formatCode>
                <c:ptCount val="1"/>
                <c:pt idx="0">
                  <c:v>53.873467289095807</c:v>
                </c:pt>
              </c:numCache>
            </c:numRef>
          </c:xVal>
          <c:yVal>
            <c:numRef>
              <c:f>'19. Jms - Pre-Cle'!$I$119</c:f>
              <c:numCache>
                <c:formatCode>General</c:formatCode>
                <c:ptCount val="1"/>
                <c:pt idx="0">
                  <c:v>33.49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9A6-4A90-8A32-47ADB7FC2AA6}"/>
            </c:ext>
          </c:extLst>
        </c:ser>
        <c:ser>
          <c:idx val="6"/>
          <c:order val="6"/>
          <c:tx>
            <c:strRef>
              <c:f>'19. Jms - Pre-Cle'!$J$116:$K$116</c:f>
              <c:strCache>
                <c:ptCount val="1"/>
                <c:pt idx="0">
                  <c:v>Continua 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'19. Jms - Pre-Cle'!$K$123</c:f>
              <c:numCache>
                <c:formatCode>0.00</c:formatCode>
                <c:ptCount val="1"/>
                <c:pt idx="0">
                  <c:v>64.215984711069908</c:v>
                </c:pt>
              </c:numCache>
            </c:numRef>
          </c:xVal>
          <c:yVal>
            <c:numRef>
              <c:f>'19. Jms - Pre-Cle'!$K$119</c:f>
              <c:numCache>
                <c:formatCode>General</c:formatCode>
                <c:ptCount val="1"/>
                <c:pt idx="0">
                  <c:v>29.13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9A6-4A90-8A32-47ADB7FC2AA6}"/>
            </c:ext>
          </c:extLst>
        </c:ser>
        <c:ser>
          <c:idx val="7"/>
          <c:order val="7"/>
          <c:tx>
            <c:strRef>
              <c:f>'19. Jms - Pre-Cle'!$L$116:$M$116</c:f>
              <c:strCache>
                <c:ptCount val="1"/>
                <c:pt idx="0">
                  <c:v>Continua 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'19. Jms - Pre-Cle'!$M$123</c:f>
              <c:numCache>
                <c:formatCode>0.00</c:formatCode>
                <c:ptCount val="1"/>
                <c:pt idx="0">
                  <c:v>66.720567885700589</c:v>
                </c:pt>
              </c:numCache>
            </c:numRef>
          </c:xVal>
          <c:yVal>
            <c:numRef>
              <c:f>'19. Jms - Pre-Cle'!$M$119</c:f>
              <c:numCache>
                <c:formatCode>General</c:formatCode>
                <c:ptCount val="1"/>
                <c:pt idx="0">
                  <c:v>27.22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9A6-4A90-8A32-47ADB7FC2AA6}"/>
            </c:ext>
          </c:extLst>
        </c:ser>
        <c:ser>
          <c:idx val="8"/>
          <c:order val="8"/>
          <c:tx>
            <c:strRef>
              <c:f>'19. Jms - Pre-Cle'!$N$116:$O$116</c:f>
              <c:strCache>
                <c:ptCount val="1"/>
                <c:pt idx="0">
                  <c:v>Continua 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'19. Jms - Pre-Cle'!$O$123</c:f>
              <c:numCache>
                <c:formatCode>0.00</c:formatCode>
                <c:ptCount val="1"/>
                <c:pt idx="0">
                  <c:v>64.81710494719421</c:v>
                </c:pt>
              </c:numCache>
            </c:numRef>
          </c:xVal>
          <c:yVal>
            <c:numRef>
              <c:f>'19. Jms - Pre-Cle'!$O$119</c:f>
              <c:numCache>
                <c:formatCode>General</c:formatCode>
                <c:ptCount val="1"/>
                <c:pt idx="0">
                  <c:v>27.12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9A6-4A90-8A32-47ADB7FC2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267951"/>
        <c:axId val="1129267471"/>
      </c:scatterChart>
      <c:valAx>
        <c:axId val="1129267951"/>
        <c:scaling>
          <c:orientation val="minMax"/>
          <c:max val="100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L"/>
                  <a:t>Recuperación, %</a:t>
                </a:r>
              </a:p>
            </c:rich>
          </c:tx>
          <c:layout>
            <c:manualLayout>
              <c:xMode val="edge"/>
              <c:yMode val="edge"/>
              <c:x val="0.4848905333833593"/>
              <c:y val="0.891845655021074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ource Sans Pro" panose="020B0503030403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129267471"/>
        <c:crosses val="autoZero"/>
        <c:crossBetween val="midCat"/>
      </c:valAx>
      <c:valAx>
        <c:axId val="1129267471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L"/>
                  <a:t>Ley  Cu, %</a:t>
                </a:r>
              </a:p>
            </c:rich>
          </c:tx>
          <c:layout>
            <c:manualLayout>
              <c:xMode val="edge"/>
              <c:yMode val="edge"/>
              <c:x val="2.4231988481986936E-2"/>
              <c:y val="0.38951095082271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ource Sans Pro" panose="020B0503030403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129267951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</c:legendEntry>
      <c:layout>
        <c:manualLayout>
          <c:xMode val="edge"/>
          <c:yMode val="edge"/>
          <c:x val="0.18551905828833692"/>
          <c:y val="0.58891168632766289"/>
          <c:w val="0.42765755093768182"/>
          <c:h val="0.18207676421399707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Source Sans Pro" panose="020B0503030403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0">
          <a:solidFill>
            <a:sysClr val="windowText" lastClr="000000"/>
          </a:solidFill>
          <a:latin typeface="Source Sans Pro" panose="020B0503030403020204" pitchFamily="34" charset="0"/>
          <a:cs typeface="Arial" panose="020B0604020202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r>
              <a:rPr lang="es-CL" b="1"/>
              <a:t>Ley (%) vs Mass Pull (%) Cu - Pre Cleaner #2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ysClr val="windowText" lastClr="000000"/>
              </a:solidFill>
              <a:latin typeface="Source Sans Pro" panose="020B0503030403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567268540496887"/>
          <c:y val="0.17092165898617512"/>
          <c:w val="0.79192867003890621"/>
          <c:h val="0.6244548060524692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'19. Jms - Pre-Cle'!$B$88</c:f>
              <c:strCache>
                <c:ptCount val="1"/>
                <c:pt idx="0">
                  <c:v>Cinética Convencional</c:v>
                </c:pt>
              </c:strCache>
            </c:strRef>
          </c:tx>
          <c:spPr>
            <a:ln w="19050" cap="rnd">
              <a:solidFill>
                <a:srgbClr val="5ED4BE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'19. Jms - Pre-Cle'!$M$89:$M$93</c:f>
              <c:numCache>
                <c:formatCode>0.0</c:formatCode>
                <c:ptCount val="5"/>
                <c:pt idx="0">
                  <c:v>3.2064368920379489</c:v>
                </c:pt>
                <c:pt idx="1">
                  <c:v>4.4433769664945366</c:v>
                </c:pt>
                <c:pt idx="2">
                  <c:v>6.2567551339017662</c:v>
                </c:pt>
                <c:pt idx="3">
                  <c:v>12.609583283295306</c:v>
                </c:pt>
                <c:pt idx="4">
                  <c:v>18.121772547135826</c:v>
                </c:pt>
              </c:numCache>
            </c:numRef>
          </c:xVal>
          <c:yVal>
            <c:numRef>
              <c:f>'19. Jms - Pre-Cle'!$J$89:$J$93</c:f>
              <c:numCache>
                <c:formatCode>0.00</c:formatCode>
                <c:ptCount val="5"/>
                <c:pt idx="0">
                  <c:v>26.53</c:v>
                </c:pt>
                <c:pt idx="1">
                  <c:v>26.081810810810811</c:v>
                </c:pt>
                <c:pt idx="2">
                  <c:v>24.4321689059501</c:v>
                </c:pt>
                <c:pt idx="3">
                  <c:v>15.941885714285716</c:v>
                </c:pt>
                <c:pt idx="4">
                  <c:v>11.400588469184891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C1-4E35-BA2E-D45221359C71}"/>
            </c:ext>
          </c:extLst>
        </c:ser>
        <c:ser>
          <c:idx val="1"/>
          <c:order val="1"/>
          <c:tx>
            <c:strRef>
              <c:f>'19. Jms - Pre-Cle'!$B$101</c:f>
              <c:strCache>
                <c:ptCount val="1"/>
                <c:pt idx="0">
                  <c:v>T. Dilución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'19. Jms - Pre-Cle'!$M$102:$M$108</c:f>
              <c:numCache>
                <c:formatCode>0.0</c:formatCode>
                <c:ptCount val="7"/>
                <c:pt idx="0">
                  <c:v>3.5296923443834971</c:v>
                </c:pt>
                <c:pt idx="1">
                  <c:v>5.0202718817076093</c:v>
                </c:pt>
                <c:pt idx="2">
                  <c:v>6.4273789649415711</c:v>
                </c:pt>
                <c:pt idx="3">
                  <c:v>7.3932745051275957</c:v>
                </c:pt>
                <c:pt idx="4">
                  <c:v>7.5721440496064893</c:v>
                </c:pt>
                <c:pt idx="5">
                  <c:v>8.7049844979728146</c:v>
                </c:pt>
                <c:pt idx="6">
                  <c:v>18.268542809444316</c:v>
                </c:pt>
              </c:numCache>
            </c:numRef>
          </c:xVal>
          <c:yVal>
            <c:numRef>
              <c:f>'19. Jms - Pre-Cle'!$J$102:$J$108</c:f>
              <c:numCache>
                <c:formatCode>0.00</c:formatCode>
                <c:ptCount val="7"/>
                <c:pt idx="0">
                  <c:v>25.280000000000005</c:v>
                </c:pt>
                <c:pt idx="1">
                  <c:v>25.122636579572447</c:v>
                </c:pt>
                <c:pt idx="2">
                  <c:v>24.844025974025971</c:v>
                </c:pt>
                <c:pt idx="3">
                  <c:v>24.635774193548386</c:v>
                </c:pt>
                <c:pt idx="4">
                  <c:v>24.521307086614172</c:v>
                </c:pt>
                <c:pt idx="5">
                  <c:v>22.23723287671233</c:v>
                </c:pt>
                <c:pt idx="6">
                  <c:v>11.186053524804178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AC1-4E35-BA2E-D45221359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267951"/>
        <c:axId val="1129267471"/>
      </c:scatterChart>
      <c:valAx>
        <c:axId val="1129267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L"/>
                  <a:t>Mass Pull, %</a:t>
                </a:r>
              </a:p>
            </c:rich>
          </c:tx>
          <c:layout>
            <c:manualLayout>
              <c:xMode val="edge"/>
              <c:yMode val="edge"/>
              <c:x val="0.4848905333833593"/>
              <c:y val="0.891845655021074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ource Sans Pro" panose="020B0503030403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129267471"/>
        <c:crosses val="autoZero"/>
        <c:crossBetween val="midCat"/>
        <c:majorUnit val="5"/>
      </c:valAx>
      <c:valAx>
        <c:axId val="112926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L"/>
                  <a:t>Ley  Cu, %</a:t>
                </a:r>
              </a:p>
            </c:rich>
          </c:tx>
          <c:layout>
            <c:manualLayout>
              <c:xMode val="edge"/>
              <c:yMode val="edge"/>
              <c:x val="2.4231988481986936E-2"/>
              <c:y val="0.38951095082271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ource Sans Pro" panose="020B0503030403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129267951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</c:legendEntry>
      <c:layout>
        <c:manualLayout>
          <c:xMode val="edge"/>
          <c:yMode val="edge"/>
          <c:x val="0.18174062176807623"/>
          <c:y val="0.61007482998568874"/>
          <c:w val="0.39543231210152641"/>
          <c:h val="0.14449655161852476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Source Sans Pro" panose="020B0503030403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0">
          <a:solidFill>
            <a:sysClr val="windowText" lastClr="000000"/>
          </a:solidFill>
          <a:latin typeface="Source Sans Pro" panose="020B0503030403020204" pitchFamily="34" charset="0"/>
          <a:cs typeface="Arial" panose="020B0604020202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40" b="0" i="0" u="none" strike="noStrike" kern="1200" spc="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r>
              <a:rPr lang="es-CL" sz="1600" b="0" i="0" u="none" strike="noStrike" kern="1200" spc="0" baseline="0">
                <a:solidFill>
                  <a:sysClr val="windowText" lastClr="000000"/>
                </a:solidFill>
                <a:latin typeface="Source Sans Pro" panose="020B0503030403020204" pitchFamily="34" charset="0"/>
                <a:cs typeface="Arial" panose="020B0604020202020204" pitchFamily="34" charset="0"/>
              </a:rPr>
              <a:t>Ley (%) vs Recuperación (%) Fe - Cola Rougher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40" b="0" i="0" u="none" strike="noStrike" kern="1200" spc="0" baseline="0">
              <a:solidFill>
                <a:sysClr val="windowText" lastClr="000000"/>
              </a:solidFill>
              <a:latin typeface="Source Sans Pro" panose="020B0503030403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567268540496887"/>
          <c:y val="0.17092165898617512"/>
          <c:w val="0.79192867003890621"/>
          <c:h val="0.62445480605246928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'20. Jms - Pre-Cle-SCV'!$B$46</c:f>
              <c:strCache>
                <c:ptCount val="1"/>
                <c:pt idx="0">
                  <c:v>T. Dilución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'20. Jms - Pre-Cle-SCV'!$P$47:$P$54</c:f>
              <c:numCache>
                <c:formatCode>0.0</c:formatCode>
                <c:ptCount val="8"/>
                <c:pt idx="0">
                  <c:v>7.3348645957434346</c:v>
                </c:pt>
                <c:pt idx="1">
                  <c:v>12.943245281258051</c:v>
                </c:pt>
                <c:pt idx="2">
                  <c:v>20.002327104092448</c:v>
                </c:pt>
                <c:pt idx="3">
                  <c:v>34.28021743168469</c:v>
                </c:pt>
                <c:pt idx="4">
                  <c:v>36.117971614714115</c:v>
                </c:pt>
                <c:pt idx="5">
                  <c:v>36.34297984781697</c:v>
                </c:pt>
                <c:pt idx="6">
                  <c:v>40.835666668959874</c:v>
                </c:pt>
                <c:pt idx="7">
                  <c:v>100</c:v>
                </c:pt>
              </c:numCache>
            </c:numRef>
          </c:xVal>
          <c:yVal>
            <c:numRef>
              <c:f>'20. Jms - Pre-Cle-SCV'!$O$47:$O$54</c:f>
              <c:numCache>
                <c:formatCode>0.00</c:formatCode>
                <c:ptCount val="8"/>
                <c:pt idx="0">
                  <c:v>13.4</c:v>
                </c:pt>
                <c:pt idx="1">
                  <c:v>12.994594594594597</c:v>
                </c:pt>
                <c:pt idx="2">
                  <c:v>12.546341463414635</c:v>
                </c:pt>
                <c:pt idx="3">
                  <c:v>12.134039174166226</c:v>
                </c:pt>
                <c:pt idx="4">
                  <c:v>12.166246851385392</c:v>
                </c:pt>
                <c:pt idx="5">
                  <c:v>11.888674168297458</c:v>
                </c:pt>
                <c:pt idx="6">
                  <c:v>9.7690339892665481</c:v>
                </c:pt>
                <c:pt idx="7">
                  <c:v>7.5999340759263472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6A-4505-BA23-F90E8F0F5C85}"/>
            </c:ext>
          </c:extLst>
        </c:ser>
        <c:ser>
          <c:idx val="0"/>
          <c:order val="1"/>
          <c:tx>
            <c:strRef>
              <c:f>'20. Jms - Pre-Cle-SCV'!$B$33</c:f>
              <c:strCache>
                <c:ptCount val="1"/>
                <c:pt idx="0">
                  <c:v>Cinetica Convencional</c:v>
                </c:pt>
              </c:strCache>
            </c:strRef>
          </c:tx>
          <c:spPr>
            <a:ln w="19050" cap="rnd">
              <a:solidFill>
                <a:srgbClr val="5ED4BE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'20. Jms - Pre-Cle-SCV'!$P$34:$P$38</c:f>
              <c:numCache>
                <c:formatCode>0.0</c:formatCode>
                <c:ptCount val="5"/>
                <c:pt idx="0">
                  <c:v>5.5858660462820477</c:v>
                </c:pt>
                <c:pt idx="1">
                  <c:v>13.071493641299616</c:v>
                </c:pt>
                <c:pt idx="2">
                  <c:v>25.701788928892892</c:v>
                </c:pt>
                <c:pt idx="3">
                  <c:v>45.489705220522062</c:v>
                </c:pt>
                <c:pt idx="4">
                  <c:v>65.63965368311024</c:v>
                </c:pt>
              </c:numCache>
            </c:numRef>
          </c:xVal>
          <c:yVal>
            <c:numRef>
              <c:f>'20. Jms - Pre-Cle-SCV'!$O$34:$O$38</c:f>
              <c:numCache>
                <c:formatCode>0.00</c:formatCode>
                <c:ptCount val="5"/>
                <c:pt idx="0">
                  <c:v>6.25</c:v>
                </c:pt>
                <c:pt idx="1">
                  <c:v>7.9592541436464082</c:v>
                </c:pt>
                <c:pt idx="2">
                  <c:v>8.6890337423312882</c:v>
                </c:pt>
                <c:pt idx="3">
                  <c:v>8.9446476360392513</c:v>
                </c:pt>
                <c:pt idx="4">
                  <c:v>9.3707577720207258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B6A-4505-BA23-F90E8F0F5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267951"/>
        <c:axId val="1129267471"/>
      </c:scatterChart>
      <c:valAx>
        <c:axId val="1129267951"/>
        <c:scaling>
          <c:orientation val="minMax"/>
          <c:max val="10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L"/>
                  <a:t>Recuperación,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ysClr val="windowText" lastClr="000000"/>
                  </a:solidFill>
                  <a:latin typeface="Source Sans Pro" panose="020B0503030403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129267471"/>
        <c:crosses val="autoZero"/>
        <c:crossBetween val="midCat"/>
      </c:valAx>
      <c:valAx>
        <c:axId val="112926747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L"/>
                  <a:t>Grade Fe,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ysClr val="windowText" lastClr="000000"/>
                  </a:solidFill>
                  <a:latin typeface="Source Sans Pro" panose="020B0503030403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129267951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292660487737866"/>
          <c:y val="0.19793482824766337"/>
          <c:w val="0.25471291234959342"/>
          <c:h val="0.15808687081034237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0" i="0" u="none" strike="noStrike" kern="1200" baseline="0">
              <a:solidFill>
                <a:sysClr val="windowText" lastClr="000000"/>
              </a:solidFill>
              <a:latin typeface="Source Sans Pro" panose="020B0503030403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 b="0" i="0" u="none" strike="noStrike" kern="1200" baseline="0">
          <a:solidFill>
            <a:sysClr val="windowText" lastClr="000000"/>
          </a:solidFill>
          <a:latin typeface="Source Sans Pro" panose="020B0503030403020204" pitchFamily="34" charset="0"/>
          <a:ea typeface="+mn-ea"/>
          <a:cs typeface="Arial" panose="020B0604020202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r>
              <a:rPr lang="es-CL" b="1"/>
              <a:t>Ley (%) vs Recuperación (%) Cu - Pre Scavenger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ysClr val="windowText" lastClr="000000"/>
              </a:solidFill>
              <a:latin typeface="Source Sans Pro" panose="020B0503030403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567268540496887"/>
          <c:y val="0.17092165898617512"/>
          <c:w val="0.79192867003890621"/>
          <c:h val="0.6244548060524692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'20. Jms - Pre-Cle-SCV'!$B$33</c:f>
              <c:strCache>
                <c:ptCount val="1"/>
                <c:pt idx="0">
                  <c:v>Cinetica Convencional</c:v>
                </c:pt>
              </c:strCache>
            </c:strRef>
          </c:tx>
          <c:spPr>
            <a:ln w="19050" cap="rnd">
              <a:solidFill>
                <a:srgbClr val="5ED4BE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'20. Jms - Pre-Cle-SCV'!$K$34:$K$38</c:f>
              <c:numCache>
                <c:formatCode>0.0</c:formatCode>
                <c:ptCount val="5"/>
                <c:pt idx="0">
                  <c:v>4.2891637761095884</c:v>
                </c:pt>
                <c:pt idx="1">
                  <c:v>16.135490673449329</c:v>
                </c:pt>
                <c:pt idx="2">
                  <c:v>34.402565387752787</c:v>
                </c:pt>
                <c:pt idx="3">
                  <c:v>57.791951057287029</c:v>
                </c:pt>
                <c:pt idx="4">
                  <c:v>91.658509128505344</c:v>
                </c:pt>
              </c:numCache>
            </c:numRef>
          </c:xVal>
          <c:yVal>
            <c:numRef>
              <c:f>'20. Jms - Pre-Cle-SCV'!$J$34:$J$38</c:f>
              <c:numCache>
                <c:formatCode>0.00</c:formatCode>
                <c:ptCount val="5"/>
                <c:pt idx="0">
                  <c:v>2.423</c:v>
                </c:pt>
                <c:pt idx="1">
                  <c:v>4.9604447513812158</c:v>
                </c:pt>
                <c:pt idx="2">
                  <c:v>5.8720567484662576</c:v>
                </c:pt>
                <c:pt idx="3">
                  <c:v>5.7373157894736844</c:v>
                </c:pt>
                <c:pt idx="4">
                  <c:v>6.6065161917098454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47-4545-B454-048ED092DEC4}"/>
            </c:ext>
          </c:extLst>
        </c:ser>
        <c:ser>
          <c:idx val="1"/>
          <c:order val="1"/>
          <c:tx>
            <c:strRef>
              <c:f>'20. Jms - Pre-Cle-SCV'!$B$46</c:f>
              <c:strCache>
                <c:ptCount val="1"/>
                <c:pt idx="0">
                  <c:v>T. Dilución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'20. Jms - Pre-Cle-SCV'!$K$47:$K$53</c:f>
              <c:numCache>
                <c:formatCode>0.0</c:formatCode>
                <c:ptCount val="7"/>
                <c:pt idx="0">
                  <c:v>18.28204012928089</c:v>
                </c:pt>
                <c:pt idx="1">
                  <c:v>32.295529227514038</c:v>
                </c:pt>
                <c:pt idx="2">
                  <c:v>49.740797398044812</c:v>
                </c:pt>
                <c:pt idx="3">
                  <c:v>81.654840486824369</c:v>
                </c:pt>
                <c:pt idx="4">
                  <c:v>86.00395147530115</c:v>
                </c:pt>
                <c:pt idx="5">
                  <c:v>86.913565409544816</c:v>
                </c:pt>
                <c:pt idx="6">
                  <c:v>90.502699298457031</c:v>
                </c:pt>
              </c:numCache>
            </c:numRef>
          </c:xVal>
          <c:yVal>
            <c:numRef>
              <c:f>'20. Jms - Pre-Cle-SCV'!$J$47:$J$54</c:f>
              <c:numCache>
                <c:formatCode>0.00</c:formatCode>
                <c:ptCount val="8"/>
                <c:pt idx="0">
                  <c:v>10.64</c:v>
                </c:pt>
                <c:pt idx="1">
                  <c:v>10.32918918918919</c:v>
                </c:pt>
                <c:pt idx="2">
                  <c:v>9.9392495309568467</c:v>
                </c:pt>
                <c:pt idx="3">
                  <c:v>9.2076336686077287</c:v>
                </c:pt>
                <c:pt idx="4">
                  <c:v>9.2290277078085659</c:v>
                </c:pt>
                <c:pt idx="5">
                  <c:v>9.0574246575342485</c:v>
                </c:pt>
                <c:pt idx="6">
                  <c:v>6.8972787119856891</c:v>
                </c:pt>
                <c:pt idx="7">
                  <c:v>2.4211076380995684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D47-4545-B454-048ED092D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267951"/>
        <c:axId val="1129267471"/>
      </c:scatterChart>
      <c:valAx>
        <c:axId val="1129267951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L"/>
                  <a:t>Recuperación, %</a:t>
                </a:r>
              </a:p>
            </c:rich>
          </c:tx>
          <c:layout>
            <c:manualLayout>
              <c:xMode val="edge"/>
              <c:yMode val="edge"/>
              <c:x val="0.4848905333833593"/>
              <c:y val="0.891845655021074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ource Sans Pro" panose="020B0503030403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129267471"/>
        <c:crosses val="autoZero"/>
        <c:crossBetween val="midCat"/>
      </c:valAx>
      <c:valAx>
        <c:axId val="112926747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L"/>
                  <a:t>Ley  Cu, %</a:t>
                </a:r>
              </a:p>
            </c:rich>
          </c:tx>
          <c:layout>
            <c:manualLayout>
              <c:xMode val="edge"/>
              <c:yMode val="edge"/>
              <c:x val="2.4231988481986936E-2"/>
              <c:y val="0.38951095082271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ource Sans Pro" panose="020B0503030403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129267951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</c:legendEntry>
      <c:layout>
        <c:manualLayout>
          <c:xMode val="edge"/>
          <c:yMode val="edge"/>
          <c:x val="0.591984633412724"/>
          <c:y val="0.61216166538155914"/>
          <c:w val="0.33714131724061552"/>
          <c:h val="0.159690724736226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Source Sans Pro" panose="020B0503030403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0">
          <a:solidFill>
            <a:sysClr val="windowText" lastClr="000000"/>
          </a:solidFill>
          <a:latin typeface="Source Sans Pro" panose="020B0503030403020204" pitchFamily="34" charset="0"/>
          <a:cs typeface="Arial" panose="020B0604020202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40" b="0" i="0" u="none" strike="noStrike" kern="1200" spc="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r>
              <a:rPr lang="es-CL" sz="1600" b="0" i="0" u="none" strike="noStrike" kern="1200" spc="0" baseline="0">
                <a:solidFill>
                  <a:sysClr val="windowText" lastClr="000000"/>
                </a:solidFill>
                <a:latin typeface="Source Sans Pro" panose="020B0503030403020204" pitchFamily="34" charset="0"/>
                <a:cs typeface="Arial" panose="020B0604020202020204" pitchFamily="34" charset="0"/>
              </a:rPr>
              <a:t>Ley (%) vs Recuperación (%) Fe - Cola Rougher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40" b="0" i="0" u="none" strike="noStrike" kern="1200" spc="0" baseline="0">
              <a:solidFill>
                <a:sysClr val="windowText" lastClr="000000"/>
              </a:solidFill>
              <a:latin typeface="Source Sans Pro" panose="020B0503030403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567268540496887"/>
          <c:y val="0.17092165898617512"/>
          <c:w val="0.79192867003890621"/>
          <c:h val="0.62445480605246928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'20. Jms - Pre-Cle-SCV'!$B$111</c:f>
              <c:strCache>
                <c:ptCount val="1"/>
                <c:pt idx="0">
                  <c:v>T. Dilución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'20. Jms - Pre-Cle-SCV'!$P$112:$P$119</c:f>
              <c:numCache>
                <c:formatCode>0.0</c:formatCode>
                <c:ptCount val="8"/>
                <c:pt idx="0">
                  <c:v>8.6254079231506697</c:v>
                </c:pt>
                <c:pt idx="1">
                  <c:v>12.555608277571736</c:v>
                </c:pt>
                <c:pt idx="2">
                  <c:v>18.975858696388979</c:v>
                </c:pt>
                <c:pt idx="3">
                  <c:v>24.747563758670896</c:v>
                </c:pt>
                <c:pt idx="4">
                  <c:v>24.989009073566589</c:v>
                </c:pt>
                <c:pt idx="5">
                  <c:v>25.325689716947338</c:v>
                </c:pt>
                <c:pt idx="6">
                  <c:v>27.65678613045149</c:v>
                </c:pt>
                <c:pt idx="7">
                  <c:v>100</c:v>
                </c:pt>
              </c:numCache>
            </c:numRef>
          </c:xVal>
          <c:yVal>
            <c:numRef>
              <c:f>'20. Jms - Pre-Cle-SCV'!$O$112:$O$119</c:f>
              <c:numCache>
                <c:formatCode>0.00</c:formatCode>
                <c:ptCount val="8"/>
                <c:pt idx="0">
                  <c:v>22.8</c:v>
                </c:pt>
                <c:pt idx="1">
                  <c:v>22.641094295692668</c:v>
                </c:pt>
                <c:pt idx="2">
                  <c:v>22.455080213903745</c:v>
                </c:pt>
                <c:pt idx="3">
                  <c:v>21.993172690763053</c:v>
                </c:pt>
                <c:pt idx="4">
                  <c:v>21.930934844192638</c:v>
                </c:pt>
                <c:pt idx="5">
                  <c:v>20.389615384615386</c:v>
                </c:pt>
                <c:pt idx="6">
                  <c:v>15.344018624641835</c:v>
                </c:pt>
                <c:pt idx="7">
                  <c:v>11.065902271753107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4F-4920-AAB8-1388E051F3D2}"/>
            </c:ext>
          </c:extLst>
        </c:ser>
        <c:ser>
          <c:idx val="0"/>
          <c:order val="2"/>
          <c:tx>
            <c:strRef>
              <c:f>'20. Jms - Pre-Cle-SCV'!$B$98</c:f>
              <c:strCache>
                <c:ptCount val="1"/>
                <c:pt idx="0">
                  <c:v>Cinetica Scavenger</c:v>
                </c:pt>
              </c:strCache>
            </c:strRef>
          </c:tx>
          <c:spPr>
            <a:ln w="19050" cap="rnd">
              <a:solidFill>
                <a:srgbClr val="5ED4BE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'20. Jms - Pre-Cle-SCV'!$P$99:$P$103</c:f>
              <c:numCache>
                <c:formatCode>0.0</c:formatCode>
                <c:ptCount val="5"/>
                <c:pt idx="0">
                  <c:v>19.788505077272891</c:v>
                </c:pt>
                <c:pt idx="1">
                  <c:v>27.041180967322536</c:v>
                </c:pt>
                <c:pt idx="2">
                  <c:v>34.435108139405244</c:v>
                </c:pt>
                <c:pt idx="3">
                  <c:v>49.355107943963219</c:v>
                </c:pt>
                <c:pt idx="4">
                  <c:v>53.903932249133504</c:v>
                </c:pt>
              </c:numCache>
            </c:numRef>
          </c:xVal>
          <c:yVal>
            <c:numRef>
              <c:f>'20. Jms - Pre-Cle-SCV'!$O$99:$O$103</c:f>
              <c:numCache>
                <c:formatCode>0.00</c:formatCode>
                <c:ptCount val="5"/>
                <c:pt idx="0">
                  <c:v>22</c:v>
                </c:pt>
                <c:pt idx="1">
                  <c:v>21.664768683274019</c:v>
                </c:pt>
                <c:pt idx="2">
                  <c:v>21.356473829201104</c:v>
                </c:pt>
                <c:pt idx="3">
                  <c:v>18.785038038884192</c:v>
                </c:pt>
                <c:pt idx="4">
                  <c:v>16.92528591352859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F4F-4920-AAB8-1388E051F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267951"/>
        <c:axId val="1129267471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1"/>
                <c:tx>
                  <c:strRef>
                    <c:extLst>
                      <c:ext uri="{02D57815-91ED-43cb-92C2-25804820EDAC}">
                        <c15:formulaRef>
                          <c15:sqref>'20. Jms - Pre-Cle-SCV'!$B$126</c15:sqref>
                        </c15:formulaRef>
                      </c:ext>
                    </c:extLst>
                    <c:strCache>
                      <c:ptCount val="1"/>
                      <c:pt idx="0">
                        <c:v>Continua 1 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FFC000"/>
                    </a:solidFill>
                    <a:ln w="9525">
                      <a:solidFill>
                        <a:srgbClr val="FFC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'20. Jms - Pre-Cle-SCV'!$P$127:$P$134</c15:sqref>
                        </c15:formulaRef>
                      </c:ext>
                    </c:extLst>
                    <c:numCache>
                      <c:formatCode>General</c:formatCode>
                      <c:ptCount val="8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'20. Jms - Pre-Cle-SCV'!$O$127:$O$134</c15:sqref>
                        </c15:formulaRef>
                      </c:ext>
                    </c:extLst>
                    <c:numCache>
                      <c:formatCode>General</c:formatCode>
                      <c:ptCount val="8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2F4F-4920-AAB8-1388E051F3D2}"/>
                  </c:ext>
                </c:extLst>
              </c15:ser>
            </c15:filteredScatterSeries>
          </c:ext>
        </c:extLst>
      </c:scatterChart>
      <c:valAx>
        <c:axId val="1129267951"/>
        <c:scaling>
          <c:orientation val="minMax"/>
          <c:max val="10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L"/>
                  <a:t>Recuperación,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ysClr val="windowText" lastClr="000000"/>
                  </a:solidFill>
                  <a:latin typeface="Source Sans Pro" panose="020B0503030403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129267471"/>
        <c:crosses val="autoZero"/>
        <c:crossBetween val="midCat"/>
      </c:valAx>
      <c:valAx>
        <c:axId val="112926747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L"/>
                  <a:t>Grade Fe,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ysClr val="windowText" lastClr="000000"/>
                  </a:solidFill>
                  <a:latin typeface="Source Sans Pro" panose="020B0503030403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129267951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292660487737866"/>
          <c:y val="0.19793482824766337"/>
          <c:w val="0.25471291234959342"/>
          <c:h val="0.15808687081034237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0" i="0" u="none" strike="noStrike" kern="1200" baseline="0">
              <a:solidFill>
                <a:sysClr val="windowText" lastClr="000000"/>
              </a:solidFill>
              <a:latin typeface="Source Sans Pro" panose="020B0503030403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 b="0" i="0" u="none" strike="noStrike" kern="1200" baseline="0">
          <a:solidFill>
            <a:sysClr val="windowText" lastClr="000000"/>
          </a:solidFill>
          <a:latin typeface="Source Sans Pro" panose="020B0503030403020204" pitchFamily="34" charset="0"/>
          <a:ea typeface="+mn-ea"/>
          <a:cs typeface="Arial" panose="020B0604020202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r>
              <a:rPr lang="es-CL" b="1"/>
              <a:t>Ley (%) vs Recuperación (%) Cu - Pre Scavenger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ysClr val="windowText" lastClr="000000"/>
              </a:solidFill>
              <a:latin typeface="Source Sans Pro" panose="020B0503030403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567268540496887"/>
          <c:y val="0.17092165898617512"/>
          <c:w val="0.79192867003890621"/>
          <c:h val="0.6244548060524692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'20. Jms - Pre-Cle-SCV'!$B$98</c:f>
              <c:strCache>
                <c:ptCount val="1"/>
                <c:pt idx="0">
                  <c:v>Cinetica Scavenger</c:v>
                </c:pt>
              </c:strCache>
            </c:strRef>
          </c:tx>
          <c:spPr>
            <a:ln w="19050" cap="rnd">
              <a:solidFill>
                <a:srgbClr val="5ED4BE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'20. Jms - Pre-Cle-SCV'!$K$99:$K$103</c:f>
              <c:numCache>
                <c:formatCode>0.0</c:formatCode>
                <c:ptCount val="5"/>
                <c:pt idx="0">
                  <c:v>39.676630297014817</c:v>
                </c:pt>
                <c:pt idx="1">
                  <c:v>54.479517537262169</c:v>
                </c:pt>
                <c:pt idx="2">
                  <c:v>68.035270792970408</c:v>
                </c:pt>
                <c:pt idx="3">
                  <c:v>85.802173946871591</c:v>
                </c:pt>
                <c:pt idx="4">
                  <c:v>89.075902747810886</c:v>
                </c:pt>
              </c:numCache>
            </c:numRef>
          </c:xVal>
          <c:yVal>
            <c:numRef>
              <c:f>'20. Jms - Pre-Cle-SCV'!$J$99:$J$103</c:f>
              <c:numCache>
                <c:formatCode>0.00</c:formatCode>
                <c:ptCount val="5"/>
                <c:pt idx="0">
                  <c:v>11.71</c:v>
                </c:pt>
                <c:pt idx="1">
                  <c:v>11.587081850533808</c:v>
                </c:pt>
                <c:pt idx="2">
                  <c:v>11.201460055096421</c:v>
                </c:pt>
                <c:pt idx="3">
                  <c:v>8.6694327979712611</c:v>
                </c:pt>
                <c:pt idx="4">
                  <c:v>7.4248591352859146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C9-4370-B285-0D9672FEE87A}"/>
            </c:ext>
          </c:extLst>
        </c:ser>
        <c:ser>
          <c:idx val="1"/>
          <c:order val="1"/>
          <c:tx>
            <c:strRef>
              <c:f>'20. Jms - Pre-Cle-SCV'!$B$111</c:f>
              <c:strCache>
                <c:ptCount val="1"/>
                <c:pt idx="0">
                  <c:v>T. Dilución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'20. Jms - Pre-Cle-SCV'!$K$112:$K$118</c:f>
              <c:numCache>
                <c:formatCode>0.0</c:formatCode>
                <c:ptCount val="7"/>
                <c:pt idx="0">
                  <c:v>28.993914455743962</c:v>
                </c:pt>
                <c:pt idx="1">
                  <c:v>42.204452270903744</c:v>
                </c:pt>
                <c:pt idx="2">
                  <c:v>62.248554733427873</c:v>
                </c:pt>
                <c:pt idx="3">
                  <c:v>79.456244173931196</c:v>
                </c:pt>
                <c:pt idx="4">
                  <c:v>80.478503855494083</c:v>
                </c:pt>
                <c:pt idx="5">
                  <c:v>84.754453575809336</c:v>
                </c:pt>
                <c:pt idx="6">
                  <c:v>89.314128246119921</c:v>
                </c:pt>
              </c:numCache>
            </c:numRef>
          </c:xVal>
          <c:yVal>
            <c:numRef>
              <c:f>'20. Jms - Pre-Cle-SCV'!$J$112:$J$119</c:f>
              <c:numCache>
                <c:formatCode>0.00</c:formatCode>
                <c:ptCount val="8"/>
                <c:pt idx="0">
                  <c:v>11.83</c:v>
                </c:pt>
                <c:pt idx="1">
                  <c:v>11.747369033760187</c:v>
                </c:pt>
                <c:pt idx="2">
                  <c:v>11.370122230710466</c:v>
                </c:pt>
                <c:pt idx="3">
                  <c:v>10.899489386115892</c:v>
                </c:pt>
                <c:pt idx="4">
                  <c:v>10.902113314447593</c:v>
                </c:pt>
                <c:pt idx="5">
                  <c:v>10.532536382536383</c:v>
                </c:pt>
                <c:pt idx="6">
                  <c:v>7.6485702005730669</c:v>
                </c:pt>
                <c:pt idx="7">
                  <c:v>1.7080851550221461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BC9-4370-B285-0D9672FEE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267951"/>
        <c:axId val="1129267471"/>
      </c:scatterChart>
      <c:scatterChart>
        <c:scatterStyle val="lineMarker"/>
        <c:varyColors val="0"/>
        <c:ser>
          <c:idx val="2"/>
          <c:order val="2"/>
          <c:tx>
            <c:strRef>
              <c:f>'20. Jms - Pre-Cle-SCV'!$F$126:$G$126</c:f>
              <c:strCache>
                <c:ptCount val="1"/>
                <c:pt idx="0">
                  <c:v>Continua 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'20. Jms - Pre-Cle-SCV'!$G$134</c:f>
              <c:numCache>
                <c:formatCode>0.00</c:formatCode>
                <c:ptCount val="1"/>
                <c:pt idx="0">
                  <c:v>17.917898044116946</c:v>
                </c:pt>
              </c:numCache>
            </c:numRef>
          </c:xVal>
          <c:yVal>
            <c:numRef>
              <c:f>'20. Jms - Pre-Cle-SCV'!$G$129</c:f>
              <c:numCache>
                <c:formatCode>General</c:formatCode>
                <c:ptCount val="1"/>
                <c:pt idx="0">
                  <c:v>11.39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BC9-4370-B285-0D9672FEE87A}"/>
            </c:ext>
          </c:extLst>
        </c:ser>
        <c:ser>
          <c:idx val="3"/>
          <c:order val="3"/>
          <c:tx>
            <c:strRef>
              <c:f>'20. Jms - Pre-Cle-SCV'!$H$126:$I$126</c:f>
              <c:strCache>
                <c:ptCount val="1"/>
                <c:pt idx="0">
                  <c:v>Continua 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'20. Jms - Pre-Cle-SCV'!$I$134</c:f>
              <c:numCache>
                <c:formatCode>0.00</c:formatCode>
                <c:ptCount val="1"/>
                <c:pt idx="0">
                  <c:v>13.045306162825206</c:v>
                </c:pt>
              </c:numCache>
            </c:numRef>
          </c:xVal>
          <c:yVal>
            <c:numRef>
              <c:f>'20. Jms - Pre-Cle-SCV'!$I$129</c:f>
              <c:numCache>
                <c:formatCode>General</c:formatCode>
                <c:ptCount val="1"/>
                <c:pt idx="0">
                  <c:v>10.55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6D-477A-8D0F-1550BA79CBA2}"/>
            </c:ext>
          </c:extLst>
        </c:ser>
        <c:ser>
          <c:idx val="4"/>
          <c:order val="4"/>
          <c:tx>
            <c:strRef>
              <c:f>'20. Jms - Pre-Cle-SCV'!$J$126:$K$126</c:f>
              <c:strCache>
                <c:ptCount val="1"/>
                <c:pt idx="0">
                  <c:v>Continua 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'20. Jms - Pre-Cle-SCV'!$K$134</c:f>
              <c:numCache>
                <c:formatCode>0.00</c:formatCode>
                <c:ptCount val="1"/>
                <c:pt idx="0">
                  <c:v>23.031581206366901</c:v>
                </c:pt>
              </c:numCache>
            </c:numRef>
          </c:xVal>
          <c:yVal>
            <c:numRef>
              <c:f>'20. Jms - Pre-Cle-SCV'!$K$129</c:f>
              <c:numCache>
                <c:formatCode>General</c:formatCode>
                <c:ptCount val="1"/>
                <c:pt idx="0">
                  <c:v>14.74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6D-477A-8D0F-1550BA79C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267951"/>
        <c:axId val="1129267471"/>
      </c:scatterChart>
      <c:valAx>
        <c:axId val="1129267951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L"/>
                  <a:t>Recuperación, %</a:t>
                </a:r>
              </a:p>
            </c:rich>
          </c:tx>
          <c:layout>
            <c:manualLayout>
              <c:xMode val="edge"/>
              <c:yMode val="edge"/>
              <c:x val="0.4848905333833593"/>
              <c:y val="0.891845655021074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ource Sans Pro" panose="020B0503030403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129267471"/>
        <c:crosses val="autoZero"/>
        <c:crossBetween val="midCat"/>
      </c:valAx>
      <c:valAx>
        <c:axId val="112926747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L"/>
                  <a:t>Ley  Cu, %</a:t>
                </a:r>
              </a:p>
            </c:rich>
          </c:tx>
          <c:layout>
            <c:manualLayout>
              <c:xMode val="edge"/>
              <c:yMode val="edge"/>
              <c:x val="2.4231988481986936E-2"/>
              <c:y val="0.38951095082271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ource Sans Pro" panose="020B0503030403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129267951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</c:legendEntry>
      <c:layout>
        <c:manualLayout>
          <c:xMode val="edge"/>
          <c:yMode val="edge"/>
          <c:x val="0.16664782343224291"/>
          <c:y val="0.45684721347004398"/>
          <c:w val="0.3191001320261912"/>
          <c:h val="0.30678404254744795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Source Sans Pro" panose="020B0503030403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0">
          <a:solidFill>
            <a:sysClr val="windowText" lastClr="000000"/>
          </a:solidFill>
          <a:latin typeface="Source Sans Pro" panose="020B0503030403020204" pitchFamily="34" charset="0"/>
          <a:cs typeface="Arial" panose="020B0604020202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b="1"/>
            </a:pPr>
            <a:r>
              <a:rPr lang="es-CL" b="1"/>
              <a:t>Ley (%) vs Recuperación (%) Cu - Pre Scavenger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67268540496887"/>
          <c:y val="0.17092165898617512"/>
          <c:w val="0.79192867003890621"/>
          <c:h val="0.62445480605246928"/>
        </c:manualLayout>
      </c:layout>
      <c:scatterChart>
        <c:scatterStyle val="smoothMarker"/>
        <c:varyColors val="0"/>
        <c:ser>
          <c:idx val="3"/>
          <c:order val="0"/>
          <c:tx>
            <c:v>Cinética Convencional Cond #1</c:v>
          </c:tx>
          <c:spPr>
            <a:ln w="25400">
              <a:solidFill>
                <a:srgbClr val="5ED4BE"/>
              </a:solidFill>
              <a:prstDash val="solid"/>
            </a:ln>
          </c:spPr>
          <c:marker>
            <c:symbol val="none"/>
          </c:marker>
          <c:xVal>
            <c:numRef>
              <c:f>'20. Jms - Pre-Cle-SCV'!$K$34:$K$38</c:f>
              <c:numCache>
                <c:formatCode>0.0</c:formatCode>
                <c:ptCount val="5"/>
                <c:pt idx="0">
                  <c:v>4.2891637761095884</c:v>
                </c:pt>
                <c:pt idx="1">
                  <c:v>16.135490673449329</c:v>
                </c:pt>
                <c:pt idx="2">
                  <c:v>34.402565387752787</c:v>
                </c:pt>
                <c:pt idx="3">
                  <c:v>57.791951057287029</c:v>
                </c:pt>
                <c:pt idx="4">
                  <c:v>91.658509128505344</c:v>
                </c:pt>
              </c:numCache>
            </c:numRef>
          </c:xVal>
          <c:yVal>
            <c:numRef>
              <c:f>'20. Jms - Pre-Cle-SCV'!$J$34:$J$38</c:f>
              <c:numCache>
                <c:formatCode>0.00</c:formatCode>
                <c:ptCount val="5"/>
                <c:pt idx="0">
                  <c:v>2.423</c:v>
                </c:pt>
                <c:pt idx="1">
                  <c:v>4.9604447513812158</c:v>
                </c:pt>
                <c:pt idx="2">
                  <c:v>5.8720567484662576</c:v>
                </c:pt>
                <c:pt idx="3">
                  <c:v>5.7373157894736844</c:v>
                </c:pt>
                <c:pt idx="4">
                  <c:v>6.6065161917098454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35A-483D-B902-58E38D41FBFA}"/>
            </c:ext>
          </c:extLst>
        </c:ser>
        <c:ser>
          <c:idx val="4"/>
          <c:order val="1"/>
          <c:tx>
            <c:v>T. Dilución Cond. #1</c:v>
          </c:tx>
          <c:spPr>
            <a:ln w="1905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'20. Jms - Pre-Cle-SCV'!$K$47:$K$53</c:f>
              <c:numCache>
                <c:formatCode>0.0</c:formatCode>
                <c:ptCount val="7"/>
                <c:pt idx="0">
                  <c:v>18.28204012928089</c:v>
                </c:pt>
                <c:pt idx="1">
                  <c:v>32.295529227514038</c:v>
                </c:pt>
                <c:pt idx="2">
                  <c:v>49.740797398044812</c:v>
                </c:pt>
                <c:pt idx="3">
                  <c:v>81.654840486824369</c:v>
                </c:pt>
                <c:pt idx="4">
                  <c:v>86.00395147530115</c:v>
                </c:pt>
                <c:pt idx="5">
                  <c:v>86.913565409544816</c:v>
                </c:pt>
                <c:pt idx="6">
                  <c:v>90.502699298457031</c:v>
                </c:pt>
              </c:numCache>
            </c:numRef>
          </c:xVal>
          <c:yVal>
            <c:numRef>
              <c:f>'20. Jms - Pre-Cle-SCV'!$J$47:$J$54</c:f>
              <c:numCache>
                <c:formatCode>0.00</c:formatCode>
                <c:ptCount val="8"/>
                <c:pt idx="0">
                  <c:v>10.64</c:v>
                </c:pt>
                <c:pt idx="1">
                  <c:v>10.32918918918919</c:v>
                </c:pt>
                <c:pt idx="2">
                  <c:v>9.9392495309568467</c:v>
                </c:pt>
                <c:pt idx="3">
                  <c:v>9.2076336686077287</c:v>
                </c:pt>
                <c:pt idx="4">
                  <c:v>9.2290277078085659</c:v>
                </c:pt>
                <c:pt idx="5">
                  <c:v>9.0574246575342485</c:v>
                </c:pt>
                <c:pt idx="6">
                  <c:v>6.8972787119856891</c:v>
                </c:pt>
                <c:pt idx="7">
                  <c:v>2.4211076380995684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A-F35A-483D-B902-58E38D41FBFA}"/>
            </c:ext>
          </c:extLst>
        </c:ser>
        <c:ser>
          <c:idx val="0"/>
          <c:order val="2"/>
          <c:tx>
            <c:v>Cinética Convencional Cond #2</c:v>
          </c:tx>
          <c:spPr>
            <a:ln w="25400">
              <a:solidFill>
                <a:srgbClr val="5ED4BE"/>
              </a:solidFill>
              <a:prstDash val="dash"/>
            </a:ln>
          </c:spPr>
          <c:marker>
            <c:symbol val="none"/>
          </c:marker>
          <c:xVal>
            <c:numRef>
              <c:f>'20. Jms - Pre-Cle-SCV'!$K$99:$K$103</c:f>
              <c:numCache>
                <c:formatCode>0.0</c:formatCode>
                <c:ptCount val="5"/>
                <c:pt idx="0">
                  <c:v>39.676630297014817</c:v>
                </c:pt>
                <c:pt idx="1">
                  <c:v>54.479517537262169</c:v>
                </c:pt>
                <c:pt idx="2">
                  <c:v>68.035270792970408</c:v>
                </c:pt>
                <c:pt idx="3">
                  <c:v>85.802173946871591</c:v>
                </c:pt>
                <c:pt idx="4">
                  <c:v>89.075902747810886</c:v>
                </c:pt>
              </c:numCache>
            </c:numRef>
          </c:xVal>
          <c:yVal>
            <c:numRef>
              <c:f>'20. Jms - Pre-Cle-SCV'!$J$99:$J$103</c:f>
              <c:numCache>
                <c:formatCode>0.00</c:formatCode>
                <c:ptCount val="5"/>
                <c:pt idx="0">
                  <c:v>11.71</c:v>
                </c:pt>
                <c:pt idx="1">
                  <c:v>11.587081850533808</c:v>
                </c:pt>
                <c:pt idx="2">
                  <c:v>11.201460055096421</c:v>
                </c:pt>
                <c:pt idx="3">
                  <c:v>8.6694327979712611</c:v>
                </c:pt>
                <c:pt idx="4">
                  <c:v>7.4248591352859146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35A-483D-B902-58E38D41FBFA}"/>
            </c:ext>
          </c:extLst>
        </c:ser>
        <c:ser>
          <c:idx val="1"/>
          <c:order val="3"/>
          <c:tx>
            <c:v>T. Dilución Cond. #2</c:v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'20. Jms - Pre-Cle-SCV'!$K$112:$K$118</c:f>
              <c:numCache>
                <c:formatCode>0.0</c:formatCode>
                <c:ptCount val="7"/>
                <c:pt idx="0">
                  <c:v>28.993914455743962</c:v>
                </c:pt>
                <c:pt idx="1">
                  <c:v>42.204452270903744</c:v>
                </c:pt>
                <c:pt idx="2">
                  <c:v>62.248554733427873</c:v>
                </c:pt>
                <c:pt idx="3">
                  <c:v>79.456244173931196</c:v>
                </c:pt>
                <c:pt idx="4">
                  <c:v>80.478503855494083</c:v>
                </c:pt>
                <c:pt idx="5">
                  <c:v>84.754453575809336</c:v>
                </c:pt>
                <c:pt idx="6">
                  <c:v>89.314128246119921</c:v>
                </c:pt>
              </c:numCache>
            </c:numRef>
          </c:xVal>
          <c:yVal>
            <c:numRef>
              <c:f>'20. Jms - Pre-Cle-SCV'!$J$112:$J$119</c:f>
              <c:numCache>
                <c:formatCode>0.00</c:formatCode>
                <c:ptCount val="8"/>
                <c:pt idx="0">
                  <c:v>11.83</c:v>
                </c:pt>
                <c:pt idx="1">
                  <c:v>11.747369033760187</c:v>
                </c:pt>
                <c:pt idx="2">
                  <c:v>11.370122230710466</c:v>
                </c:pt>
                <c:pt idx="3">
                  <c:v>10.899489386115892</c:v>
                </c:pt>
                <c:pt idx="4">
                  <c:v>10.902113314447593</c:v>
                </c:pt>
                <c:pt idx="5">
                  <c:v>10.532536382536383</c:v>
                </c:pt>
                <c:pt idx="6">
                  <c:v>7.6485702005730669</c:v>
                </c:pt>
                <c:pt idx="7">
                  <c:v>1.7080851550221461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6-F35A-483D-B902-58E38D41FB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267951"/>
        <c:axId val="1129267471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4"/>
                <c:tx>
                  <c:strRef>
                    <c:extLst>
                      <c:ext uri="{02D57815-91ED-43cb-92C2-25804820EDAC}">
                        <c15:formulaRef>
                          <c15:sqref>'20. Jms - Pre-Cle-SCV'!$B$126</c15:sqref>
                        </c15:formulaRef>
                      </c:ext>
                    </c:extLst>
                    <c:strCache>
                      <c:ptCount val="1"/>
                      <c:pt idx="0">
                        <c:v>Continua 1 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'20. Jms - Pre-Cle-SCV'!$K$127:$K$134</c15:sqref>
                        </c15:formulaRef>
                      </c:ext>
                    </c:extLst>
                    <c:strCache>
                      <c:ptCount val="8"/>
                      <c:pt idx="0">
                        <c:v>Cu (%)</c:v>
                      </c:pt>
                      <c:pt idx="1">
                        <c:v>0.504</c:v>
                      </c:pt>
                      <c:pt idx="2">
                        <c:v>14.74</c:v>
                      </c:pt>
                      <c:pt idx="3">
                        <c:v>0.391</c:v>
                      </c:pt>
                      <c:pt idx="4">
                        <c:v>0.35</c:v>
                      </c:pt>
                      <c:pt idx="6">
                        <c:v>0.79</c:v>
                      </c:pt>
                      <c:pt idx="7">
                        <c:v>23.03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'20. Jms - Pre-Cle-SCV'!$J$127:$J$134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8-F35A-483D-B902-58E38D41FBFA}"/>
                  </c:ext>
                </c:extLst>
              </c15:ser>
            </c15:filteredScatterSeries>
          </c:ext>
        </c:extLst>
      </c:scatterChart>
      <c:valAx>
        <c:axId val="1129267951"/>
        <c:scaling>
          <c:orientation val="minMax"/>
          <c:max val="10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s-CL"/>
                  <a:t>Recuperación, %</a:t>
                </a:r>
              </a:p>
            </c:rich>
          </c:tx>
          <c:layout>
            <c:manualLayout>
              <c:xMode val="edge"/>
              <c:yMode val="edge"/>
              <c:x val="0.4848905333833593"/>
              <c:y val="0.8918456550210748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s-CL"/>
          </a:p>
        </c:txPr>
        <c:crossAx val="1129267471"/>
        <c:crosses val="autoZero"/>
        <c:crossBetween val="midCat"/>
      </c:valAx>
      <c:valAx>
        <c:axId val="112926747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s-CL"/>
                  <a:t>Ley  Cu, %</a:t>
                </a:r>
              </a:p>
            </c:rich>
          </c:tx>
          <c:layout>
            <c:manualLayout>
              <c:xMode val="edge"/>
              <c:yMode val="edge"/>
              <c:x val="2.4231988481986936E-2"/>
              <c:y val="0.389510950822712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s-CL"/>
          </a:p>
        </c:txPr>
        <c:crossAx val="1129267951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egendEntry>
        <c:idx val="2"/>
        <c:txPr>
          <a:bodyPr rot="0" vert="horz"/>
          <a:lstStyle/>
          <a:p>
            <a:pPr>
              <a:defRPr/>
            </a:pPr>
            <a:endParaRPr lang="es-CL"/>
          </a:p>
        </c:txPr>
      </c:legendEntry>
      <c:layout>
        <c:manualLayout>
          <c:xMode val="edge"/>
          <c:yMode val="edge"/>
          <c:x val="0.44498982733396314"/>
          <c:y val="0.591099366003907"/>
          <c:w val="0.45176521575492845"/>
          <c:h val="0.2049980888311291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vert="horz"/>
        <a:lstStyle/>
        <a:p>
          <a:pPr>
            <a:defRPr/>
          </a:pPr>
          <a:endParaRPr lang="es-CL"/>
        </a:p>
      </c:txPr>
    </c:legend>
    <c:plotVisOnly val="1"/>
    <c:dispBlanksAs val="gap"/>
    <c:showDLblsOverMax val="0"/>
    <c:extLst/>
  </c:chart>
  <c:txPr>
    <a:bodyPr/>
    <a:lstStyle/>
    <a:p>
      <a:pPr>
        <a:defRPr sz="1400" b="0">
          <a:solidFill>
            <a:sysClr val="windowText" lastClr="000000"/>
          </a:solidFill>
          <a:latin typeface="Source Sans Pro" panose="020B0503030403020204" pitchFamily="34" charset="0"/>
          <a:cs typeface="Arial" panose="020B0604020202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r>
              <a:rPr lang="es-CL" b="1"/>
              <a:t>Ley (%) vs Mass Pull (%) Cu - Pre Scavenger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ysClr val="windowText" lastClr="000000"/>
              </a:solidFill>
              <a:latin typeface="Source Sans Pro" panose="020B0503030403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567268540496887"/>
          <c:y val="0.17092165898617512"/>
          <c:w val="0.79192867003890621"/>
          <c:h val="0.6244548060524692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'20. Jms - Pre-Cle-SCV'!$B$33</c:f>
              <c:strCache>
                <c:ptCount val="1"/>
                <c:pt idx="0">
                  <c:v>Cinetica Convencional</c:v>
                </c:pt>
              </c:strCache>
            </c:strRef>
          </c:tx>
          <c:spPr>
            <a:ln w="19050" cap="rnd">
              <a:solidFill>
                <a:srgbClr val="5ED4BE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'20. Jms - Pre-Cle-SCV'!$M$34:$M$38</c:f>
              <c:numCache>
                <c:formatCode>0.0</c:formatCode>
                <c:ptCount val="5"/>
                <c:pt idx="0">
                  <c:v>4.386550879536852</c:v>
                </c:pt>
                <c:pt idx="1">
                  <c:v>8.0605655755956356</c:v>
                </c:pt>
                <c:pt idx="2">
                  <c:v>14.517924738365622</c:v>
                </c:pt>
                <c:pt idx="3">
                  <c:v>24.961033177466046</c:v>
                </c:pt>
                <c:pt idx="4">
                  <c:v>34.379870852816751</c:v>
                </c:pt>
              </c:numCache>
            </c:numRef>
          </c:xVal>
          <c:yVal>
            <c:numRef>
              <c:f>'20. Jms - Pre-Cle-SCV'!$J$34:$J$38</c:f>
              <c:numCache>
                <c:formatCode>0.00</c:formatCode>
                <c:ptCount val="5"/>
                <c:pt idx="0">
                  <c:v>2.423</c:v>
                </c:pt>
                <c:pt idx="1">
                  <c:v>4.9604447513812158</c:v>
                </c:pt>
                <c:pt idx="2">
                  <c:v>5.8720567484662576</c:v>
                </c:pt>
                <c:pt idx="3">
                  <c:v>5.7373157894736844</c:v>
                </c:pt>
                <c:pt idx="4">
                  <c:v>6.6065161917098454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60-44C1-A5E8-DC827E141B63}"/>
            </c:ext>
          </c:extLst>
        </c:ser>
        <c:ser>
          <c:idx val="1"/>
          <c:order val="1"/>
          <c:tx>
            <c:strRef>
              <c:f>'20. Jms - Pre-Cle-SCV'!$B$46</c:f>
              <c:strCache>
                <c:ptCount val="1"/>
                <c:pt idx="0">
                  <c:v>T. Dilución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'20. Jms - Pre-Cle-SCV'!$M$47:$M$53</c:f>
              <c:numCache>
                <c:formatCode>0.0</c:formatCode>
                <c:ptCount val="7"/>
                <c:pt idx="0">
                  <c:v>4.1600363719027058</c:v>
                </c:pt>
                <c:pt idx="1">
                  <c:v>7.5699022505114808</c:v>
                </c:pt>
                <c:pt idx="2">
                  <c:v>12.116390088656514</c:v>
                </c:pt>
                <c:pt idx="3">
                  <c:v>21.470788815639921</c:v>
                </c:pt>
                <c:pt idx="4">
                  <c:v>22.561945896794729</c:v>
                </c:pt>
                <c:pt idx="5">
                  <c:v>23.23255285292112</c:v>
                </c:pt>
                <c:pt idx="6">
                  <c:v>31.768583769038418</c:v>
                </c:pt>
              </c:numCache>
            </c:numRef>
          </c:xVal>
          <c:yVal>
            <c:numRef>
              <c:f>'20. Jms - Pre-Cle-SCV'!$J$47:$J$54</c:f>
              <c:numCache>
                <c:formatCode>0.00</c:formatCode>
                <c:ptCount val="8"/>
                <c:pt idx="0">
                  <c:v>10.64</c:v>
                </c:pt>
                <c:pt idx="1">
                  <c:v>10.32918918918919</c:v>
                </c:pt>
                <c:pt idx="2">
                  <c:v>9.9392495309568467</c:v>
                </c:pt>
                <c:pt idx="3">
                  <c:v>9.2076336686077287</c:v>
                </c:pt>
                <c:pt idx="4">
                  <c:v>9.2290277078085659</c:v>
                </c:pt>
                <c:pt idx="5">
                  <c:v>9.0574246575342485</c:v>
                </c:pt>
                <c:pt idx="6">
                  <c:v>6.8972787119856891</c:v>
                </c:pt>
                <c:pt idx="7">
                  <c:v>2.4211076380995684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960-44C1-A5E8-DC827E141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267951"/>
        <c:axId val="1129267471"/>
      </c:scatterChart>
      <c:valAx>
        <c:axId val="1129267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L"/>
                  <a:t>Recuperación, %</a:t>
                </a:r>
              </a:p>
            </c:rich>
          </c:tx>
          <c:layout>
            <c:manualLayout>
              <c:xMode val="edge"/>
              <c:yMode val="edge"/>
              <c:x val="0.4848905333833593"/>
              <c:y val="0.891845655021074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ource Sans Pro" panose="020B0503030403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129267471"/>
        <c:crosses val="autoZero"/>
        <c:crossBetween val="midCat"/>
      </c:valAx>
      <c:valAx>
        <c:axId val="112926747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L"/>
                  <a:t>Ley  Cu, %</a:t>
                </a:r>
              </a:p>
            </c:rich>
          </c:tx>
          <c:layout>
            <c:manualLayout>
              <c:xMode val="edge"/>
              <c:yMode val="edge"/>
              <c:x val="2.4231988481986936E-2"/>
              <c:y val="0.38951095082271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ource Sans Pro" panose="020B0503030403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129267951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</c:legendEntry>
      <c:layout>
        <c:manualLayout>
          <c:xMode val="edge"/>
          <c:yMode val="edge"/>
          <c:x val="0.591984633412724"/>
          <c:y val="0.61216166538155914"/>
          <c:w val="0.33714131724061552"/>
          <c:h val="0.159690724736226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Source Sans Pro" panose="020B0503030403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0">
          <a:solidFill>
            <a:sysClr val="windowText" lastClr="000000"/>
          </a:solidFill>
          <a:latin typeface="Source Sans Pro" panose="020B0503030403020204" pitchFamily="34" charset="0"/>
          <a:cs typeface="Arial" panose="020B0604020202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r>
              <a:rPr lang="es-CL" b="1"/>
              <a:t>Ley (%) vs Mass Pull (%) Cu - Pre Scavenger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ysClr val="windowText" lastClr="000000"/>
              </a:solidFill>
              <a:latin typeface="Source Sans Pro" panose="020B0503030403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567268540496887"/>
          <c:y val="0.17092165898617512"/>
          <c:w val="0.79192867003890621"/>
          <c:h val="0.6244548060524692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'20. Jms - Pre-Cle-SCV'!$B$98</c:f>
              <c:strCache>
                <c:ptCount val="1"/>
                <c:pt idx="0">
                  <c:v>Cinetica Scavenger</c:v>
                </c:pt>
              </c:strCache>
            </c:strRef>
          </c:tx>
          <c:spPr>
            <a:ln w="19050" cap="rnd">
              <a:solidFill>
                <a:srgbClr val="5ED4BE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'20. Jms - Pre-Cle-SCV'!$M$99:$M$103</c:f>
              <c:numCache>
                <c:formatCode>0.0</c:formatCode>
                <c:ptCount val="5"/>
                <c:pt idx="0">
                  <c:v>5.6754484304932733</c:v>
                </c:pt>
                <c:pt idx="1">
                  <c:v>7.8755605381165914</c:v>
                </c:pt>
                <c:pt idx="2">
                  <c:v>10.173766816143496</c:v>
                </c:pt>
                <c:pt idx="3">
                  <c:v>16.577914798206276</c:v>
                </c:pt>
                <c:pt idx="4">
                  <c:v>20.095291479820624</c:v>
                </c:pt>
              </c:numCache>
            </c:numRef>
          </c:xVal>
          <c:yVal>
            <c:numRef>
              <c:f>'20. Jms - Pre-Cle-SCV'!$J$99:$J$103</c:f>
              <c:numCache>
                <c:formatCode>0.00</c:formatCode>
                <c:ptCount val="5"/>
                <c:pt idx="0">
                  <c:v>11.71</c:v>
                </c:pt>
                <c:pt idx="1">
                  <c:v>11.587081850533808</c:v>
                </c:pt>
                <c:pt idx="2">
                  <c:v>11.201460055096421</c:v>
                </c:pt>
                <c:pt idx="3">
                  <c:v>8.6694327979712611</c:v>
                </c:pt>
                <c:pt idx="4">
                  <c:v>7.4248591352859146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78-4B57-9463-CD9880F53B84}"/>
            </c:ext>
          </c:extLst>
        </c:ser>
        <c:ser>
          <c:idx val="1"/>
          <c:order val="1"/>
          <c:tx>
            <c:strRef>
              <c:f>'20. Jms - Pre-Cle-SCV'!$B$111</c:f>
              <c:strCache>
                <c:ptCount val="1"/>
                <c:pt idx="0">
                  <c:v>T. Dilución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'20. Jms - Pre-Cle-SCV'!$M$112:$M$118</c:f>
              <c:numCache>
                <c:formatCode>0.0</c:formatCode>
                <c:ptCount val="7"/>
                <c:pt idx="0">
                  <c:v>4.1863123303329051</c:v>
                </c:pt>
                <c:pt idx="1">
                  <c:v>6.1365909415630808</c:v>
                </c:pt>
                <c:pt idx="2">
                  <c:v>9.3513359051293037</c:v>
                </c:pt>
                <c:pt idx="3">
                  <c:v>12.451778825546505</c:v>
                </c:pt>
                <c:pt idx="4">
                  <c:v>12.60894413487641</c:v>
                </c:pt>
                <c:pt idx="5">
                  <c:v>13.744820688669808</c:v>
                </c:pt>
                <c:pt idx="6">
                  <c:v>19.945706529504214</c:v>
                </c:pt>
              </c:numCache>
            </c:numRef>
          </c:xVal>
          <c:yVal>
            <c:numRef>
              <c:f>'20. Jms - Pre-Cle-SCV'!$J$112:$J$119</c:f>
              <c:numCache>
                <c:formatCode>0.00</c:formatCode>
                <c:ptCount val="8"/>
                <c:pt idx="0">
                  <c:v>11.83</c:v>
                </c:pt>
                <c:pt idx="1">
                  <c:v>11.747369033760187</c:v>
                </c:pt>
                <c:pt idx="2">
                  <c:v>11.370122230710466</c:v>
                </c:pt>
                <c:pt idx="3">
                  <c:v>10.899489386115892</c:v>
                </c:pt>
                <c:pt idx="4">
                  <c:v>10.902113314447593</c:v>
                </c:pt>
                <c:pt idx="5">
                  <c:v>10.532536382536383</c:v>
                </c:pt>
                <c:pt idx="6">
                  <c:v>7.6485702005730669</c:v>
                </c:pt>
                <c:pt idx="7">
                  <c:v>1.7080851550221461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778-4B57-9463-CD9880F53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267951"/>
        <c:axId val="1129267471"/>
      </c:scatterChart>
      <c:scatterChart>
        <c:scatterStyle val="lineMarker"/>
        <c:varyColors val="0"/>
        <c:ser>
          <c:idx val="2"/>
          <c:order val="2"/>
          <c:tx>
            <c:strRef>
              <c:f>'20. Jms - Pre-Cle-SCV'!$F$126:$G$126</c:f>
              <c:strCache>
                <c:ptCount val="1"/>
                <c:pt idx="0">
                  <c:v>Continua 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'20. Jms - Pre-Cle-SCV'!$G$133</c:f>
              <c:numCache>
                <c:formatCode>0.00</c:formatCode>
                <c:ptCount val="1"/>
                <c:pt idx="0">
                  <c:v>0.79285519001184734</c:v>
                </c:pt>
              </c:numCache>
            </c:numRef>
          </c:xVal>
          <c:yVal>
            <c:numRef>
              <c:f>'20. Jms - Pre-Cle-SCV'!$G$129</c:f>
              <c:numCache>
                <c:formatCode>General</c:formatCode>
                <c:ptCount val="1"/>
                <c:pt idx="0">
                  <c:v>11.39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778-4B57-9463-CD9880F53B84}"/>
            </c:ext>
          </c:extLst>
        </c:ser>
        <c:ser>
          <c:idx val="3"/>
          <c:order val="3"/>
          <c:tx>
            <c:strRef>
              <c:f>'20. Jms - Pre-Cle-SCV'!$H$126:$I$126</c:f>
              <c:strCache>
                <c:ptCount val="1"/>
                <c:pt idx="0">
                  <c:v>Continua 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'20. Jms - Pre-Cle-SCV'!$I$133</c:f>
              <c:numCache>
                <c:formatCode>0.00</c:formatCode>
                <c:ptCount val="1"/>
                <c:pt idx="0">
                  <c:v>0.62320704322880605</c:v>
                </c:pt>
              </c:numCache>
            </c:numRef>
          </c:xVal>
          <c:yVal>
            <c:numRef>
              <c:f>'20. Jms - Pre-Cle-SCV'!$I$129</c:f>
              <c:numCache>
                <c:formatCode>General</c:formatCode>
                <c:ptCount val="1"/>
                <c:pt idx="0">
                  <c:v>10.55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778-4B57-9463-CD9880F53B84}"/>
            </c:ext>
          </c:extLst>
        </c:ser>
        <c:ser>
          <c:idx val="4"/>
          <c:order val="4"/>
          <c:tx>
            <c:strRef>
              <c:f>'20. Jms - Pre-Cle-SCV'!$J$126:$K$126</c:f>
              <c:strCache>
                <c:ptCount val="1"/>
                <c:pt idx="0">
                  <c:v>Continua 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'20. Jms - Pre-Cle-SCV'!$K$133</c:f>
              <c:numCache>
                <c:formatCode>0.00</c:formatCode>
                <c:ptCount val="1"/>
                <c:pt idx="0">
                  <c:v>0.78751132483099862</c:v>
                </c:pt>
              </c:numCache>
            </c:numRef>
          </c:xVal>
          <c:yVal>
            <c:numRef>
              <c:f>'20. Jms - Pre-Cle-SCV'!$K$129</c:f>
              <c:numCache>
                <c:formatCode>General</c:formatCode>
                <c:ptCount val="1"/>
                <c:pt idx="0">
                  <c:v>14.74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778-4B57-9463-CD9880F53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267951"/>
        <c:axId val="1129267471"/>
      </c:scatterChart>
      <c:valAx>
        <c:axId val="1129267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L"/>
                  <a:t>Recuperación, %</a:t>
                </a:r>
              </a:p>
            </c:rich>
          </c:tx>
          <c:layout>
            <c:manualLayout>
              <c:xMode val="edge"/>
              <c:yMode val="edge"/>
              <c:x val="0.4848905333833593"/>
              <c:y val="0.891845655021074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ource Sans Pro" panose="020B0503030403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129267471"/>
        <c:crosses val="autoZero"/>
        <c:crossBetween val="midCat"/>
      </c:valAx>
      <c:valAx>
        <c:axId val="112926747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ource Sans Pro" panose="020B0503030403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L"/>
                  <a:t>Ley  Cu, %</a:t>
                </a:r>
              </a:p>
            </c:rich>
          </c:tx>
          <c:layout>
            <c:manualLayout>
              <c:xMode val="edge"/>
              <c:yMode val="edge"/>
              <c:x val="2.4231988481986936E-2"/>
              <c:y val="0.38951095082271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ource Sans Pro" panose="020B0503030403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129267951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ource Sans Pro" panose="020B0503030403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</c:legendEntry>
      <c:layout>
        <c:manualLayout>
          <c:xMode val="edge"/>
          <c:yMode val="edge"/>
          <c:x val="0.20486997851554584"/>
          <c:y val="0.47209194741068328"/>
          <c:w val="0.29097609365140448"/>
          <c:h val="0.30678404254744795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Source Sans Pro" panose="020B0503030403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0">
          <a:solidFill>
            <a:sysClr val="windowText" lastClr="000000"/>
          </a:solidFill>
          <a:latin typeface="Source Sans Pro" panose="020B0503030403020204" pitchFamily="34" charset="0"/>
          <a:cs typeface="Arial" panose="020B0604020202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b="1"/>
              <a:t>QAQC Cabeza calculada vs Cabeza analizada, Cu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'21. QAQC Test Dilución'!$AM$4</c:f>
              <c:strCache>
                <c:ptCount val="1"/>
                <c:pt idx="0">
                  <c:v>Error Cu (%)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'21. QAQC Test Dilución'!$B$5:$C$14</c:f>
              <c:multiLvlStrCache>
                <c:ptCount val="10"/>
                <c:lvl>
                  <c:pt idx="0">
                    <c:v>Pre-Rougher</c:v>
                  </c:pt>
                  <c:pt idx="1">
                    <c:v>Cola Rougher</c:v>
                  </c:pt>
                  <c:pt idx="2">
                    <c:v>Cola Rougher</c:v>
                  </c:pt>
                  <c:pt idx="3">
                    <c:v>Pre Cl</c:v>
                  </c:pt>
                  <c:pt idx="4">
                    <c:v>Pre Cl - Scv</c:v>
                  </c:pt>
                  <c:pt idx="5">
                    <c:v>Pre-Rougher</c:v>
                  </c:pt>
                  <c:pt idx="6">
                    <c:v>Cola Rougher</c:v>
                  </c:pt>
                  <c:pt idx="7">
                    <c:v>Cola Rougher</c:v>
                  </c:pt>
                  <c:pt idx="8">
                    <c:v>Pre Cl</c:v>
                  </c:pt>
                  <c:pt idx="9">
                    <c:v>Pre Cl - Scv</c:v>
                  </c:pt>
                </c:lvl>
                <c:lvl>
                  <c:pt idx="0">
                    <c:v>Compósito</c:v>
                  </c:pt>
                  <c:pt idx="1">
                    <c:v>Compósito</c:v>
                  </c:pt>
                  <c:pt idx="2">
                    <c:v>Compósito</c:v>
                  </c:pt>
                  <c:pt idx="3">
                    <c:v>Compósito</c:v>
                  </c:pt>
                  <c:pt idx="4">
                    <c:v>Compósito</c:v>
                  </c:pt>
                  <c:pt idx="5">
                    <c:v>Compósito</c:v>
                  </c:pt>
                  <c:pt idx="6">
                    <c:v>Compósito</c:v>
                  </c:pt>
                  <c:pt idx="7">
                    <c:v>Compósito</c:v>
                  </c:pt>
                  <c:pt idx="8">
                    <c:v>Compósito</c:v>
                  </c:pt>
                  <c:pt idx="9">
                    <c:v>Compósito</c:v>
                  </c:pt>
                </c:lvl>
              </c:multiLvlStrCache>
            </c:multiLvlStrRef>
          </c:cat>
          <c:val>
            <c:numRef>
              <c:f>'21. QAQC Test Dilución'!$AM$5:$AM$14</c:f>
              <c:numCache>
                <c:formatCode>0.000</c:formatCode>
                <c:ptCount val="10"/>
                <c:pt idx="0">
                  <c:v>-5.4863059859363332</c:v>
                </c:pt>
                <c:pt idx="1">
                  <c:v>4.5306954339228955</c:v>
                </c:pt>
                <c:pt idx="2">
                  <c:v>0</c:v>
                </c:pt>
                <c:pt idx="3">
                  <c:v>-2.6334810257329364</c:v>
                </c:pt>
                <c:pt idx="4">
                  <c:v>-1.9000146637127859</c:v>
                </c:pt>
                <c:pt idx="5">
                  <c:v>0</c:v>
                </c:pt>
                <c:pt idx="6">
                  <c:v>-12.209828758492463</c:v>
                </c:pt>
                <c:pt idx="7">
                  <c:v>0</c:v>
                </c:pt>
                <c:pt idx="8">
                  <c:v>-3.7535305705562765</c:v>
                </c:pt>
                <c:pt idx="9">
                  <c:v>0.59394316973769912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F4-422C-A6D7-D3129BEEF19D}"/>
            </c:ext>
          </c:extLst>
        </c:ser>
        <c:ser>
          <c:idx val="1"/>
          <c:order val="1"/>
          <c:tx>
            <c:strRef>
              <c:f>'21. QAQC Test Dilución'!$AP$4</c:f>
              <c:strCache>
                <c:ptCount val="1"/>
                <c:pt idx="0">
                  <c:v>Max</c:v>
                </c:pt>
              </c:strCache>
            </c:strRef>
          </c:tx>
          <c:spPr>
            <a:ln w="254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'21. QAQC Test Dilución'!$B$5:$C$14</c:f>
              <c:multiLvlStrCache>
                <c:ptCount val="10"/>
                <c:lvl>
                  <c:pt idx="0">
                    <c:v>Pre-Rougher</c:v>
                  </c:pt>
                  <c:pt idx="1">
                    <c:v>Cola Rougher</c:v>
                  </c:pt>
                  <c:pt idx="2">
                    <c:v>Cola Rougher</c:v>
                  </c:pt>
                  <c:pt idx="3">
                    <c:v>Pre Cl</c:v>
                  </c:pt>
                  <c:pt idx="4">
                    <c:v>Pre Cl - Scv</c:v>
                  </c:pt>
                  <c:pt idx="5">
                    <c:v>Pre-Rougher</c:v>
                  </c:pt>
                  <c:pt idx="6">
                    <c:v>Cola Rougher</c:v>
                  </c:pt>
                  <c:pt idx="7">
                    <c:v>Cola Rougher</c:v>
                  </c:pt>
                  <c:pt idx="8">
                    <c:v>Pre Cl</c:v>
                  </c:pt>
                  <c:pt idx="9">
                    <c:v>Pre Cl - Scv</c:v>
                  </c:pt>
                </c:lvl>
                <c:lvl>
                  <c:pt idx="0">
                    <c:v>Compósito</c:v>
                  </c:pt>
                  <c:pt idx="1">
                    <c:v>Compósito</c:v>
                  </c:pt>
                  <c:pt idx="2">
                    <c:v>Compósito</c:v>
                  </c:pt>
                  <c:pt idx="3">
                    <c:v>Compósito</c:v>
                  </c:pt>
                  <c:pt idx="4">
                    <c:v>Compósito</c:v>
                  </c:pt>
                  <c:pt idx="5">
                    <c:v>Compósito</c:v>
                  </c:pt>
                  <c:pt idx="6">
                    <c:v>Compósito</c:v>
                  </c:pt>
                  <c:pt idx="7">
                    <c:v>Compósito</c:v>
                  </c:pt>
                  <c:pt idx="8">
                    <c:v>Compósito</c:v>
                  </c:pt>
                  <c:pt idx="9">
                    <c:v>Compósito</c:v>
                  </c:pt>
                </c:lvl>
              </c:multiLvlStrCache>
            </c:multiLvlStrRef>
          </c:cat>
          <c:val>
            <c:numRef>
              <c:f>'21. QAQC Test Dilución'!$AQ$5:$AQ$14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F4-422C-A6D7-D3129BEEF19D}"/>
            </c:ext>
          </c:extLst>
        </c:ser>
        <c:ser>
          <c:idx val="2"/>
          <c:order val="2"/>
          <c:spPr>
            <a:ln w="254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'21. QAQC Test Dilución'!$B$5:$C$14</c:f>
              <c:multiLvlStrCache>
                <c:ptCount val="10"/>
                <c:lvl>
                  <c:pt idx="0">
                    <c:v>Pre-Rougher</c:v>
                  </c:pt>
                  <c:pt idx="1">
                    <c:v>Cola Rougher</c:v>
                  </c:pt>
                  <c:pt idx="2">
                    <c:v>Cola Rougher</c:v>
                  </c:pt>
                  <c:pt idx="3">
                    <c:v>Pre Cl</c:v>
                  </c:pt>
                  <c:pt idx="4">
                    <c:v>Pre Cl - Scv</c:v>
                  </c:pt>
                  <c:pt idx="5">
                    <c:v>Pre-Rougher</c:v>
                  </c:pt>
                  <c:pt idx="6">
                    <c:v>Cola Rougher</c:v>
                  </c:pt>
                  <c:pt idx="7">
                    <c:v>Cola Rougher</c:v>
                  </c:pt>
                  <c:pt idx="8">
                    <c:v>Pre Cl</c:v>
                  </c:pt>
                  <c:pt idx="9">
                    <c:v>Pre Cl - Scv</c:v>
                  </c:pt>
                </c:lvl>
                <c:lvl>
                  <c:pt idx="0">
                    <c:v>Compósito</c:v>
                  </c:pt>
                  <c:pt idx="1">
                    <c:v>Compósito</c:v>
                  </c:pt>
                  <c:pt idx="2">
                    <c:v>Compósito</c:v>
                  </c:pt>
                  <c:pt idx="3">
                    <c:v>Compósito</c:v>
                  </c:pt>
                  <c:pt idx="4">
                    <c:v>Compósito</c:v>
                  </c:pt>
                  <c:pt idx="5">
                    <c:v>Compósito</c:v>
                  </c:pt>
                  <c:pt idx="6">
                    <c:v>Compósito</c:v>
                  </c:pt>
                  <c:pt idx="7">
                    <c:v>Compósito</c:v>
                  </c:pt>
                  <c:pt idx="8">
                    <c:v>Compósito</c:v>
                  </c:pt>
                  <c:pt idx="9">
                    <c:v>Compósito</c:v>
                  </c:pt>
                </c:lvl>
              </c:multiLvlStrCache>
            </c:multiLvlStrRef>
          </c:cat>
          <c:val>
            <c:numRef>
              <c:f>'21. QAQC Test Dilución'!$AP$5:$AP$14</c:f>
              <c:numCache>
                <c:formatCode>General</c:formatCode>
                <c:ptCount val="10"/>
                <c:pt idx="0">
                  <c:v>-5</c:v>
                </c:pt>
                <c:pt idx="1">
                  <c:v>-5</c:v>
                </c:pt>
                <c:pt idx="2">
                  <c:v>-5</c:v>
                </c:pt>
                <c:pt idx="3">
                  <c:v>-5</c:v>
                </c:pt>
                <c:pt idx="4">
                  <c:v>-5</c:v>
                </c:pt>
                <c:pt idx="5">
                  <c:v>-5</c:v>
                </c:pt>
                <c:pt idx="6">
                  <c:v>-5</c:v>
                </c:pt>
                <c:pt idx="7">
                  <c:v>-5</c:v>
                </c:pt>
                <c:pt idx="8">
                  <c:v>-5</c:v>
                </c:pt>
                <c:pt idx="9">
                  <c:v>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F4-422C-A6D7-D3129BEEF19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69096895"/>
        <c:axId val="1569097375"/>
      </c:lineChart>
      <c:catAx>
        <c:axId val="15690968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ID Muestra</a:t>
                </a:r>
              </a:p>
            </c:rich>
          </c:tx>
          <c:layout>
            <c:manualLayout>
              <c:xMode val="edge"/>
              <c:yMode val="edge"/>
              <c:x val="0.46987665498485032"/>
              <c:y val="0.96600279894514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69097375"/>
        <c:crosses val="autoZero"/>
        <c:auto val="1"/>
        <c:lblAlgn val="ctr"/>
        <c:lblOffset val="100"/>
        <c:tickMarkSkip val="1"/>
        <c:noMultiLvlLbl val="0"/>
      </c:catAx>
      <c:valAx>
        <c:axId val="1569097375"/>
        <c:scaling>
          <c:orientation val="minMax"/>
          <c:max val="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Error (%) Cu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69096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b="1"/>
              <a:t>QAQC Perdida de Masa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'21. QAQC Test Dilución'!$AL$4</c:f>
              <c:strCache>
                <c:ptCount val="1"/>
                <c:pt idx="0">
                  <c:v>Pérdida masa (%)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'21. QAQC Test Dilución'!$B$5:$C$9</c:f>
              <c:multiLvlStrCache>
                <c:ptCount val="5"/>
                <c:lvl>
                  <c:pt idx="0">
                    <c:v>Pre-Rougher</c:v>
                  </c:pt>
                  <c:pt idx="1">
                    <c:v>Cola Rougher</c:v>
                  </c:pt>
                  <c:pt idx="2">
                    <c:v>Cola Rougher</c:v>
                  </c:pt>
                  <c:pt idx="3">
                    <c:v>Pre Cl</c:v>
                  </c:pt>
                  <c:pt idx="4">
                    <c:v>Pre Cl - Scv</c:v>
                  </c:pt>
                </c:lvl>
                <c:lvl>
                  <c:pt idx="0">
                    <c:v>Compósito</c:v>
                  </c:pt>
                  <c:pt idx="1">
                    <c:v>Compósito</c:v>
                  </c:pt>
                  <c:pt idx="2">
                    <c:v>Compósito</c:v>
                  </c:pt>
                  <c:pt idx="3">
                    <c:v>Compósito</c:v>
                  </c:pt>
                  <c:pt idx="4">
                    <c:v>Compósito</c:v>
                  </c:pt>
                </c:lvl>
              </c:multiLvlStrCache>
            </c:multiLvlStrRef>
          </c:cat>
          <c:val>
            <c:numRef>
              <c:f>'21. QAQC Test Dilución'!$AL$5:$AL$9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F4-4E89-8353-9474F661E35A}"/>
            </c:ext>
          </c:extLst>
        </c:ser>
        <c:ser>
          <c:idx val="2"/>
          <c:order val="1"/>
          <c:spPr>
            <a:ln w="254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'21. QAQC Test Dilución'!$B$5:$C$9</c:f>
              <c:multiLvlStrCache>
                <c:ptCount val="5"/>
                <c:lvl>
                  <c:pt idx="0">
                    <c:v>Pre-Rougher</c:v>
                  </c:pt>
                  <c:pt idx="1">
                    <c:v>Cola Rougher</c:v>
                  </c:pt>
                  <c:pt idx="2">
                    <c:v>Cola Rougher</c:v>
                  </c:pt>
                  <c:pt idx="3">
                    <c:v>Pre Cl</c:v>
                  </c:pt>
                  <c:pt idx="4">
                    <c:v>Pre Cl - Scv</c:v>
                  </c:pt>
                </c:lvl>
                <c:lvl>
                  <c:pt idx="0">
                    <c:v>Compósito</c:v>
                  </c:pt>
                  <c:pt idx="1">
                    <c:v>Compósito</c:v>
                  </c:pt>
                  <c:pt idx="2">
                    <c:v>Compósito</c:v>
                  </c:pt>
                  <c:pt idx="3">
                    <c:v>Compósito</c:v>
                  </c:pt>
                  <c:pt idx="4">
                    <c:v>Compósito</c:v>
                  </c:pt>
                </c:lvl>
              </c:multiLvlStrCache>
            </c:multiLvlStrRef>
          </c:cat>
          <c:val>
            <c:numRef>
              <c:f>'21. QAQC Test Dilución'!$AP$5:$AP$9</c:f>
              <c:numCache>
                <c:formatCode>General</c:formatCode>
                <c:ptCount val="5"/>
                <c:pt idx="0">
                  <c:v>-5</c:v>
                </c:pt>
                <c:pt idx="1">
                  <c:v>-5</c:v>
                </c:pt>
                <c:pt idx="2">
                  <c:v>-5</c:v>
                </c:pt>
                <c:pt idx="3">
                  <c:v>-5</c:v>
                </c:pt>
                <c:pt idx="4">
                  <c:v>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F4-4E89-8353-9474F661E35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69096895"/>
        <c:axId val="1569097375"/>
      </c:lineChart>
      <c:catAx>
        <c:axId val="15690968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ID Muestra</a:t>
                </a:r>
              </a:p>
            </c:rich>
          </c:tx>
          <c:layout>
            <c:manualLayout>
              <c:xMode val="edge"/>
              <c:yMode val="edge"/>
              <c:x val="0.46987665498485032"/>
              <c:y val="0.96600279894514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69097375"/>
        <c:crosses val="autoZero"/>
        <c:auto val="1"/>
        <c:lblAlgn val="ctr"/>
        <c:lblOffset val="100"/>
        <c:tickMarkSkip val="1"/>
        <c:noMultiLvlLbl val="0"/>
      </c:catAx>
      <c:valAx>
        <c:axId val="1569097375"/>
        <c:scaling>
          <c:orientation val="minMax"/>
          <c:max val="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Pérdida de masa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rgbClr val="FF0000">
                <a:alpha val="94000"/>
              </a:srgb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69096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095622358532953"/>
          <c:y val="0.12858177422828634"/>
          <c:w val="0.81703710825491038"/>
          <c:h val="0.62764842762235218"/>
        </c:manualLayout>
      </c:layout>
      <c:barChart>
        <c:barDir val="col"/>
        <c:grouping val="clustered"/>
        <c:varyColors val="0"/>
        <c:ser>
          <c:idx val="2"/>
          <c:order val="2"/>
          <c:tx>
            <c:v>Masa Medida 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'24. Balance Pre-Cl-SCV'!$T$44:$T$53</c:f>
              <c:strCache>
                <c:ptCount val="10"/>
                <c:pt idx="0">
                  <c:v>Alim  1°CL</c:v>
                </c:pt>
                <c:pt idx="1">
                  <c:v>Conc 1°CL</c:v>
                </c:pt>
                <c:pt idx="2">
                  <c:v>Rel  1°CL</c:v>
                </c:pt>
                <c:pt idx="3">
                  <c:v>Alim SCV</c:v>
                </c:pt>
                <c:pt idx="4">
                  <c:v>Conc SCV</c:v>
                </c:pt>
                <c:pt idx="5">
                  <c:v>Conc CL SCV</c:v>
                </c:pt>
                <c:pt idx="6">
                  <c:v>Rel CL SCV</c:v>
                </c:pt>
                <c:pt idx="7">
                  <c:v>Rel SCV</c:v>
                </c:pt>
                <c:pt idx="8">
                  <c:v>Conc JMS</c:v>
                </c:pt>
                <c:pt idx="9">
                  <c:v>Rel JMS</c:v>
                </c:pt>
              </c:strCache>
            </c:strRef>
          </c:cat>
          <c:val>
            <c:numRef>
              <c:f>'24. Balance Pre-Cl-SCV'!$P$9:$P$18</c:f>
              <c:numCache>
                <c:formatCode>0.00</c:formatCode>
                <c:ptCount val="10"/>
                <c:pt idx="0">
                  <c:v>24.456774193548384</c:v>
                </c:pt>
                <c:pt idx="1">
                  <c:v>1.8111060948081263</c:v>
                </c:pt>
                <c:pt idx="2">
                  <c:v>19.209600000000005</c:v>
                </c:pt>
                <c:pt idx="3">
                  <c:v>47.326153846153851</c:v>
                </c:pt>
                <c:pt idx="4">
                  <c:v>25.151999999999997</c:v>
                </c:pt>
                <c:pt idx="5">
                  <c:v>0.57672199170124483</c:v>
                </c:pt>
                <c:pt idx="6">
                  <c:v>17.829473684210523</c:v>
                </c:pt>
                <c:pt idx="7">
                  <c:v>14.855294117647059</c:v>
                </c:pt>
                <c:pt idx="8">
                  <c:v>2.7324812030075187</c:v>
                </c:pt>
                <c:pt idx="9">
                  <c:v>24.026086956521738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59-4F16-92A9-805CEDBDF76C}"/>
            </c:ext>
          </c:extLst>
        </c:ser>
        <c:ser>
          <c:idx val="3"/>
          <c:order val="3"/>
          <c:tx>
            <c:v>Masa Ajustada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'24. Balance Pre-Cl-SCV'!$T$44:$T$53</c:f>
              <c:strCache>
                <c:ptCount val="10"/>
                <c:pt idx="0">
                  <c:v>Alim  1°CL</c:v>
                </c:pt>
                <c:pt idx="1">
                  <c:v>Conc 1°CL</c:v>
                </c:pt>
                <c:pt idx="2">
                  <c:v>Rel  1°CL</c:v>
                </c:pt>
                <c:pt idx="3">
                  <c:v>Alim SCV</c:v>
                </c:pt>
                <c:pt idx="4">
                  <c:v>Conc SCV</c:v>
                </c:pt>
                <c:pt idx="5">
                  <c:v>Conc CL SCV</c:v>
                </c:pt>
                <c:pt idx="6">
                  <c:v>Rel CL SCV</c:v>
                </c:pt>
                <c:pt idx="7">
                  <c:v>Rel SCV</c:v>
                </c:pt>
                <c:pt idx="8">
                  <c:v>Conc JMS</c:v>
                </c:pt>
                <c:pt idx="9">
                  <c:v>Rel JMS</c:v>
                </c:pt>
              </c:strCache>
            </c:strRef>
          </c:cat>
          <c:val>
            <c:numRef>
              <c:f>'24. Balance Pre-Cl-SCV'!$P$27:$P$36</c:f>
              <c:numCache>
                <c:formatCode>0.00</c:formatCode>
                <c:ptCount val="10"/>
                <c:pt idx="0">
                  <c:v>28.900097743941586</c:v>
                </c:pt>
                <c:pt idx="1">
                  <c:v>2.7412443428896354</c:v>
                </c:pt>
                <c:pt idx="2">
                  <c:v>26.158853401051996</c:v>
                </c:pt>
                <c:pt idx="3">
                  <c:v>45.86004897213401</c:v>
                </c:pt>
                <c:pt idx="4">
                  <c:v>19.787703869837209</c:v>
                </c:pt>
                <c:pt idx="5">
                  <c:v>8.6508298755186744E-2</c:v>
                </c:pt>
                <c:pt idx="6">
                  <c:v>19.701195571082021</c:v>
                </c:pt>
                <c:pt idx="7">
                  <c:v>24.660556999727955</c:v>
                </c:pt>
                <c:pt idx="8">
                  <c:v>1.411788102568807</c:v>
                </c:pt>
                <c:pt idx="9">
                  <c:v>44.44826086956521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59-4F16-92A9-805CEDBDF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52045327"/>
        <c:axId val="1152054447"/>
      </c:barChart>
      <c:scatterChart>
        <c:scatterStyle val="smoothMarker"/>
        <c:varyColors val="0"/>
        <c:ser>
          <c:idx val="0"/>
          <c:order val="0"/>
          <c:tx>
            <c:v>Ley Cu Medidos 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'24. Balance Pre-Cl-SCV'!$T$44:$T$53</c:f>
              <c:strCache>
                <c:ptCount val="10"/>
                <c:pt idx="0">
                  <c:v>Alim  1°CL</c:v>
                </c:pt>
                <c:pt idx="1">
                  <c:v>Conc 1°CL</c:v>
                </c:pt>
                <c:pt idx="2">
                  <c:v>Rel  1°CL</c:v>
                </c:pt>
                <c:pt idx="3">
                  <c:v>Alim SCV</c:v>
                </c:pt>
                <c:pt idx="4">
                  <c:v>Conc SCV</c:v>
                </c:pt>
                <c:pt idx="5">
                  <c:v>Conc CL SCV</c:v>
                </c:pt>
                <c:pt idx="6">
                  <c:v>Rel CL SCV</c:v>
                </c:pt>
                <c:pt idx="7">
                  <c:v>Rel SCV</c:v>
                </c:pt>
                <c:pt idx="8">
                  <c:v>Conc JMS</c:v>
                </c:pt>
                <c:pt idx="9">
                  <c:v>Rel JMS</c:v>
                </c:pt>
              </c:strCache>
            </c:strRef>
          </c:xVal>
          <c:yVal>
            <c:numRef>
              <c:f>'24. Balance Pre-Cl-SCV'!$Q$9:$Q$18</c:f>
              <c:numCache>
                <c:formatCode>0.00</c:formatCode>
                <c:ptCount val="10"/>
                <c:pt idx="0">
                  <c:v>2.8570000000000002</c:v>
                </c:pt>
                <c:pt idx="1">
                  <c:v>19.13</c:v>
                </c:pt>
                <c:pt idx="2">
                  <c:v>0.86</c:v>
                </c:pt>
                <c:pt idx="3">
                  <c:v>2.1280000000000001</c:v>
                </c:pt>
                <c:pt idx="4">
                  <c:v>1.984</c:v>
                </c:pt>
                <c:pt idx="5">
                  <c:v>17.79</c:v>
                </c:pt>
                <c:pt idx="6">
                  <c:v>1.8160000000000001</c:v>
                </c:pt>
                <c:pt idx="7">
                  <c:v>0.25800000000000001</c:v>
                </c:pt>
                <c:pt idx="8">
                  <c:v>12.08</c:v>
                </c:pt>
                <c:pt idx="9">
                  <c:v>0.91700000000000004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59-4F16-92A9-805CEDBDF76C}"/>
            </c:ext>
          </c:extLst>
        </c:ser>
        <c:ser>
          <c:idx val="1"/>
          <c:order val="1"/>
          <c:tx>
            <c:v>Ley Cu Ajustados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'24. Balance Pre-Cl-SCV'!$T$44:$T$53</c:f>
              <c:strCache>
                <c:ptCount val="10"/>
                <c:pt idx="0">
                  <c:v>Alim  1°CL</c:v>
                </c:pt>
                <c:pt idx="1">
                  <c:v>Conc 1°CL</c:v>
                </c:pt>
                <c:pt idx="2">
                  <c:v>Rel  1°CL</c:v>
                </c:pt>
                <c:pt idx="3">
                  <c:v>Alim SCV</c:v>
                </c:pt>
                <c:pt idx="4">
                  <c:v>Conc SCV</c:v>
                </c:pt>
                <c:pt idx="5">
                  <c:v>Conc CL SCV</c:v>
                </c:pt>
                <c:pt idx="6">
                  <c:v>Rel CL SCV</c:v>
                </c:pt>
                <c:pt idx="7">
                  <c:v>Rel SCV</c:v>
                </c:pt>
                <c:pt idx="8">
                  <c:v>Conc JMS</c:v>
                </c:pt>
                <c:pt idx="9">
                  <c:v>Rel JMS</c:v>
                </c:pt>
              </c:strCache>
            </c:strRef>
          </c:xVal>
          <c:yVal>
            <c:numRef>
              <c:f>'24. Balance Pre-Cl-SCV'!$Q$27:$Q$36</c:f>
              <c:numCache>
                <c:formatCode>0.00</c:formatCode>
                <c:ptCount val="10"/>
                <c:pt idx="0">
                  <c:v>2.5728066014680908</c:v>
                </c:pt>
                <c:pt idx="1">
                  <c:v>17.686586719215121</c:v>
                </c:pt>
                <c:pt idx="2">
                  <c:v>0.98899999999999999</c:v>
                </c:pt>
                <c:pt idx="3">
                  <c:v>1.4896</c:v>
                </c:pt>
                <c:pt idx="4">
                  <c:v>2.1823999999999999</c:v>
                </c:pt>
                <c:pt idx="5">
                  <c:v>16.010999999999999</c:v>
                </c:pt>
                <c:pt idx="6">
                  <c:v>2.1216783724292387</c:v>
                </c:pt>
                <c:pt idx="7">
                  <c:v>0.23220000000000002</c:v>
                </c:pt>
                <c:pt idx="8">
                  <c:v>13.288</c:v>
                </c:pt>
                <c:pt idx="9">
                  <c:v>1.1004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B59-4F16-92A9-805CEDBDF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2045327"/>
        <c:axId val="1152054447"/>
      </c:scatterChart>
      <c:catAx>
        <c:axId val="115204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52054447"/>
        <c:crosses val="autoZero"/>
        <c:auto val="1"/>
        <c:lblAlgn val="ctr"/>
        <c:lblOffset val="100"/>
        <c:noMultiLvlLbl val="0"/>
      </c:catAx>
      <c:valAx>
        <c:axId val="115205444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52045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0027140121114256E-2"/>
          <c:y val="0.93753819285920903"/>
          <c:w val="0.94257934905575358"/>
          <c:h val="4.75992718027804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r>
              <a:rPr lang="es-CL" sz="1600" b="1"/>
              <a:t>Resultados AQ Pilotaje Cleaner Cond #1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Source Sans Pro" panose="020B0503030403020204" pitchFamily="34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1"/>
          <c:tx>
            <c:v>Rec. Peso Circuito Limp.</c:v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ctr">
                  <a:defRPr lang="en-US" sz="1100" b="1" i="0" u="none" strike="noStrike" kern="1200" baseline="0">
                    <a:solidFill>
                      <a:schemeClr val="tx1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'Pilotaje Cleaner'!$C$32:$F$33</c15:sqref>
                  </c15:fullRef>
                </c:ext>
              </c:extLst>
              <c:f>('Pilotaje Cleaner'!$C$32:$C$33,'Pilotaje Cleaner'!$F$32:$F$33)</c:f>
              <c:multiLvlStrCache>
                <c:ptCount val="2"/>
                <c:lvl>
                  <c:pt idx="0">
                    <c:v>Noche</c:v>
                  </c:pt>
                  <c:pt idx="1">
                    <c:v>Día</c:v>
                  </c:pt>
                </c:lvl>
                <c:lvl>
                  <c:pt idx="0">
                    <c:v>01-09-2025</c:v>
                  </c:pt>
                  <c:pt idx="1">
                    <c:v>03-09-2025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'Pilotaje Cleaner'!$C$46:$F$46</c15:sqref>
                  </c15:fullRef>
                </c:ext>
              </c:extLst>
              <c:f>('Pilotaje Cleaner'!$C$46,'Pilotaje Cleaner'!$F$46)</c:f>
              <c:numCache>
                <c:formatCode>0.00</c:formatCode>
                <c:ptCount val="2"/>
                <c:pt idx="0">
                  <c:v>24.959593627337796</c:v>
                </c:pt>
                <c:pt idx="1">
                  <c:v>29.98783454987835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E9-4EC7-B895-762A39AB77CE}"/>
            </c:ext>
          </c:extLst>
        </c:ser>
        <c:ser>
          <c:idx val="5"/>
          <c:order val="5"/>
          <c:tx>
            <c:v>Rec. Circuito Limp.</c:v>
          </c:tx>
          <c:spPr>
            <a:solidFill>
              <a:srgbClr val="F2AA8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'Pilotaje Cleaner'!$C$32:$F$33</c15:sqref>
                  </c15:fullRef>
                </c:ext>
              </c:extLst>
              <c:f>('Pilotaje Cleaner'!$C$32:$C$33,'Pilotaje Cleaner'!$F$32:$F$33)</c:f>
              <c:multiLvlStrCache>
                <c:ptCount val="2"/>
                <c:lvl>
                  <c:pt idx="0">
                    <c:v>Noche</c:v>
                  </c:pt>
                  <c:pt idx="1">
                    <c:v>Día</c:v>
                  </c:pt>
                </c:lvl>
                <c:lvl>
                  <c:pt idx="0">
                    <c:v>01-09-2025</c:v>
                  </c:pt>
                  <c:pt idx="1">
                    <c:v>03-09-2025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'Pilotaje Cleaner'!$C$50:$F$50</c15:sqref>
                  </c15:fullRef>
                </c:ext>
              </c:extLst>
              <c:f>('Pilotaje Cleaner'!$C$50,'Pilotaje Cleaner'!$F$50)</c:f>
              <c:numCache>
                <c:formatCode>0.00</c:formatCode>
                <c:ptCount val="2"/>
                <c:pt idx="0">
                  <c:v>96.272718276874372</c:v>
                </c:pt>
                <c:pt idx="1">
                  <c:v>96.492646817527628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E9-4EC7-B895-762A39AB77CE}"/>
            </c:ext>
          </c:extLst>
        </c:ser>
        <c:ser>
          <c:idx val="7"/>
          <c:order val="6"/>
          <c:tx>
            <c:v>Rec. Global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ctr">
                  <a:defRPr lang="en-US" sz="1100" b="1" i="0" u="none" strike="noStrike" kern="1200" baseline="0">
                    <a:solidFill>
                      <a:schemeClr val="tx1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01-09-2025 Noche</c:v>
              </c:pt>
              <c:pt idx="1">
                <c:v>03-09-2025 Día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'Pilotaje Cleaner'!$C$51:$F$51</c15:sqref>
                  </c15:fullRef>
                </c:ext>
              </c:extLst>
              <c:f>('Pilotaje Cleaner'!$C$51,'Pilotaje Cleaner'!$F$51)</c:f>
              <c:numCache>
                <c:formatCode>0.00</c:formatCode>
                <c:ptCount val="2"/>
                <c:pt idx="0">
                  <c:v>76.832843447022853</c:v>
                </c:pt>
                <c:pt idx="1">
                  <c:v>77.008362902959973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E9-4EC7-B895-762A39AB7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1918240"/>
        <c:axId val="1061921600"/>
        <c:extLst>
          <c:ext xmlns:c15="http://schemas.microsoft.com/office/drawing/2012/chart" uri="{02D57815-91ED-43cb-92C2-25804820EDAC}">
            <c15:filteredBarSeries>
              <c15:ser>
                <c:idx val="0"/>
                <c:order val="2"/>
                <c:tx>
                  <c:v>Rec. Primaria</c:v>
                </c:tx>
                <c:spPr>
                  <a:solidFill>
                    <a:schemeClr val="accent1">
                      <a:lumMod val="20000"/>
                      <a:lumOff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ullRef>
                          <c15:sqref>'Pilotaje Cleaner'!$C$32:$F$33</c15:sqref>
                        </c15:fullRef>
                        <c15:formulaRef>
                          <c15:sqref>('Pilotaje Cleaner'!$C$32:$C$33,'Pilotaje Cleaner'!$F$32:$F$33)</c15:sqref>
                        </c15:formulaRef>
                      </c:ext>
                    </c:extLst>
                    <c:multiLvlStrCache>
                      <c:ptCount val="2"/>
                      <c:lvl>
                        <c:pt idx="0">
                          <c:v>Noche</c:v>
                        </c:pt>
                        <c:pt idx="1">
                          <c:v>Día</c:v>
                        </c:pt>
                      </c:lvl>
                      <c:lvl>
                        <c:pt idx="0">
                          <c:v>01-09-2025</c:v>
                        </c:pt>
                        <c:pt idx="1">
                          <c:v>03-09-2025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'[6]12-08-2025 M-18 LS2'!$Q$36:$AQ$36</c15:sqref>
                        </c15:fullRef>
                        <c15:formulaRef>
                          <c15:sqref>('[6]12-08-2025 M-18 LS2'!$Q$36,'[6]12-08-2025 M-18 LS2'!$T$36:$AQ$36)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95E9-4EC7-B895-762A39AB77CE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"/>
          <c:order val="0"/>
          <c:tx>
            <c:v>Ley Conc. Cl-SCV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7.432687558942741E-2"/>
                  <c:y val="1.31764044152784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5E9-4EC7-B895-762A39AB77CE}"/>
                </c:ext>
              </c:extLst>
            </c:dLbl>
            <c:dLbl>
              <c:idx val="1"/>
              <c:layout>
                <c:manualLayout>
                  <c:x val="-6.8699931652732305E-2"/>
                  <c:y val="3.22002841124462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5E9-4EC7-B895-762A39AB77CE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ctr">
                  <a:defRPr lang="en-US" sz="1100" b="1" i="0" u="none" strike="noStrike" kern="1200" baseline="0">
                    <a:solidFill>
                      <a:schemeClr val="tx1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'Pilotaje Cleaner'!$C$32:$F$33</c15:sqref>
                  </c15:fullRef>
                </c:ext>
              </c:extLst>
              <c:f>('Pilotaje Cleaner'!$C$32:$C$33,'Pilotaje Cleaner'!$F$32:$F$33)</c:f>
              <c:multiLvlStrCache>
                <c:ptCount val="2"/>
                <c:lvl>
                  <c:pt idx="0">
                    <c:v>Noche</c:v>
                  </c:pt>
                  <c:pt idx="1">
                    <c:v>Día</c:v>
                  </c:pt>
                </c:lvl>
                <c:lvl>
                  <c:pt idx="0">
                    <c:v>01-09-2025</c:v>
                  </c:pt>
                  <c:pt idx="1">
                    <c:v>03-09-2025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'Pilotaje Cleaner'!$C$39:$F$39</c15:sqref>
                  </c15:fullRef>
                </c:ext>
              </c:extLst>
              <c:f>('Pilotaje Cleaner'!$C$39,'Pilotaje Cleaner'!$F$39)</c:f>
              <c:numCache>
                <c:formatCode>0.00</c:formatCode>
                <c:ptCount val="2"/>
                <c:pt idx="0">
                  <c:v>17.55</c:v>
                </c:pt>
                <c:pt idx="1">
                  <c:v>15.03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'Pilotaje Cleaner'!$D$39</c15:sqref>
                  <c15:dLbl>
                    <c:idx val="0"/>
                    <c:layout>
                      <c:manualLayout>
                        <c:x val="-7.1515420282447631E-2"/>
                        <c:y val="2.983425992133261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EAD6-4F69-8F95-DF7F4922158F}"/>
                      </c:ext>
                    </c:extLst>
                  </c15:dLbl>
                </c15:categoryFilterException>
                <c15:categoryFilterException>
                  <c15:sqref>'Pilotaje Cleaner'!$E$39</c15:sqref>
                  <c15:dLbl>
                    <c:idx val="0"/>
                    <c:layout>
                      <c:manualLayout>
                        <c:x val="-6.7298106233200178E-2"/>
                        <c:y val="3.4577559159987052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1-EAD6-4F69-8F95-DF7F4922158F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5-95E9-4EC7-B895-762A39AB77CE}"/>
            </c:ext>
          </c:extLst>
        </c:ser>
        <c:ser>
          <c:idx val="6"/>
          <c:order val="4"/>
          <c:tx>
            <c:v>Ley Conc. Primario</c:v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044955989304624"/>
                  <c:y val="5.1622621250854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5E9-4EC7-B895-762A39AB77CE}"/>
                </c:ext>
              </c:extLst>
            </c:dLbl>
            <c:dLbl>
              <c:idx val="1"/>
              <c:layout>
                <c:manualLayout>
                  <c:x val="-0.11152043414573541"/>
                  <c:y val="4.92452685374712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5E9-4EC7-B895-762A39AB77CE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ctr">
                  <a:defRPr lang="en-US" sz="1100" b="1" i="0" u="none" strike="noStrike" kern="1200" baseline="0">
                    <a:solidFill>
                      <a:schemeClr val="tx1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'Pilotaje Cleaner'!$C$32:$F$33</c15:sqref>
                  </c15:fullRef>
                </c:ext>
              </c:extLst>
              <c:f>('Pilotaje Cleaner'!$C$32:$C$33,'Pilotaje Cleaner'!$F$32:$F$33)</c:f>
              <c:multiLvlStrCache>
                <c:ptCount val="2"/>
                <c:lvl>
                  <c:pt idx="0">
                    <c:v>Noche</c:v>
                  </c:pt>
                  <c:pt idx="1">
                    <c:v>Día</c:v>
                  </c:pt>
                </c:lvl>
                <c:lvl>
                  <c:pt idx="0">
                    <c:v>01-09-2025</c:v>
                  </c:pt>
                  <c:pt idx="1">
                    <c:v>03-09-2025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'Pilotaje Cleaner'!$C$34:$F$34</c15:sqref>
                  </c15:fullRef>
                </c:ext>
              </c:extLst>
              <c:f>('Pilotaje Cleaner'!$C$34,'Pilotaje Cleaner'!$F$34)</c:f>
              <c:numCache>
                <c:formatCode>0.00</c:formatCode>
                <c:ptCount val="2"/>
                <c:pt idx="0">
                  <c:v>4.55</c:v>
                </c:pt>
                <c:pt idx="1">
                  <c:v>4.6710000000000003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'Pilotaje Cleaner'!$D$34</c15:sqref>
                  <c15:dLbl>
                    <c:idx val="0"/>
                    <c:layout>
                      <c:manualLayout>
                        <c:x val="-0.110114761759698"/>
                        <c:y val="3.7364674298607028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EAD6-4F69-8F95-DF7F4922158F}"/>
                      </c:ext>
                    </c:extLst>
                  </c15:dLbl>
                </c15:categoryFilterException>
                <c15:categoryFilterException>
                  <c15:sqref>'Pilotaje Cleaner'!$E$34</c15:sqref>
                  <c15:dLbl>
                    <c:idx val="0"/>
                    <c:layout>
                      <c:manualLayout>
                        <c:x val="-0.10871483718871713"/>
                        <c:y val="4.9245268537471208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EAD6-4F69-8F95-DF7F4922158F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8-95E9-4EC7-B895-762A39AB7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0452767"/>
        <c:axId val="970453247"/>
        <c:extLst>
          <c:ext xmlns:c15="http://schemas.microsoft.com/office/drawing/2012/chart" uri="{02D57815-91ED-43cb-92C2-25804820EDAC}">
            <c15:filteredLineSeries>
              <c15:ser>
                <c:idx val="4"/>
                <c:order val="3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triangle"/>
                  <c:size val="10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Source Sans Pro" panose="020B0503030403020204" pitchFamily="34" charset="0"/>
                          <a:ea typeface="+mn-ea"/>
                          <a:cs typeface="+mn-cs"/>
                        </a:defRPr>
                      </a:pPr>
                      <a:endParaRPr lang="es-CL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'Pilotaje Cleaner'!$C$32:$F$33</c15:sqref>
                        </c15:fullRef>
                        <c15:formulaRef>
                          <c15:sqref>('Pilotaje Cleaner'!$C$32:$C$33,'Pilotaje Cleaner'!$F$32:$F$33)</c15:sqref>
                        </c15:formulaRef>
                      </c:ext>
                    </c:extLst>
                    <c:multiLvlStrCache>
                      <c:ptCount val="2"/>
                      <c:lvl>
                        <c:pt idx="0">
                          <c:v>Noche</c:v>
                        </c:pt>
                        <c:pt idx="1">
                          <c:v>Día</c:v>
                        </c:pt>
                      </c:lvl>
                      <c:lvl>
                        <c:pt idx="0">
                          <c:v>01-09-2025</c:v>
                        </c:pt>
                        <c:pt idx="1">
                          <c:v>03-09-2025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'[6]12-08-2025 M-18 LS2'!$Q$48:$BT$48</c15:sqref>
                        </c15:fullRef>
                        <c15:formulaRef>
                          <c15:sqref>('[6]12-08-2025 M-18 LS2'!$Q$48,'[6]12-08-2025 M-18 LS2'!$T$48:$BT$48)</c15:sqref>
                        </c15:formulaRef>
                      </c:ext>
                    </c:extLst>
                    <c:numCache>
                      <c:formatCode>General</c:formatCode>
                      <c:ptCount val="54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A-95E9-4EC7-B895-762A39AB77CE}"/>
                  </c:ext>
                </c:extLst>
              </c15:ser>
            </c15:filteredLineSeries>
          </c:ext>
        </c:extLst>
      </c:lineChart>
      <c:catAx>
        <c:axId val="1061918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endParaRPr lang="es-CL"/>
          </a:p>
        </c:txPr>
        <c:crossAx val="1061921600"/>
        <c:crosses val="autoZero"/>
        <c:auto val="1"/>
        <c:lblAlgn val="ctr"/>
        <c:lblOffset val="100"/>
        <c:noMultiLvlLbl val="0"/>
      </c:catAx>
      <c:valAx>
        <c:axId val="1061921600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r>
                  <a:rPr lang="es-CL" sz="1050" b="1"/>
                  <a:t>Recuperación Cu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Source Sans Pro" panose="020B0503030403020204" pitchFamily="34" charset="0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endParaRPr lang="es-CL"/>
          </a:p>
        </c:txPr>
        <c:crossAx val="1061918240"/>
        <c:crosses val="autoZero"/>
        <c:crossBetween val="between"/>
      </c:valAx>
      <c:valAx>
        <c:axId val="970453247"/>
        <c:scaling>
          <c:orientation val="minMax"/>
          <c:max val="32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r>
                  <a:rPr lang="es-CL" sz="1100" b="1"/>
                  <a:t>Ley de Cu concentrado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Source Sans Pro" panose="020B0503030403020204" pitchFamily="34" charset="0"/>
                  <a:ea typeface="+mn-ea"/>
                  <a:cs typeface="+mn-cs"/>
                </a:defRPr>
              </a:pPr>
              <a:endParaRPr lang="es-CL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endParaRPr lang="es-CL"/>
          </a:p>
        </c:txPr>
        <c:crossAx val="970452767"/>
        <c:crosses val="max"/>
        <c:crossBetween val="between"/>
      </c:valAx>
      <c:catAx>
        <c:axId val="9704527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70453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250329725621423E-2"/>
          <c:y val="0.94558549648726942"/>
          <c:w val="0.85875241045607187"/>
          <c:h val="5.15525461704845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Source Sans Pro" panose="020B0503030403020204" pitchFamily="34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Source Sans Pro" panose="020B0503030403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r>
              <a:rPr lang="es-CL" sz="1600" b="1"/>
              <a:t>Resultados AQ Pilotaje Cleaner Cond #2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Source Sans Pro" panose="020B0503030403020204" pitchFamily="34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1"/>
          <c:tx>
            <c:v>Rec. Peso Circuito Limp.</c:v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'Pilotaje Cleaner'!$C$63:$H$64</c15:sqref>
                  </c15:fullRef>
                </c:ext>
              </c:extLst>
              <c:f>'Pilotaje Cleaner'!$C$63:$H$64</c:f>
              <c:multiLvlStrCache>
                <c:ptCount val="4"/>
                <c:lvl>
                  <c:pt idx="0">
                    <c:v>Día</c:v>
                  </c:pt>
                  <c:pt idx="1">
                    <c:v>Noche</c:v>
                  </c:pt>
                  <c:pt idx="2">
                    <c:v>Noche</c:v>
                  </c:pt>
                  <c:pt idx="3">
                    <c:v>Noche</c:v>
                  </c:pt>
                </c:lvl>
                <c:lvl>
                  <c:pt idx="0">
                    <c:v>22-09-2025</c:v>
                  </c:pt>
                  <c:pt idx="1">
                    <c:v>22-09-2025</c:v>
                  </c:pt>
                  <c:pt idx="2">
                    <c:v>23-09-2025</c:v>
                  </c:pt>
                  <c:pt idx="3">
                    <c:v>25-09-2025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'Pilotaje Cleaner'!$C$77:$H$77</c15:sqref>
                  </c15:fullRef>
                </c:ext>
              </c:extLst>
              <c:f>('Pilotaje Cleaner'!$C$77:$D$77,'Pilotaje Cleaner'!$F$77,'Pilotaje Cleaner'!$H$77)</c:f>
              <c:numCache>
                <c:formatCode>0.00</c:formatCode>
                <c:ptCount val="4"/>
                <c:pt idx="0">
                  <c:v>8.7693441414885775</c:v>
                </c:pt>
                <c:pt idx="1">
                  <c:v>12.882109182631671</c:v>
                </c:pt>
                <c:pt idx="2">
                  <c:v>8.0050825921219833</c:v>
                </c:pt>
                <c:pt idx="3">
                  <c:v>9.9368277275055483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'Pilotaje Cleaner'!$G$77</c15:sqref>
                  <c15:dLbl>
                    <c:idx val="2"/>
                    <c:layout>
                      <c:manualLayout>
                        <c:x val="-1.4035117189360586E-3"/>
                        <c:y val="1.644057941853971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D7A6-4575-918D-26B9F4A2A8BF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0-4152-4A90-8A77-47A9C3EDEE24}"/>
            </c:ext>
          </c:extLst>
        </c:ser>
        <c:ser>
          <c:idx val="5"/>
          <c:order val="5"/>
          <c:tx>
            <c:v>Rec. Circuito Limp.</c:v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'Pilotaje Cleaner'!$C$63:$H$64</c15:sqref>
                  </c15:fullRef>
                </c:ext>
              </c:extLst>
              <c:f>'Pilotaje Cleaner'!$C$63:$H$64</c:f>
              <c:multiLvlStrCache>
                <c:ptCount val="4"/>
                <c:lvl>
                  <c:pt idx="0">
                    <c:v>Día</c:v>
                  </c:pt>
                  <c:pt idx="1">
                    <c:v>Noche</c:v>
                  </c:pt>
                  <c:pt idx="2">
                    <c:v>Noche</c:v>
                  </c:pt>
                  <c:pt idx="3">
                    <c:v>Noche</c:v>
                  </c:pt>
                </c:lvl>
                <c:lvl>
                  <c:pt idx="0">
                    <c:v>22-09-2025</c:v>
                  </c:pt>
                  <c:pt idx="1">
                    <c:v>22-09-2025</c:v>
                  </c:pt>
                  <c:pt idx="2">
                    <c:v>23-09-2025</c:v>
                  </c:pt>
                  <c:pt idx="3">
                    <c:v>25-09-2025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'Pilotaje Cleaner'!$C$81:$H$81</c15:sqref>
                  </c15:fullRef>
                </c:ext>
              </c:extLst>
              <c:f>('Pilotaje Cleaner'!$C$81:$D$81,'Pilotaje Cleaner'!$F$81,'Pilotaje Cleaner'!$H$81)</c:f>
              <c:numCache>
                <c:formatCode>0.00</c:formatCode>
                <c:ptCount val="4"/>
                <c:pt idx="0">
                  <c:v>93.880870643636428</c:v>
                </c:pt>
                <c:pt idx="1">
                  <c:v>94.698166889836159</c:v>
                </c:pt>
                <c:pt idx="2">
                  <c:v>89.17706854024965</c:v>
                </c:pt>
                <c:pt idx="3">
                  <c:v>93.138044017333755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52-4A90-8A77-47A9C3EDEE24}"/>
            </c:ext>
          </c:extLst>
        </c:ser>
        <c:ser>
          <c:idx val="7"/>
          <c:order val="6"/>
          <c:tx>
            <c:v>Rec. Global</c:v>
          </c:tx>
          <c:spPr>
            <a:solidFill>
              <a:srgbClr val="99401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'Pilotaje Cleaner'!$C$63:$H$64</c15:sqref>
                  </c15:fullRef>
                </c:ext>
              </c:extLst>
              <c:f>'Pilotaje Cleaner'!$C$63:$H$64</c:f>
              <c:multiLvlStrCache>
                <c:ptCount val="4"/>
                <c:lvl>
                  <c:pt idx="0">
                    <c:v>Día</c:v>
                  </c:pt>
                  <c:pt idx="1">
                    <c:v>Noche</c:v>
                  </c:pt>
                  <c:pt idx="2">
                    <c:v>Noche</c:v>
                  </c:pt>
                  <c:pt idx="3">
                    <c:v>Noche</c:v>
                  </c:pt>
                </c:lvl>
                <c:lvl>
                  <c:pt idx="0">
                    <c:v>22-09-2025</c:v>
                  </c:pt>
                  <c:pt idx="1">
                    <c:v>22-09-2025</c:v>
                  </c:pt>
                  <c:pt idx="2">
                    <c:v>23-09-2025</c:v>
                  </c:pt>
                  <c:pt idx="3">
                    <c:v>25-09-2025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'Pilotaje Cleaner'!$C$82:$H$82</c15:sqref>
                  </c15:fullRef>
                </c:ext>
              </c:extLst>
              <c:f>('Pilotaje Cleaner'!$C$82:$D$82,'Pilotaje Cleaner'!$F$82,'Pilotaje Cleaner'!$H$82)</c:f>
              <c:numCache>
                <c:formatCode>0.00</c:formatCode>
                <c:ptCount val="4"/>
                <c:pt idx="0">
                  <c:v>79.213187590225218</c:v>
                </c:pt>
                <c:pt idx="1">
                  <c:v>79.902791770748379</c:v>
                </c:pt>
                <c:pt idx="2">
                  <c:v>75.244294291213947</c:v>
                </c:pt>
                <c:pt idx="3">
                  <c:v>78.58641810574008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52-4A90-8A77-47A9C3EDEE2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axId val="1061918240"/>
        <c:axId val="1061921600"/>
        <c:extLst>
          <c:ext xmlns:c15="http://schemas.microsoft.com/office/drawing/2012/chart" uri="{02D57815-91ED-43cb-92C2-25804820EDAC}">
            <c15:filteredBarSeries>
              <c15:ser>
                <c:idx val="0"/>
                <c:order val="2"/>
                <c:tx>
                  <c:v>Rec. Primaria</c:v>
                </c:tx>
                <c:spPr>
                  <a:solidFill>
                    <a:schemeClr val="accent1">
                      <a:lumMod val="20000"/>
                      <a:lumOff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Source Sans Pro" panose="020B0503030403020204" pitchFamily="34" charset="0"/>
                          <a:ea typeface="+mn-ea"/>
                          <a:cs typeface="+mn-cs"/>
                        </a:defRPr>
                      </a:pPr>
                      <a:endParaRPr lang="es-CL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'Pilotaje Cleaner'!$C$63:$H$64</c15:sqref>
                        </c15:fullRef>
                        <c15:formulaRef>
                          <c15:sqref>'Pilotaje Cleaner'!$C$63:$H$64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Día</c:v>
                        </c:pt>
                        <c:pt idx="1">
                          <c:v>Noche</c:v>
                        </c:pt>
                        <c:pt idx="2">
                          <c:v>Noche</c:v>
                        </c:pt>
                        <c:pt idx="3">
                          <c:v>Noche</c:v>
                        </c:pt>
                      </c:lvl>
                      <c:lvl>
                        <c:pt idx="0">
                          <c:v>22-09-2025</c:v>
                        </c:pt>
                        <c:pt idx="1">
                          <c:v>22-09-2025</c:v>
                        </c:pt>
                        <c:pt idx="2">
                          <c:v>23-09-2025</c:v>
                        </c:pt>
                        <c:pt idx="3">
                          <c:v>25-09-2025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'[6]12-08-2025 M-18 LS2'!$Q$36:$AQ$36</c15:sqref>
                        </c15:fullRef>
                        <c15:formulaRef>
                          <c15:sqref>('[6]12-08-2025 M-18 LS2'!$Q$36:$R$36,'[6]12-08-2025 M-18 LS2'!$T$36,'[6]12-08-2025 M-18 LS2'!$V$36:$AQ$36)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D-4152-4A90-8A77-47A9C3EDEE24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"/>
          <c:order val="0"/>
          <c:tx>
            <c:strRef>
              <c:f>'Pilotaje Cleaner'!$B$70</c:f>
              <c:strCache>
                <c:ptCount val="1"/>
                <c:pt idx="0">
                  <c:v>Conc. Cl-SCV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7.1579097665738986E-2"/>
                  <c:y val="2.348654202648542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152-4A90-8A77-47A9C3EDEE24}"/>
                </c:ext>
              </c:extLst>
            </c:dLbl>
            <c:dLbl>
              <c:idx val="1"/>
              <c:layout>
                <c:manualLayout>
                  <c:x val="-6.5965050789994775E-2"/>
                  <c:y val="-8.6116325940634024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152-4A90-8A77-47A9C3EDEE24}"/>
                </c:ext>
              </c:extLst>
            </c:dLbl>
            <c:dLbl>
              <c:idx val="2"/>
              <c:layout>
                <c:manualLayout>
                  <c:x val="-6.7368562508930918E-2"/>
                  <c:y val="2.34865420264854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152-4A90-8A77-47A9C3EDEE24}"/>
                </c:ext>
              </c:extLst>
            </c:dLbl>
            <c:dLbl>
              <c:idx val="3"/>
              <c:layout>
                <c:manualLayout>
                  <c:x val="-7.1579097665738986E-2"/>
                  <c:y val="2.34865420264853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152-4A90-8A77-47A9C3EDEE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'Pilotaje Cleaner'!$C$32:$F$33</c15:sqref>
                  </c15:fullRef>
                </c:ext>
              </c:extLst>
              <c:f>'Pilotaje Cleaner'!$C$32:$F$33</c:f>
              <c:multiLvlStrCache>
                <c:ptCount val="3"/>
                <c:lvl>
                  <c:pt idx="0">
                    <c:v>Noche</c:v>
                  </c:pt>
                  <c:pt idx="1">
                    <c:v>Día</c:v>
                  </c:pt>
                  <c:pt idx="2">
                    <c:v>Día</c:v>
                  </c:pt>
                </c:lvl>
                <c:lvl>
                  <c:pt idx="0">
                    <c:v>01-09-2025</c:v>
                  </c:pt>
                  <c:pt idx="1">
                    <c:v>02-09-2025</c:v>
                  </c:pt>
                  <c:pt idx="2">
                    <c:v>03-09-2025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'Pilotaje Cleaner'!$C$70:$H$70</c15:sqref>
                  </c15:fullRef>
                </c:ext>
              </c:extLst>
              <c:f>('Pilotaje Cleaner'!$C$70:$D$70,'Pilotaje Cleaner'!$F$70,'Pilotaje Cleaner'!$H$70)</c:f>
              <c:numCache>
                <c:formatCode>0.00</c:formatCode>
                <c:ptCount val="4"/>
                <c:pt idx="0">
                  <c:v>23.39</c:v>
                </c:pt>
                <c:pt idx="1">
                  <c:v>9.83</c:v>
                </c:pt>
                <c:pt idx="2">
                  <c:v>15.93</c:v>
                </c:pt>
                <c:pt idx="3">
                  <c:v>16.71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'Pilotaje Cleaner'!$E$70</c15:sqref>
                  <c15:dLbl>
                    <c:idx val="1"/>
                    <c:layout>
                      <c:manualLayout>
                        <c:x val="-7.0175585946802926E-2"/>
                        <c:y val="-9.3946168105941696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D7A6-4575-918D-26B9F4A2A8BF}"/>
                      </c:ext>
                    </c:extLst>
                  </c15:dLbl>
                </c15:categoryFilterException>
                <c15:categoryFilterException>
                  <c15:sqref>'Pilotaje Cleaner'!$G$70</c15:sqref>
                  <c15:dLbl>
                    <c:idx val="2"/>
                    <c:layout>
                      <c:manualLayout>
                        <c:x val="-7.2982609384675046E-2"/>
                        <c:y val="-2.3486542026485421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1-D7A6-4575-918D-26B9F4A2A8BF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7-4152-4A90-8A77-47A9C3EDEE24}"/>
            </c:ext>
          </c:extLst>
        </c:ser>
        <c:ser>
          <c:idx val="6"/>
          <c:order val="4"/>
          <c:tx>
            <c:v>Ley Conc. Primario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3.0877257816593316E-2"/>
                  <c:y val="1.87892336211883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152-4A90-8A77-47A9C3EDEE24}"/>
                </c:ext>
              </c:extLst>
            </c:dLbl>
            <c:dLbl>
              <c:idx val="1"/>
              <c:layout>
                <c:manualLayout>
                  <c:x val="2.8070234378721172E-2"/>
                  <c:y val="1.87892336211881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152-4A90-8A77-47A9C3EDEE24}"/>
                </c:ext>
              </c:extLst>
            </c:dLbl>
            <c:dLbl>
              <c:idx val="2"/>
              <c:layout>
                <c:manualLayout>
                  <c:x val="3.0877257816593184E-2"/>
                  <c:y val="1.64405794185397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152-4A90-8A77-47A9C3EDEE24}"/>
                </c:ext>
              </c:extLst>
            </c:dLbl>
            <c:dLbl>
              <c:idx val="3"/>
              <c:layout>
                <c:manualLayout>
                  <c:x val="2.9473746097657228E-2"/>
                  <c:y val="9.394616810594169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152-4A90-8A77-47A9C3EDEE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'Pilotaje Cleaner'!$C$32:$F$33</c15:sqref>
                  </c15:fullRef>
                </c:ext>
              </c:extLst>
              <c:f>'Pilotaje Cleaner'!$C$32:$F$33</c:f>
              <c:multiLvlStrCache>
                <c:ptCount val="3"/>
                <c:lvl>
                  <c:pt idx="0">
                    <c:v>Noche</c:v>
                  </c:pt>
                  <c:pt idx="1">
                    <c:v>Día</c:v>
                  </c:pt>
                  <c:pt idx="2">
                    <c:v>Día</c:v>
                  </c:pt>
                </c:lvl>
                <c:lvl>
                  <c:pt idx="0">
                    <c:v>01-09-2025</c:v>
                  </c:pt>
                  <c:pt idx="1">
                    <c:v>02-09-2025</c:v>
                  </c:pt>
                  <c:pt idx="2">
                    <c:v>03-09-2025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'Pilotaje Cleaner'!$C$65:$H$65</c15:sqref>
                  </c15:fullRef>
                </c:ext>
              </c:extLst>
              <c:f>('Pilotaje Cleaner'!$C$65:$D$65,'Pilotaje Cleaner'!$F$65,'Pilotaje Cleaner'!$H$65)</c:f>
              <c:numCache>
                <c:formatCode>0.00</c:formatCode>
                <c:ptCount val="4"/>
                <c:pt idx="0">
                  <c:v>2.2959999999999998</c:v>
                </c:pt>
                <c:pt idx="1">
                  <c:v>2.2839999999999998</c:v>
                </c:pt>
                <c:pt idx="2">
                  <c:v>1.7849999999999999</c:v>
                </c:pt>
                <c:pt idx="3">
                  <c:v>1.89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'Pilotaje Cleaner'!$E$65</c15:sqref>
                  <c15:dLbl>
                    <c:idx val="1"/>
                    <c:layout>
                      <c:manualLayout>
                        <c:x val="3.0877257816593184E-2"/>
                        <c:y val="3.5229813039728136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D7A6-4575-918D-26B9F4A2A8BF}"/>
                      </c:ext>
                    </c:extLst>
                  </c15:dLbl>
                </c15:categoryFilterException>
                <c15:categoryFilterException>
                  <c15:sqref>'Pilotaje Cleaner'!$G$65</c15:sqref>
                  <c15:dLbl>
                    <c:idx val="2"/>
                    <c:layout>
                      <c:manualLayout>
                        <c:x val="2.9473746097657228E-2"/>
                        <c:y val="3.5229813039728136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D7A6-4575-918D-26B9F4A2A8BF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C-4152-4A90-8A77-47A9C3EDEE2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70452767"/>
        <c:axId val="970453247"/>
        <c:extLst>
          <c:ext xmlns:c15="http://schemas.microsoft.com/office/drawing/2012/chart" uri="{02D57815-91ED-43cb-92C2-25804820EDAC}">
            <c15:filteredLineSeries>
              <c15:ser>
                <c:idx val="4"/>
                <c:order val="3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triangle"/>
                  <c:size val="10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Source Sans Pro" panose="020B0503030403020204" pitchFamily="34" charset="0"/>
                          <a:ea typeface="+mn-ea"/>
                          <a:cs typeface="+mn-cs"/>
                        </a:defRPr>
                      </a:pPr>
                      <a:endParaRPr lang="es-CL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'Pilotaje Cleaner'!$C$32:$F$33</c15:sqref>
                        </c15:fullRef>
                        <c15:formulaRef>
                          <c15:sqref>'Pilotaje Cleaner'!$C$32:$F$33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Noche</c:v>
                        </c:pt>
                        <c:pt idx="1">
                          <c:v>Día</c:v>
                        </c:pt>
                        <c:pt idx="2">
                          <c:v>Día</c:v>
                        </c:pt>
                      </c:lvl>
                      <c:lvl>
                        <c:pt idx="0">
                          <c:v>01-09-2025</c:v>
                        </c:pt>
                        <c:pt idx="1">
                          <c:v>02-09-2025</c:v>
                        </c:pt>
                        <c:pt idx="2">
                          <c:v>03-09-2025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'[6]12-08-2025 M-18 LS2'!$Q$48:$BT$48</c15:sqref>
                        </c15:fullRef>
                        <c15:formulaRef>
                          <c15:sqref>('[6]12-08-2025 M-18 LS2'!$Q$48:$R$48,'[6]12-08-2025 M-18 LS2'!$T$48,'[6]12-08-2025 M-18 LS2'!$V$48:$BT$48)</c15:sqref>
                        </c15:formulaRef>
                      </c:ext>
                    </c:extLst>
                    <c:numCache>
                      <c:formatCode>General</c:formatCode>
                      <c:ptCount val="54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E-4152-4A90-8A77-47A9C3EDEE24}"/>
                  </c:ext>
                </c:extLst>
              </c15:ser>
            </c15:filteredLineSeries>
          </c:ext>
        </c:extLst>
      </c:lineChart>
      <c:catAx>
        <c:axId val="1061918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endParaRPr lang="es-CL"/>
          </a:p>
        </c:txPr>
        <c:crossAx val="1061921600"/>
        <c:crosses val="autoZero"/>
        <c:auto val="1"/>
        <c:lblAlgn val="ctr"/>
        <c:lblOffset val="100"/>
        <c:noMultiLvlLbl val="0"/>
      </c:catAx>
      <c:valAx>
        <c:axId val="1061921600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r>
                  <a:rPr lang="es-CL" sz="1050" b="1"/>
                  <a:t>Recuperación Cu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Source Sans Pro" panose="020B0503030403020204" pitchFamily="34" charset="0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endParaRPr lang="es-CL"/>
          </a:p>
        </c:txPr>
        <c:crossAx val="1061918240"/>
        <c:crosses val="autoZero"/>
        <c:crossBetween val="between"/>
      </c:valAx>
      <c:valAx>
        <c:axId val="970453247"/>
        <c:scaling>
          <c:orientation val="minMax"/>
          <c:max val="32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r>
                  <a:rPr lang="es-CL" sz="1100" b="1"/>
                  <a:t>Ley de Cu concentrado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Source Sans Pro" panose="020B0503030403020204" pitchFamily="34" charset="0"/>
                  <a:ea typeface="+mn-ea"/>
                  <a:cs typeface="+mn-cs"/>
                </a:defRPr>
              </a:pPr>
              <a:endParaRPr lang="es-CL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endParaRPr lang="es-CL"/>
          </a:p>
        </c:txPr>
        <c:crossAx val="970452767"/>
        <c:crosses val="max"/>
        <c:crossBetween val="between"/>
      </c:valAx>
      <c:catAx>
        <c:axId val="9704527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70453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250329725621423E-2"/>
          <c:y val="0.94558549648726942"/>
          <c:w val="0.85875241045607187"/>
          <c:h val="5.15525461704845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Source Sans Pro" panose="020B0503030403020204" pitchFamily="34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Source Sans Pro" panose="020B0503030403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r>
              <a:rPr lang="es-CL" sz="1600" b="1"/>
              <a:t>Resultados AQ Pilotaje Cleaner Cond.</a:t>
            </a:r>
            <a:r>
              <a:rPr lang="es-CL" sz="1600" b="1" baseline="0"/>
              <a:t> </a:t>
            </a:r>
            <a:r>
              <a:rPr lang="es-CL" sz="1600" b="1"/>
              <a:t>1 y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Source Sans Pro" panose="020B0503030403020204" pitchFamily="34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1"/>
          <c:tx>
            <c:v>Rec. Peso Circuito Limp.</c:v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('Pilotaje Cleaner'!$C$31:$C$33,'Pilotaje Cleaner'!$F$31:$F$33)</c:f>
              <c:multiLvlStrCache>
                <c:ptCount val="2"/>
                <c:lvl>
                  <c:pt idx="0">
                    <c:v>Noche</c:v>
                  </c:pt>
                  <c:pt idx="1">
                    <c:v>Día</c:v>
                  </c:pt>
                </c:lvl>
                <c:lvl>
                  <c:pt idx="0">
                    <c:v>01-09-2025</c:v>
                  </c:pt>
                  <c:pt idx="1">
                    <c:v>03-09-2025</c:v>
                  </c:pt>
                </c:lvl>
                <c:lvl>
                  <c:pt idx="0">
                    <c:v>Cu Cond. 1</c:v>
                  </c:pt>
                </c:lvl>
              </c:multiLvlStrCache>
            </c:multiLvlStrRef>
          </c:cat>
          <c:val>
            <c:numRef>
              <c:f>('Pilotaje Cleaner'!$C$46,'Pilotaje Cleaner'!$F$46,'Pilotaje Cleaner'!$C$77:$D$77,'Pilotaje Cleaner'!$F$77,'Pilotaje Cleaner'!$H$77)</c:f>
              <c:numCache>
                <c:formatCode>0.00</c:formatCode>
                <c:ptCount val="6"/>
                <c:pt idx="0">
                  <c:v>24.959593627337796</c:v>
                </c:pt>
                <c:pt idx="1">
                  <c:v>29.98783454987835</c:v>
                </c:pt>
                <c:pt idx="2">
                  <c:v>8.7693441414885775</c:v>
                </c:pt>
                <c:pt idx="3">
                  <c:v>12.882109182631671</c:v>
                </c:pt>
                <c:pt idx="4">
                  <c:v>8.0050825921219833</c:v>
                </c:pt>
                <c:pt idx="5">
                  <c:v>9.9368277275055483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37-4A41-B94C-3E4BA1EDD520}"/>
            </c:ext>
          </c:extLst>
        </c:ser>
        <c:ser>
          <c:idx val="0"/>
          <c:order val="2"/>
          <c:tx>
            <c:v>Rec. Primaria</c:v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('Pilotaje Cleaner'!$C$31:$C$33,'Pilotaje Cleaner'!$F$31:$F$33)</c:f>
              <c:multiLvlStrCache>
                <c:ptCount val="2"/>
                <c:lvl>
                  <c:pt idx="0">
                    <c:v>Noche</c:v>
                  </c:pt>
                  <c:pt idx="1">
                    <c:v>Día</c:v>
                  </c:pt>
                </c:lvl>
                <c:lvl>
                  <c:pt idx="0">
                    <c:v>01-09-2025</c:v>
                  </c:pt>
                  <c:pt idx="1">
                    <c:v>03-09-2025</c:v>
                  </c:pt>
                </c:lvl>
                <c:lvl>
                  <c:pt idx="0">
                    <c:v>Cu Cond. 1</c:v>
                  </c:pt>
                </c:lvl>
              </c:multiLvlStrCache>
            </c:multiLvlStrRef>
          </c:cat>
          <c:val>
            <c:numRef>
              <c:f>('[6]12-08-2025 M-18 LS2'!$Q$36,'[6]12-08-2025 M-18 LS2'!$V$36,'[6]12-08-2025 M-18 LS2'!$X$36,'[6]12-08-2025 M-18 LS2'!$Z$36,'[6]12-08-2025 M-18 LS2'!$AB$36,'[6]12-08-2025 M-18 LS2'!$AD$36)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3D37-4A41-B94C-3E4BA1EDD520}"/>
            </c:ext>
          </c:extLst>
        </c:ser>
        <c:ser>
          <c:idx val="5"/>
          <c:order val="5"/>
          <c:tx>
            <c:v>Rec. Circuito Limp.</c:v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('Pilotaje Cleaner'!$C$31:$C$33,'Pilotaje Cleaner'!$F$31:$F$33)</c:f>
              <c:multiLvlStrCache>
                <c:ptCount val="2"/>
                <c:lvl>
                  <c:pt idx="0">
                    <c:v>Noche</c:v>
                  </c:pt>
                  <c:pt idx="1">
                    <c:v>Día</c:v>
                  </c:pt>
                </c:lvl>
                <c:lvl>
                  <c:pt idx="0">
                    <c:v>01-09-2025</c:v>
                  </c:pt>
                  <c:pt idx="1">
                    <c:v>03-09-2025</c:v>
                  </c:pt>
                </c:lvl>
                <c:lvl>
                  <c:pt idx="0">
                    <c:v>Cu Cond. 1</c:v>
                  </c:pt>
                </c:lvl>
              </c:multiLvlStrCache>
            </c:multiLvlStrRef>
          </c:cat>
          <c:val>
            <c:numRef>
              <c:f>('Pilotaje Cleaner'!$C$50,'Pilotaje Cleaner'!$F$50,'Pilotaje Cleaner'!$C$81:$D$81,'Pilotaje Cleaner'!$F$81,'Pilotaje Cleaner'!$H$81)</c:f>
              <c:numCache>
                <c:formatCode>0.00</c:formatCode>
                <c:ptCount val="6"/>
                <c:pt idx="0">
                  <c:v>96.272718276874372</c:v>
                </c:pt>
                <c:pt idx="1">
                  <c:v>96.492646817527628</c:v>
                </c:pt>
                <c:pt idx="2">
                  <c:v>93.880870643636428</c:v>
                </c:pt>
                <c:pt idx="3">
                  <c:v>94.698166889836159</c:v>
                </c:pt>
                <c:pt idx="4">
                  <c:v>89.17706854024965</c:v>
                </c:pt>
                <c:pt idx="5">
                  <c:v>93.138044017333755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37-4A41-B94C-3E4BA1EDD520}"/>
            </c:ext>
          </c:extLst>
        </c:ser>
        <c:ser>
          <c:idx val="7"/>
          <c:order val="6"/>
          <c:tx>
            <c:v>Rec. Global</c:v>
          </c:tx>
          <c:spPr>
            <a:solidFill>
              <a:srgbClr val="99401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('Pilotaje Cleaner'!$C$31:$C$33,'Pilotaje Cleaner'!$F$31:$F$33)</c:f>
              <c:multiLvlStrCache>
                <c:ptCount val="2"/>
                <c:lvl>
                  <c:pt idx="0">
                    <c:v>Noche</c:v>
                  </c:pt>
                  <c:pt idx="1">
                    <c:v>Día</c:v>
                  </c:pt>
                </c:lvl>
                <c:lvl>
                  <c:pt idx="0">
                    <c:v>01-09-2025</c:v>
                  </c:pt>
                  <c:pt idx="1">
                    <c:v>03-09-2025</c:v>
                  </c:pt>
                </c:lvl>
                <c:lvl>
                  <c:pt idx="0">
                    <c:v>Cu Cond. 1</c:v>
                  </c:pt>
                </c:lvl>
              </c:multiLvlStrCache>
            </c:multiLvlStrRef>
          </c:cat>
          <c:val>
            <c:numRef>
              <c:f>('Pilotaje Cleaner'!$C$51,'Pilotaje Cleaner'!$F$51,'Pilotaje Cleaner'!$C$82:$D$82,'Pilotaje Cleaner'!$F$82,'Pilotaje Cleaner'!$H$82)</c:f>
              <c:numCache>
                <c:formatCode>0.00</c:formatCode>
                <c:ptCount val="6"/>
                <c:pt idx="0">
                  <c:v>76.832843447022853</c:v>
                </c:pt>
                <c:pt idx="1">
                  <c:v>77.008362902959973</c:v>
                </c:pt>
                <c:pt idx="2">
                  <c:v>79.213187590225218</c:v>
                </c:pt>
                <c:pt idx="3">
                  <c:v>79.902791770748379</c:v>
                </c:pt>
                <c:pt idx="4">
                  <c:v>75.244294291213947</c:v>
                </c:pt>
                <c:pt idx="5">
                  <c:v>78.58641810574008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D37-4A41-B94C-3E4BA1EDD52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axId val="1061918240"/>
        <c:axId val="1061921600"/>
        <c:extLst/>
      </c:barChart>
      <c:lineChart>
        <c:grouping val="standard"/>
        <c:varyColors val="0"/>
        <c:ser>
          <c:idx val="1"/>
          <c:order val="0"/>
          <c:tx>
            <c:strRef>
              <c:f>'Pilotaje Cleaner'!$B$70</c:f>
              <c:strCache>
                <c:ptCount val="1"/>
                <c:pt idx="0">
                  <c:v>Conc. Cl-SCV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2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D37-4A41-B94C-3E4BA1EDD520}"/>
              </c:ext>
            </c:extLst>
          </c:dPt>
          <c:dLbls>
            <c:dLbl>
              <c:idx val="0"/>
              <c:layout>
                <c:manualLayout>
                  <c:x val="-6.1754515633186575E-2"/>
                  <c:y val="-6.969023513595083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D37-4A41-B94C-3E4BA1EDD520}"/>
                </c:ext>
              </c:extLst>
            </c:dLbl>
            <c:dLbl>
              <c:idx val="1"/>
              <c:layout>
                <c:manualLayout>
                  <c:x val="-6.0351003914250516E-2"/>
                  <c:y val="1.8584062702920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D37-4A41-B94C-3E4BA1EDD520}"/>
                </c:ext>
              </c:extLst>
            </c:dLbl>
            <c:dLbl>
              <c:idx val="2"/>
              <c:layout>
                <c:manualLayout>
                  <c:x val="-7.1579097665738986E-2"/>
                  <c:y val="2.348654202648542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D37-4A41-B94C-3E4BA1EDD520}"/>
                </c:ext>
              </c:extLst>
            </c:dLbl>
            <c:dLbl>
              <c:idx val="3"/>
              <c:layout>
                <c:manualLayout>
                  <c:x val="-6.5965050789994775E-2"/>
                  <c:y val="-8.6116325940634024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D37-4A41-B94C-3E4BA1EDD5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('Pilotaje Cleaner'!$C$31:$C$33,'Pilotaje Cleaner'!$F$31:$F$33)</c:f>
              <c:multiLvlStrCache>
                <c:ptCount val="2"/>
                <c:lvl>
                  <c:pt idx="0">
                    <c:v>Noche</c:v>
                  </c:pt>
                  <c:pt idx="1">
                    <c:v>Día</c:v>
                  </c:pt>
                </c:lvl>
                <c:lvl>
                  <c:pt idx="0">
                    <c:v>01-09-2025</c:v>
                  </c:pt>
                  <c:pt idx="1">
                    <c:v>03-09-2025</c:v>
                  </c:pt>
                </c:lvl>
                <c:lvl>
                  <c:pt idx="0">
                    <c:v>Cu Cond. 1</c:v>
                  </c:pt>
                </c:lvl>
              </c:multiLvlStrCache>
            </c:multiLvlStrRef>
          </c:cat>
          <c:val>
            <c:numRef>
              <c:f>('Pilotaje Cleaner'!$C$39,'Pilotaje Cleaner'!$F$39,'Pilotaje Cleaner'!$C$70:$D$70,'Pilotaje Cleaner'!$F$70,'Pilotaje Cleaner'!$H$70)</c:f>
              <c:numCache>
                <c:formatCode>0.00</c:formatCode>
                <c:ptCount val="6"/>
                <c:pt idx="0">
                  <c:v>17.55</c:v>
                </c:pt>
                <c:pt idx="1">
                  <c:v>15.03</c:v>
                </c:pt>
                <c:pt idx="2">
                  <c:v>23.39</c:v>
                </c:pt>
                <c:pt idx="3">
                  <c:v>9.83</c:v>
                </c:pt>
                <c:pt idx="4">
                  <c:v>15.93</c:v>
                </c:pt>
                <c:pt idx="5">
                  <c:v>16.71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D37-4A41-B94C-3E4BA1EDD520}"/>
            </c:ext>
          </c:extLst>
        </c:ser>
        <c:ser>
          <c:idx val="4"/>
          <c:order val="3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('Pilotaje Cleaner'!$C$31:$C$33,'Pilotaje Cleaner'!$F$31:$F$33)</c:f>
              <c:multiLvlStrCache>
                <c:ptCount val="2"/>
                <c:lvl>
                  <c:pt idx="0">
                    <c:v>Noche</c:v>
                  </c:pt>
                  <c:pt idx="1">
                    <c:v>Día</c:v>
                  </c:pt>
                </c:lvl>
                <c:lvl>
                  <c:pt idx="0">
                    <c:v>01-09-2025</c:v>
                  </c:pt>
                  <c:pt idx="1">
                    <c:v>03-09-2025</c:v>
                  </c:pt>
                </c:lvl>
                <c:lvl>
                  <c:pt idx="0">
                    <c:v>Cu Cond. 1</c:v>
                  </c:pt>
                </c:lvl>
              </c:multiLvlStrCache>
            </c:multiLvlStrRef>
          </c:cat>
          <c:val>
            <c:numRef>
              <c:f>('[6]12-08-2025 M-18 LS2'!$Q$48,'[6]12-08-2025 M-18 LS2'!$V$48,'[6]12-08-2025 M-18 LS2'!$X$48,'[6]12-08-2025 M-18 LS2'!$Z$48,'[6]12-08-2025 M-18 LS2'!$AB$48,'[6]12-08-2025 M-18 LS2'!$AD$48)</c:f>
              <c:numCache>
                <c:formatCode>General</c:formatCode>
                <c:ptCount val="6"/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3D37-4A41-B94C-3E4BA1EDD520}"/>
            </c:ext>
          </c:extLst>
        </c:ser>
        <c:ser>
          <c:idx val="6"/>
          <c:order val="4"/>
          <c:tx>
            <c:v>Ley Conc. Primario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3D37-4A41-B94C-3E4BA1EDD520}"/>
              </c:ext>
            </c:extLst>
          </c:dPt>
          <c:dLbls>
            <c:dLbl>
              <c:idx val="0"/>
              <c:layout>
                <c:manualLayout>
                  <c:x val="2.9473746097657256E-2"/>
                  <c:y val="2.0907070540785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D37-4A41-B94C-3E4BA1EDD520}"/>
                </c:ext>
              </c:extLst>
            </c:dLbl>
            <c:dLbl>
              <c:idx val="1"/>
              <c:layout>
                <c:manualLayout>
                  <c:x val="2.8070234378721172E-2"/>
                  <c:y val="2.55530862165153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D37-4A41-B94C-3E4BA1EDD520}"/>
                </c:ext>
              </c:extLst>
            </c:dLbl>
            <c:dLbl>
              <c:idx val="2"/>
              <c:layout>
                <c:manualLayout>
                  <c:x val="3.0877257816593316E-2"/>
                  <c:y val="1.87892336211883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D37-4A41-B94C-3E4BA1EDD520}"/>
                </c:ext>
              </c:extLst>
            </c:dLbl>
            <c:dLbl>
              <c:idx val="3"/>
              <c:layout>
                <c:manualLayout>
                  <c:x val="2.8070234378721172E-2"/>
                  <c:y val="1.87892336211881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D37-4A41-B94C-3E4BA1EDD520}"/>
                </c:ext>
              </c:extLst>
            </c:dLbl>
            <c:dLbl>
              <c:idx val="4"/>
              <c:layout>
                <c:manualLayout>
                  <c:x val="3.0877257816593184E-2"/>
                  <c:y val="1.64405794185397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3D37-4A41-B94C-3E4BA1EDD520}"/>
                </c:ext>
              </c:extLst>
            </c:dLbl>
            <c:dLbl>
              <c:idx val="5"/>
              <c:layout>
                <c:manualLayout>
                  <c:x val="2.9473746097657228E-2"/>
                  <c:y val="9.394616810594169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D37-4A41-B94C-3E4BA1EDD5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('Pilotaje Cleaner'!$C$31:$C$33,'Pilotaje Cleaner'!$F$31:$F$33)</c:f>
              <c:multiLvlStrCache>
                <c:ptCount val="2"/>
                <c:lvl>
                  <c:pt idx="0">
                    <c:v>Noche</c:v>
                  </c:pt>
                  <c:pt idx="1">
                    <c:v>Día</c:v>
                  </c:pt>
                </c:lvl>
                <c:lvl>
                  <c:pt idx="0">
                    <c:v>01-09-2025</c:v>
                  </c:pt>
                  <c:pt idx="1">
                    <c:v>03-09-2025</c:v>
                  </c:pt>
                </c:lvl>
                <c:lvl>
                  <c:pt idx="0">
                    <c:v>Cu Cond. 1</c:v>
                  </c:pt>
                </c:lvl>
              </c:multiLvlStrCache>
            </c:multiLvlStrRef>
          </c:cat>
          <c:val>
            <c:numRef>
              <c:f>('Pilotaje Cleaner'!$C$34,'Pilotaje Cleaner'!$F$34,'Pilotaje Cleaner'!$C$65:$D$65,'Pilotaje Cleaner'!$F$65,'Pilotaje Cleaner'!$H$65)</c:f>
              <c:numCache>
                <c:formatCode>0.00</c:formatCode>
                <c:ptCount val="6"/>
                <c:pt idx="0">
                  <c:v>4.55</c:v>
                </c:pt>
                <c:pt idx="1">
                  <c:v>4.6710000000000003</c:v>
                </c:pt>
                <c:pt idx="2">
                  <c:v>2.2959999999999998</c:v>
                </c:pt>
                <c:pt idx="3">
                  <c:v>2.2839999999999998</c:v>
                </c:pt>
                <c:pt idx="4">
                  <c:v>1.7849999999999999</c:v>
                </c:pt>
                <c:pt idx="5">
                  <c:v>1.89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D37-4A41-B94C-3E4BA1EDD520}"/>
            </c:ext>
          </c:extLst>
        </c:ser>
        <c:ser>
          <c:idx val="2"/>
          <c:order val="7"/>
          <c:tx>
            <c:strRef>
              <c:f>'Pilotaje Cleaner'!$B$54</c:f>
              <c:strCache>
                <c:ptCount val="1"/>
                <c:pt idx="0">
                  <c:v>Ley Conc Final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2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3D37-4A41-B94C-3E4BA1EDD520}"/>
              </c:ext>
            </c:extLst>
          </c:dPt>
          <c:dLbls>
            <c:dLbl>
              <c:idx val="0"/>
              <c:layout>
                <c:manualLayout>
                  <c:x val="-6.0351003914250516E-2"/>
                  <c:y val="-2.74825200172469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D37-4A41-B94C-3E4BA1EDD520}"/>
                </c:ext>
              </c:extLst>
            </c:dLbl>
            <c:dLbl>
              <c:idx val="1"/>
              <c:layout>
                <c:manualLayout>
                  <c:x val="-5.7543980476378404E-2"/>
                  <c:y val="-3.89335700244331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3D37-4A41-B94C-3E4BA1EDD520}"/>
                </c:ext>
              </c:extLst>
            </c:dLbl>
            <c:dLbl>
              <c:idx val="2"/>
              <c:layout>
                <c:manualLayout>
                  <c:x val="-6.8772074227866867E-2"/>
                  <c:y val="-2.29021000143724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3D37-4A41-B94C-3E4BA1EDD520}"/>
                </c:ext>
              </c:extLst>
            </c:dLbl>
            <c:dLbl>
              <c:idx val="3"/>
              <c:layout>
                <c:manualLayout>
                  <c:x val="-6.3158027352122739E-2"/>
                  <c:y val="1.14510500071862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3D37-4A41-B94C-3E4BA1EDD520}"/>
                </c:ext>
              </c:extLst>
            </c:dLbl>
            <c:dLbl>
              <c:idx val="4"/>
              <c:layout>
                <c:manualLayout>
                  <c:x val="-6.5965050789994747E-2"/>
                  <c:y val="-1.8321680011497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3D37-4A41-B94C-3E4BA1EDD520}"/>
                </c:ext>
              </c:extLst>
            </c:dLbl>
            <c:dLbl>
              <c:idx val="5"/>
              <c:layout>
                <c:manualLayout>
                  <c:x val="-6.0351003914250516E-2"/>
                  <c:y val="-4.35139900273076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3D37-4A41-B94C-3E4BA1EDD5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('Pilotaje Cleaner'!$C$31:$C$33,'Pilotaje Cleaner'!$F$31:$F$33)</c:f>
              <c:multiLvlStrCache>
                <c:ptCount val="2"/>
                <c:lvl>
                  <c:pt idx="0">
                    <c:v>Noche</c:v>
                  </c:pt>
                  <c:pt idx="1">
                    <c:v>Día</c:v>
                  </c:pt>
                </c:lvl>
                <c:lvl>
                  <c:pt idx="0">
                    <c:v>01-09-2025</c:v>
                  </c:pt>
                  <c:pt idx="1">
                    <c:v>03-09-2025</c:v>
                  </c:pt>
                </c:lvl>
                <c:lvl>
                  <c:pt idx="0">
                    <c:v>Cu Cond. 1</c:v>
                  </c:pt>
                </c:lvl>
              </c:multiLvlStrCache>
            </c:multiLvlStrRef>
          </c:cat>
          <c:val>
            <c:numRef>
              <c:f>('Pilotaje Cleaner'!$C$54,'Pilotaje Cleaner'!$F$54,'Pilotaje Cleaner'!$C$89:$D$89,'Pilotaje Cleaner'!$F$89,'Pilotaje Cleaner'!$H$89)</c:f>
              <c:numCache>
                <c:formatCode>0.00</c:formatCode>
                <c:ptCount val="6"/>
                <c:pt idx="0">
                  <c:v>19.27</c:v>
                </c:pt>
                <c:pt idx="1">
                  <c:v>18.695</c:v>
                </c:pt>
                <c:pt idx="2">
                  <c:v>24.58</c:v>
                </c:pt>
                <c:pt idx="3">
                  <c:v>16.79</c:v>
                </c:pt>
                <c:pt idx="4">
                  <c:v>19.884999999999998</c:v>
                </c:pt>
                <c:pt idx="5">
                  <c:v>17.715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D37-4A41-B94C-3E4BA1EDD52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70452767"/>
        <c:axId val="970453247"/>
        <c:extLst/>
      </c:lineChart>
      <c:catAx>
        <c:axId val="1061918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endParaRPr lang="es-CL"/>
          </a:p>
        </c:txPr>
        <c:crossAx val="1061921600"/>
        <c:crosses val="autoZero"/>
        <c:auto val="1"/>
        <c:lblAlgn val="ctr"/>
        <c:lblOffset val="100"/>
        <c:noMultiLvlLbl val="0"/>
      </c:catAx>
      <c:valAx>
        <c:axId val="1061921600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r>
                  <a:rPr lang="es-CL" sz="1050" b="1"/>
                  <a:t>Recuperación Cu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Source Sans Pro" panose="020B0503030403020204" pitchFamily="34" charset="0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endParaRPr lang="es-CL"/>
          </a:p>
        </c:txPr>
        <c:crossAx val="1061918240"/>
        <c:crosses val="autoZero"/>
        <c:crossBetween val="between"/>
      </c:valAx>
      <c:valAx>
        <c:axId val="970453247"/>
        <c:scaling>
          <c:orientation val="minMax"/>
          <c:max val="32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Source Sans Pro" panose="020B0503030403020204" pitchFamily="34" charset="0"/>
                    <a:ea typeface="+mn-ea"/>
                    <a:cs typeface="+mn-cs"/>
                  </a:defRPr>
                </a:pPr>
                <a:r>
                  <a:rPr lang="es-CL" sz="1100" b="1"/>
                  <a:t>Ley de Cu concentrado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Source Sans Pro" panose="020B0503030403020204" pitchFamily="34" charset="0"/>
                  <a:ea typeface="+mn-ea"/>
                  <a:cs typeface="+mn-cs"/>
                </a:defRPr>
              </a:pPr>
              <a:endParaRPr lang="es-CL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Source Sans Pro" panose="020B0503030403020204" pitchFamily="34" charset="0"/>
                <a:ea typeface="+mn-ea"/>
                <a:cs typeface="+mn-cs"/>
              </a:defRPr>
            </a:pPr>
            <a:endParaRPr lang="es-CL"/>
          </a:p>
        </c:txPr>
        <c:crossAx val="970452767"/>
        <c:crosses val="max"/>
        <c:crossBetween val="between"/>
      </c:valAx>
      <c:catAx>
        <c:axId val="9704527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70453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Source Sans Pro" panose="020B0503030403020204" pitchFamily="34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Source Sans Pro" panose="020B0503030403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  <c:userShapes r:id="rId3"/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baseline="0"/>
              <a:t>Ley Acumulada vs Recuperacion de Cu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9.7570283903682997E-2"/>
          <c:y val="0.14942546237566065"/>
          <c:w val="0.84155675374302708"/>
          <c:h val="0.61560589031522717"/>
        </c:manualLayout>
      </c:layout>
      <c:scatterChart>
        <c:scatterStyle val="smoothMarker"/>
        <c:varyColors val="0"/>
        <c:ser>
          <c:idx val="2"/>
          <c:order val="0"/>
          <c:tx>
            <c:v>Caso Septiembre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'20. Jms - Pre-Cle-SCV'!$K$112:$K$119</c:f>
              <c:numCache>
                <c:formatCode>0.0</c:formatCode>
                <c:ptCount val="8"/>
                <c:pt idx="0">
                  <c:v>28.993914455743962</c:v>
                </c:pt>
                <c:pt idx="1">
                  <c:v>42.204452270903744</c:v>
                </c:pt>
                <c:pt idx="2">
                  <c:v>62.248554733427873</c:v>
                </c:pt>
                <c:pt idx="3">
                  <c:v>79.456244173931196</c:v>
                </c:pt>
                <c:pt idx="4">
                  <c:v>80.478503855494083</c:v>
                </c:pt>
                <c:pt idx="5">
                  <c:v>84.754453575809336</c:v>
                </c:pt>
                <c:pt idx="6">
                  <c:v>89.314128246119921</c:v>
                </c:pt>
                <c:pt idx="7">
                  <c:v>100</c:v>
                </c:pt>
              </c:numCache>
            </c:numRef>
          </c:xVal>
          <c:yVal>
            <c:numRef>
              <c:f>'20. Jms - Pre-Cle-SCV'!$J$112:$J$119</c:f>
              <c:numCache>
                <c:formatCode>0.00</c:formatCode>
                <c:ptCount val="8"/>
                <c:pt idx="0">
                  <c:v>11.83</c:v>
                </c:pt>
                <c:pt idx="1">
                  <c:v>11.747369033760187</c:v>
                </c:pt>
                <c:pt idx="2">
                  <c:v>11.370122230710466</c:v>
                </c:pt>
                <c:pt idx="3">
                  <c:v>10.899489386115892</c:v>
                </c:pt>
                <c:pt idx="4">
                  <c:v>10.902113314447593</c:v>
                </c:pt>
                <c:pt idx="5">
                  <c:v>10.532536382536383</c:v>
                </c:pt>
                <c:pt idx="6">
                  <c:v>7.6485702005730669</c:v>
                </c:pt>
                <c:pt idx="7">
                  <c:v>1.7080851550221461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B8C-408E-A9BB-20C71325A22C}"/>
            </c:ext>
          </c:extLst>
        </c:ser>
        <c:ser>
          <c:idx val="0"/>
          <c:order val="1"/>
          <c:tx>
            <c:v>Caso Noviembre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'Test Dilucion Pre-SCV'!$K$4:$K$11</c:f>
              <c:numCache>
                <c:formatCode>0.00</c:formatCode>
                <c:ptCount val="8"/>
                <c:pt idx="0">
                  <c:v>6.2875366596855207</c:v>
                </c:pt>
                <c:pt idx="1">
                  <c:v>11.384813665726032</c:v>
                </c:pt>
                <c:pt idx="2">
                  <c:v>15.46176912323371</c:v>
                </c:pt>
                <c:pt idx="3">
                  <c:v>22.68197322218931</c:v>
                </c:pt>
                <c:pt idx="4">
                  <c:v>29.936130296274357</c:v>
                </c:pt>
                <c:pt idx="5">
                  <c:v>71.744195513703318</c:v>
                </c:pt>
                <c:pt idx="6">
                  <c:v>83.697028594987785</c:v>
                </c:pt>
                <c:pt idx="7">
                  <c:v>100</c:v>
                </c:pt>
              </c:numCache>
            </c:numRef>
          </c:xVal>
          <c:yVal>
            <c:numRef>
              <c:f>'Test Dilucion Pre-SCV'!$J$4:$J$11</c:f>
              <c:numCache>
                <c:formatCode>0.00</c:formatCode>
                <c:ptCount val="8"/>
                <c:pt idx="0" formatCode="General">
                  <c:v>27.920000000000005</c:v>
                </c:pt>
                <c:pt idx="1">
                  <c:v>27.383749999999999</c:v>
                </c:pt>
                <c:pt idx="2">
                  <c:v>27.047272727272727</c:v>
                </c:pt>
                <c:pt idx="3">
                  <c:v>26.721632653061224</c:v>
                </c:pt>
                <c:pt idx="4">
                  <c:v>25.413529411764706</c:v>
                </c:pt>
                <c:pt idx="5">
                  <c:v>13.66854785478548</c:v>
                </c:pt>
                <c:pt idx="6">
                  <c:v>2.8708080808080809</c:v>
                </c:pt>
                <c:pt idx="7">
                  <c:v>0.76307865168539324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8C-408E-A9BB-20C71325A22C}"/>
            </c:ext>
          </c:extLst>
        </c:ser>
        <c:ser>
          <c:idx val="1"/>
          <c:order val="2"/>
          <c:tx>
            <c:v>Caso Diciembre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'Test Dilucion Pre-SCV'!$K$17:$K$24</c:f>
              <c:numCache>
                <c:formatCode>0.00</c:formatCode>
                <c:ptCount val="8"/>
                <c:pt idx="0">
                  <c:v>14.953721146115335</c:v>
                </c:pt>
                <c:pt idx="1">
                  <c:v>24.917301390631334</c:v>
                </c:pt>
                <c:pt idx="2">
                  <c:v>38.256409061307671</c:v>
                </c:pt>
                <c:pt idx="3">
                  <c:v>56.942216491041364</c:v>
                </c:pt>
                <c:pt idx="4">
                  <c:v>62.801097383034069</c:v>
                </c:pt>
                <c:pt idx="5">
                  <c:v>80.413085218084817</c:v>
                </c:pt>
                <c:pt idx="6">
                  <c:v>87.036224256618794</c:v>
                </c:pt>
                <c:pt idx="7">
                  <c:v>100</c:v>
                </c:pt>
              </c:numCache>
            </c:numRef>
          </c:xVal>
          <c:yVal>
            <c:numRef>
              <c:f>'Test Dilucion Pre-SCV'!$J$17:$J$24</c:f>
              <c:numCache>
                <c:formatCode>General</c:formatCode>
                <c:ptCount val="8"/>
                <c:pt idx="0">
                  <c:v>21</c:v>
                </c:pt>
                <c:pt idx="1">
                  <c:v>20.047604166666666</c:v>
                </c:pt>
                <c:pt idx="2">
                  <c:v>18.820764331210192</c:v>
                </c:pt>
                <c:pt idx="3">
                  <c:v>15.763870967741937</c:v>
                </c:pt>
                <c:pt idx="4">
                  <c:v>14.351035502958581</c:v>
                </c:pt>
                <c:pt idx="5">
                  <c:v>9.5553384615384616</c:v>
                </c:pt>
                <c:pt idx="6">
                  <c:v>3.5987847965738751</c:v>
                </c:pt>
                <c:pt idx="7">
                  <c:v>0.99559551430781124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B8C-408E-A9BB-20C71325A22C}"/>
            </c:ext>
          </c:extLst>
        </c:ser>
        <c:ser>
          <c:idx val="3"/>
          <c:order val="3"/>
          <c:tx>
            <c:v>Test Desgaste Diciembre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'Test Dilucion Pre-SCV'!$G$31:$G$36</c:f>
              <c:numCache>
                <c:formatCode>General</c:formatCode>
                <c:ptCount val="6"/>
                <c:pt idx="0">
                  <c:v>11.418651176351338</c:v>
                </c:pt>
                <c:pt idx="1">
                  <c:v>22.596595929488174</c:v>
                </c:pt>
                <c:pt idx="2">
                  <c:v>40.254554940943478</c:v>
                </c:pt>
                <c:pt idx="3">
                  <c:v>57.926353312569333</c:v>
                </c:pt>
                <c:pt idx="4">
                  <c:v>79.26231974920195</c:v>
                </c:pt>
                <c:pt idx="5">
                  <c:v>100</c:v>
                </c:pt>
              </c:numCache>
            </c:numRef>
          </c:xVal>
          <c:yVal>
            <c:numRef>
              <c:f>'Test Dilucion Pre-SCV'!$F$31:$F$36</c:f>
              <c:numCache>
                <c:formatCode>General</c:formatCode>
                <c:ptCount val="6"/>
                <c:pt idx="0">
                  <c:v>26.32</c:v>
                </c:pt>
                <c:pt idx="1">
                  <c:v>26.285326231691084</c:v>
                </c:pt>
                <c:pt idx="2">
                  <c:v>26.243425373134333</c:v>
                </c:pt>
                <c:pt idx="3">
                  <c:v>15.813809375000002</c:v>
                </c:pt>
                <c:pt idx="4">
                  <c:v>8.0049930635838162</c:v>
                </c:pt>
                <c:pt idx="5">
                  <c:v>0.96002648438959537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B8C-408E-A9BB-20C71325A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0697536"/>
        <c:axId val="1370698976"/>
      </c:scatterChart>
      <c:valAx>
        <c:axId val="13706975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Recuperación Cu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70698976"/>
        <c:crosses val="autoZero"/>
        <c:crossBetween val="midCat"/>
      </c:valAx>
      <c:valAx>
        <c:axId val="137069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Ley Cu</a:t>
                </a:r>
                <a:r>
                  <a:rPr lang="es-CL" baseline="0"/>
                  <a:t> (%)</a:t>
                </a: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70697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6.5426336500906498E-2"/>
          <c:y val="0.91790914809566526"/>
          <c:w val="0.90465496814267532"/>
          <c:h val="5.48928247748274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Flujo</a:t>
            </a:r>
            <a:r>
              <a:rPr lang="es-CL" baseline="0"/>
              <a:t> de Masas  kg/h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'Balance Cl Sept Día'!$T$17:$AA$17</c:f>
              <c:numCache>
                <c:formatCode>0.00</c:formatCode>
                <c:ptCount val="8"/>
                <c:pt idx="0">
                  <c:v>23.159999999999997</c:v>
                </c:pt>
                <c:pt idx="1">
                  <c:v>0.85556435643564366</c:v>
                </c:pt>
                <c:pt idx="2">
                  <c:v>23.015999999999998</c:v>
                </c:pt>
                <c:pt idx="3">
                  <c:v>28.139999999999997</c:v>
                </c:pt>
                <c:pt idx="4">
                  <c:v>9.7714285714285722</c:v>
                </c:pt>
                <c:pt idx="5">
                  <c:v>1.6506885245901641</c:v>
                </c:pt>
                <c:pt idx="6">
                  <c:v>8.3184000000000005</c:v>
                </c:pt>
                <c:pt idx="7">
                  <c:v>21.703999999999997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25-4EA7-B4EB-D3C99B84CC9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'Balance Cl Sept Día'!$T$18:$AA$18</c:f>
              <c:numCache>
                <c:formatCode>0.00</c:formatCode>
                <c:ptCount val="8"/>
                <c:pt idx="0">
                  <c:v>23.515644582468504</c:v>
                </c:pt>
                <c:pt idx="1">
                  <c:v>0.8241820699615453</c:v>
                </c:pt>
                <c:pt idx="2">
                  <c:v>22.691462512483</c:v>
                </c:pt>
                <c:pt idx="3">
                  <c:v>30.849976480215762</c:v>
                </c:pt>
                <c:pt idx="4">
                  <c:v>9.7671080993205202</c:v>
                </c:pt>
                <c:pt idx="5">
                  <c:v>1.6085941316070298</c:v>
                </c:pt>
                <c:pt idx="6">
                  <c:v>8.1585139677347271</c:v>
                </c:pt>
                <c:pt idx="7">
                  <c:v>21.082868380892183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25-4EA7-B4EB-D3C99B84C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3848576"/>
        <c:axId val="833849056"/>
      </c:lineChart>
      <c:catAx>
        <c:axId val="833848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3849056"/>
        <c:crosses val="autoZero"/>
        <c:auto val="1"/>
        <c:lblAlgn val="ctr"/>
        <c:lblOffset val="100"/>
        <c:noMultiLvlLbl val="0"/>
      </c:catAx>
      <c:valAx>
        <c:axId val="83384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3848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Ley de Cu%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'Balance Cl Sept Día'!$T$22:$AA$22</c:f>
              <c:numCache>
                <c:formatCode>0.00</c:formatCode>
                <c:ptCount val="8"/>
                <c:pt idx="0">
                  <c:v>2.2959999999999998</c:v>
                </c:pt>
                <c:pt idx="1">
                  <c:v>25.77</c:v>
                </c:pt>
                <c:pt idx="2">
                  <c:v>1.6850000000000001</c:v>
                </c:pt>
                <c:pt idx="3">
                  <c:v>2.085</c:v>
                </c:pt>
                <c:pt idx="4">
                  <c:v>5.92</c:v>
                </c:pt>
                <c:pt idx="5">
                  <c:v>23.39</c:v>
                </c:pt>
                <c:pt idx="6">
                  <c:v>2.8260000000000001</c:v>
                </c:pt>
                <c:pt idx="7">
                  <c:v>0.154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74-420C-8CB9-52CFA6F82AE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'Balance Cl Sept Día'!$T$23:$AA$23</c:f>
              <c:numCache>
                <c:formatCode>0.00</c:formatCode>
                <c:ptCount val="8"/>
                <c:pt idx="0">
                  <c:v>2.5107803567109119</c:v>
                </c:pt>
                <c:pt idx="1">
                  <c:v>24.821671525063238</c:v>
                </c:pt>
                <c:pt idx="2">
                  <c:v>1.7004211065477988</c:v>
                </c:pt>
                <c:pt idx="3">
                  <c:v>2.0044095355155651</c:v>
                </c:pt>
                <c:pt idx="4">
                  <c:v>6.0001058786339874</c:v>
                </c:pt>
                <c:pt idx="5">
                  <c:v>21.977412800662304</c:v>
                </c:pt>
                <c:pt idx="6">
                  <c:v>2.849899542773167</c:v>
                </c:pt>
                <c:pt idx="7">
                  <c:v>0.15331425742711488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74-420C-8CB9-52CFA6F82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6621312"/>
        <c:axId val="1506622752"/>
      </c:lineChart>
      <c:catAx>
        <c:axId val="15066213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06622752"/>
        <c:crosses val="autoZero"/>
        <c:auto val="1"/>
        <c:lblAlgn val="ctr"/>
        <c:lblOffset val="100"/>
        <c:noMultiLvlLbl val="0"/>
      </c:catAx>
      <c:valAx>
        <c:axId val="150662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0662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Ley de Fe%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'Balance Cl Sept Día'!$T$29:$AA$29</c:f>
              <c:numCache>
                <c:formatCode>0.00</c:formatCode>
                <c:ptCount val="8"/>
                <c:pt idx="0">
                  <c:v>5.56</c:v>
                </c:pt>
                <c:pt idx="1">
                  <c:v>17.100000000000001</c:v>
                </c:pt>
                <c:pt idx="2">
                  <c:v>6.15</c:v>
                </c:pt>
                <c:pt idx="3">
                  <c:v>6.33</c:v>
                </c:pt>
                <c:pt idx="4">
                  <c:v>10.3</c:v>
                </c:pt>
                <c:pt idx="5">
                  <c:v>21.6</c:v>
                </c:pt>
                <c:pt idx="6">
                  <c:v>7.32</c:v>
                </c:pt>
                <c:pt idx="7">
                  <c:v>3.81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0E-48AF-B6E1-AB1D251EA45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'Balance Cl Sept Día'!$T$30:$AA$30</c:f>
              <c:numCache>
                <c:formatCode>0.00</c:formatCode>
                <c:ptCount val="8"/>
                <c:pt idx="0">
                  <c:v>5.789863113790199</c:v>
                </c:pt>
                <c:pt idx="1">
                  <c:v>17.023810720204949</c:v>
                </c:pt>
                <c:pt idx="2">
                  <c:v>5.3818322000598409</c:v>
                </c:pt>
                <c:pt idx="3">
                  <c:v>5.9600954900479453</c:v>
                </c:pt>
                <c:pt idx="4">
                  <c:v>10.021160957660053</c:v>
                </c:pt>
                <c:pt idx="5">
                  <c:v>22.460979742785021</c:v>
                </c:pt>
                <c:pt idx="6">
                  <c:v>7.5684324779370913</c:v>
                </c:pt>
                <c:pt idx="7">
                  <c:v>4.0787165091710964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0E-48AF-B6E1-AB1D251EA4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3847616"/>
        <c:axId val="833853856"/>
      </c:lineChart>
      <c:catAx>
        <c:axId val="8338476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3853856"/>
        <c:crosses val="autoZero"/>
        <c:auto val="1"/>
        <c:lblAlgn val="ctr"/>
        <c:lblOffset val="100"/>
        <c:noMultiLvlLbl val="0"/>
      </c:catAx>
      <c:valAx>
        <c:axId val="8338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384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Flujo</a:t>
            </a:r>
            <a:r>
              <a:rPr lang="es-CL" baseline="0"/>
              <a:t> de Masas  kg/h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'Balance Cl Sept Noche'!$T$17:$AA$17</c:f>
              <c:numCache>
                <c:formatCode>0.00</c:formatCode>
                <c:ptCount val="8"/>
                <c:pt idx="0">
                  <c:v>20.452800000000003</c:v>
                </c:pt>
                <c:pt idx="1">
                  <c:v>1.4509629629629628</c:v>
                </c:pt>
                <c:pt idx="2">
                  <c:v>20.500800000000002</c:v>
                </c:pt>
                <c:pt idx="3">
                  <c:v>26.424000000000003</c:v>
                </c:pt>
                <c:pt idx="4">
                  <c:v>7.1159999999999997</c:v>
                </c:pt>
                <c:pt idx="5">
                  <c:v>2.3738181818181818</c:v>
                </c:pt>
                <c:pt idx="6">
                  <c:v>5.0093333333333332</c:v>
                </c:pt>
                <c:pt idx="7">
                  <c:v>20.773714285714284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E6-4F01-B5C1-38ACEF69E21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'Balance Cl Sept Noche'!$T$18:$AA$18</c:f>
              <c:numCache>
                <c:formatCode>0.00</c:formatCode>
                <c:ptCount val="8"/>
                <c:pt idx="0">
                  <c:v>22.809181287340884</c:v>
                </c:pt>
                <c:pt idx="1">
                  <c:v>1.3679199337913037</c:v>
                </c:pt>
                <c:pt idx="2">
                  <c:v>21.441261353542167</c:v>
                </c:pt>
                <c:pt idx="3">
                  <c:v>26.370671460499644</c:v>
                </c:pt>
                <c:pt idx="4">
                  <c:v>7.1919024601157755</c:v>
                </c:pt>
                <c:pt idx="5">
                  <c:v>2.262492353142195</c:v>
                </c:pt>
                <c:pt idx="6">
                  <c:v>4.9294101069728153</c:v>
                </c:pt>
                <c:pt idx="7">
                  <c:v>19.178769000414661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E6-4F01-B5C1-38ACEF69E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3848576"/>
        <c:axId val="833849056"/>
      </c:lineChart>
      <c:catAx>
        <c:axId val="833848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3849056"/>
        <c:crosses val="autoZero"/>
        <c:auto val="1"/>
        <c:lblAlgn val="ctr"/>
        <c:lblOffset val="100"/>
        <c:noMultiLvlLbl val="0"/>
      </c:catAx>
      <c:valAx>
        <c:axId val="83384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3848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Ley de Cu%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'Balance Cl Sept Noche'!$T$22:$AA$22</c:f>
              <c:numCache>
                <c:formatCode>0.00</c:formatCode>
                <c:ptCount val="8"/>
                <c:pt idx="0">
                  <c:v>2.2839999999999998</c:v>
                </c:pt>
                <c:pt idx="1">
                  <c:v>23.75</c:v>
                </c:pt>
                <c:pt idx="2">
                  <c:v>1.069</c:v>
                </c:pt>
                <c:pt idx="3">
                  <c:v>1.512</c:v>
                </c:pt>
                <c:pt idx="4">
                  <c:v>5.31</c:v>
                </c:pt>
                <c:pt idx="5">
                  <c:v>9.83</c:v>
                </c:pt>
                <c:pt idx="6">
                  <c:v>3.22</c:v>
                </c:pt>
                <c:pt idx="7">
                  <c:v>0.13900000000000001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79-4C88-ADEB-69294363BBA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'Balance Cl Sept Noche'!$T$23:$AA$23</c:f>
              <c:numCache>
                <c:formatCode>0.00</c:formatCode>
                <c:ptCount val="8"/>
                <c:pt idx="0">
                  <c:v>2.4169495183618364</c:v>
                </c:pt>
                <c:pt idx="1">
                  <c:v>22.887879217583322</c:v>
                </c:pt>
                <c:pt idx="2">
                  <c:v>1.1109352713687972</c:v>
                </c:pt>
                <c:pt idx="3">
                  <c:v>1.5116097699427293</c:v>
                </c:pt>
                <c:pt idx="4">
                  <c:v>5.1747598875778476</c:v>
                </c:pt>
                <c:pt idx="5">
                  <c:v>9.3587309672792891</c:v>
                </c:pt>
                <c:pt idx="6">
                  <c:v>3.2544078824070639</c:v>
                </c:pt>
                <c:pt idx="7">
                  <c:v>0.13795443902471596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79-4C88-ADEB-69294363B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6621312"/>
        <c:axId val="1506622752"/>
      </c:lineChart>
      <c:catAx>
        <c:axId val="15066213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06622752"/>
        <c:crosses val="autoZero"/>
        <c:auto val="1"/>
        <c:lblAlgn val="ctr"/>
        <c:lblOffset val="100"/>
        <c:noMultiLvlLbl val="0"/>
      </c:catAx>
      <c:valAx>
        <c:axId val="150662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0662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Ley de Fe%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'Balance Cl Sept Noche'!$T$29:$AA$29</c:f>
              <c:numCache>
                <c:formatCode>0.00</c:formatCode>
                <c:ptCount val="8"/>
                <c:pt idx="0">
                  <c:v>5.21</c:v>
                </c:pt>
                <c:pt idx="1">
                  <c:v>16.899999999999999</c:v>
                </c:pt>
                <c:pt idx="2">
                  <c:v>5.99</c:v>
                </c:pt>
                <c:pt idx="3">
                  <c:v>6.43</c:v>
                </c:pt>
                <c:pt idx="4">
                  <c:v>12.4</c:v>
                </c:pt>
                <c:pt idx="5">
                  <c:v>12.4</c:v>
                </c:pt>
                <c:pt idx="6">
                  <c:v>8.59</c:v>
                </c:pt>
                <c:pt idx="7">
                  <c:v>4.07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4E-40E7-A2C7-235F59CFA9C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'Balance Cl Sept Noche'!$T$30:$AA$30</c:f>
              <c:numCache>
                <c:formatCode>0.00</c:formatCode>
                <c:ptCount val="8"/>
                <c:pt idx="0">
                  <c:v>5.8456310750601244</c:v>
                </c:pt>
                <c:pt idx="1">
                  <c:v>16.498747047246656</c:v>
                </c:pt>
                <c:pt idx="2">
                  <c:v>5.1659784432435636</c:v>
                </c:pt>
                <c:pt idx="3">
                  <c:v>5.9496453964692746</c:v>
                </c:pt>
                <c:pt idx="4">
                  <c:v>10.551235780877496</c:v>
                </c:pt>
                <c:pt idx="5">
                  <c:v>13.150280239326531</c:v>
                </c:pt>
                <c:pt idx="6">
                  <c:v>9.3583307285732786</c:v>
                </c:pt>
                <c:pt idx="7">
                  <c:v>4.2240816144538709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4E-40E7-A2C7-235F59CFA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3847616"/>
        <c:axId val="833853856"/>
      </c:lineChart>
      <c:catAx>
        <c:axId val="8338476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3853856"/>
        <c:crosses val="autoZero"/>
        <c:auto val="1"/>
        <c:lblAlgn val="ctr"/>
        <c:lblOffset val="100"/>
        <c:noMultiLvlLbl val="0"/>
      </c:catAx>
      <c:valAx>
        <c:axId val="8338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384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Flujo</a:t>
            </a:r>
            <a:r>
              <a:rPr lang="es-CL" baseline="0"/>
              <a:t> de Masas  kg/h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'Balance Cl Sept Prom '!$P$17</c:f>
              <c:strCache>
                <c:ptCount val="1"/>
                <c:pt idx="0">
                  <c:v>Medido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'Balance Cl Sept Prom '!$T$17:$AA$17</c:f>
              <c:numCache>
                <c:formatCode>0.00</c:formatCode>
                <c:ptCount val="8"/>
                <c:pt idx="0">
                  <c:v>21.468</c:v>
                </c:pt>
                <c:pt idx="1">
                  <c:v>1.0259787985865725</c:v>
                </c:pt>
                <c:pt idx="2">
                  <c:v>21.443999999999999</c:v>
                </c:pt>
                <c:pt idx="3">
                  <c:v>27.110399999999998</c:v>
                </c:pt>
                <c:pt idx="4">
                  <c:v>7.9609090909090909</c:v>
                </c:pt>
                <c:pt idx="5">
                  <c:v>1.7611666666666668</c:v>
                </c:pt>
                <c:pt idx="6">
                  <c:v>5.7286956521739132</c:v>
                </c:pt>
                <c:pt idx="7">
                  <c:v>21.052800000000005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9D-4C1F-A1C0-640B829F73E2}"/>
            </c:ext>
          </c:extLst>
        </c:ser>
        <c:ser>
          <c:idx val="1"/>
          <c:order val="1"/>
          <c:tx>
            <c:strRef>
              <c:f>'Balance Cl Sept Prom '!$P$18</c:f>
              <c:strCache>
                <c:ptCount val="1"/>
                <c:pt idx="0">
                  <c:v>Ajustado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'Balance Cl Sept Prom '!$T$18:$AA$18</c:f>
              <c:numCache>
                <c:formatCode>0.00</c:formatCode>
                <c:ptCount val="8"/>
                <c:pt idx="0">
                  <c:v>22.6330920603381</c:v>
                </c:pt>
                <c:pt idx="1">
                  <c:v>0.99488648221702491</c:v>
                </c:pt>
                <c:pt idx="2">
                  <c:v>21.638205578120793</c:v>
                </c:pt>
                <c:pt idx="3">
                  <c:v>27.585527723421311</c:v>
                </c:pt>
                <c:pt idx="4">
                  <c:v>7.6912540109093266</c:v>
                </c:pt>
                <c:pt idx="5">
                  <c:v>1.7439318655965728</c:v>
                </c:pt>
                <c:pt idx="6">
                  <c:v>5.9473221453137208</c:v>
                </c:pt>
                <c:pt idx="7">
                  <c:v>19.894273712545559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9D-4C1F-A1C0-640B829F7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3848576"/>
        <c:axId val="833849056"/>
      </c:lineChart>
      <c:catAx>
        <c:axId val="833848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3849056"/>
        <c:crosses val="autoZero"/>
        <c:auto val="1"/>
        <c:lblAlgn val="ctr"/>
        <c:lblOffset val="100"/>
        <c:noMultiLvlLbl val="0"/>
      </c:catAx>
      <c:valAx>
        <c:axId val="83384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3848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Ley de Cu%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'Balance Cl Sept Prom '!$P$22</c:f>
              <c:strCache>
                <c:ptCount val="1"/>
                <c:pt idx="0">
                  <c:v>Medido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'Balance Cl Sept Prom '!$T$22:$AA$22</c:f>
              <c:numCache>
                <c:formatCode>0.00</c:formatCode>
                <c:ptCount val="8"/>
                <c:pt idx="0">
                  <c:v>2.29</c:v>
                </c:pt>
                <c:pt idx="1">
                  <c:v>24.759999999999998</c:v>
                </c:pt>
                <c:pt idx="2">
                  <c:v>1.377</c:v>
                </c:pt>
                <c:pt idx="3">
                  <c:v>1.7985</c:v>
                </c:pt>
                <c:pt idx="4">
                  <c:v>5.6150000000000002</c:v>
                </c:pt>
                <c:pt idx="5">
                  <c:v>16.61</c:v>
                </c:pt>
                <c:pt idx="6">
                  <c:v>3.0230000000000001</c:v>
                </c:pt>
                <c:pt idx="7">
                  <c:v>0.14650000000000002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D3-447E-96A8-2F87565AC73C}"/>
            </c:ext>
          </c:extLst>
        </c:ser>
        <c:ser>
          <c:idx val="1"/>
          <c:order val="1"/>
          <c:tx>
            <c:strRef>
              <c:f>'Balance Cl Sept Prom '!$P$23</c:f>
              <c:strCache>
                <c:ptCount val="1"/>
                <c:pt idx="0">
                  <c:v>Ajustado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'Balance Cl Sept Prom '!$T$23:$AA$23</c:f>
              <c:numCache>
                <c:formatCode>0.00</c:formatCode>
                <c:ptCount val="8"/>
                <c:pt idx="0">
                  <c:v>2.4005947852684133</c:v>
                </c:pt>
                <c:pt idx="1">
                  <c:v>24.191662209467019</c:v>
                </c:pt>
                <c:pt idx="2">
                  <c:v>1.3986799888089931</c:v>
                </c:pt>
                <c:pt idx="3">
                  <c:v>1.7435166537189963</c:v>
                </c:pt>
                <c:pt idx="4">
                  <c:v>5.8753076741135475</c:v>
                </c:pt>
                <c:pt idx="5">
                  <c:v>15.687299710914136</c:v>
                </c:pt>
                <c:pt idx="6">
                  <c:v>2.9981395679673564</c:v>
                </c:pt>
                <c:pt idx="7">
                  <c:v>0.14613970462500703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D3-447E-96A8-2F87565AC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6621312"/>
        <c:axId val="1506622752"/>
      </c:lineChart>
      <c:catAx>
        <c:axId val="15066213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06622752"/>
        <c:crosses val="autoZero"/>
        <c:auto val="1"/>
        <c:lblAlgn val="ctr"/>
        <c:lblOffset val="100"/>
        <c:noMultiLvlLbl val="0"/>
      </c:catAx>
      <c:valAx>
        <c:axId val="150662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0662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Ley de Fe%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'Balance Cl Sept Prom '!$P$29</c:f>
              <c:strCache>
                <c:ptCount val="1"/>
                <c:pt idx="0">
                  <c:v>Medido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'Balance Cl Sept Prom '!$T$29:$AA$29</c:f>
              <c:numCache>
                <c:formatCode>0.00</c:formatCode>
                <c:ptCount val="8"/>
                <c:pt idx="0">
                  <c:v>5.3849999999999998</c:v>
                </c:pt>
                <c:pt idx="1">
                  <c:v>17</c:v>
                </c:pt>
                <c:pt idx="2">
                  <c:v>6.07</c:v>
                </c:pt>
                <c:pt idx="3">
                  <c:v>6.38</c:v>
                </c:pt>
                <c:pt idx="4">
                  <c:v>11.350000000000001</c:v>
                </c:pt>
                <c:pt idx="5">
                  <c:v>17</c:v>
                </c:pt>
                <c:pt idx="6">
                  <c:v>7.9550000000000001</c:v>
                </c:pt>
                <c:pt idx="7">
                  <c:v>3.9400000000000004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7E-4F1C-B8D1-9BAF5C6DFDA1}"/>
            </c:ext>
          </c:extLst>
        </c:ser>
        <c:ser>
          <c:idx val="1"/>
          <c:order val="1"/>
          <c:tx>
            <c:strRef>
              <c:f>'Balance Cl Sept Prom '!$P$30</c:f>
              <c:strCache>
                <c:ptCount val="1"/>
                <c:pt idx="0">
                  <c:v>Ajustado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'Balance Cl Sept Prom '!$T$30:$AA$30</c:f>
              <c:numCache>
                <c:formatCode>0.00</c:formatCode>
                <c:ptCount val="8"/>
                <c:pt idx="0">
                  <c:v>5.783644569519824</c:v>
                </c:pt>
                <c:pt idx="1">
                  <c:v>16.825331810278449</c:v>
                </c:pt>
                <c:pt idx="2">
                  <c:v>5.2759672883311133</c:v>
                </c:pt>
                <c:pt idx="3">
                  <c:v>5.9510878113827381</c:v>
                </c:pt>
                <c:pt idx="4">
                  <c:v>10.537461075382353</c:v>
                </c:pt>
                <c:pt idx="5">
                  <c:v>17.801645410272005</c:v>
                </c:pt>
                <c:pt idx="6">
                  <c:v>8.4073860084478529</c:v>
                </c:pt>
                <c:pt idx="7">
                  <c:v>4.177966445882122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7E-4F1C-B8D1-9BAF5C6DF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3847616"/>
        <c:axId val="833853856"/>
      </c:lineChart>
      <c:catAx>
        <c:axId val="8338476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3853856"/>
        <c:crosses val="autoZero"/>
        <c:auto val="1"/>
        <c:lblAlgn val="ctr"/>
        <c:lblOffset val="100"/>
        <c:noMultiLvlLbl val="0"/>
      </c:catAx>
      <c:valAx>
        <c:axId val="8338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384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Flujo Masa</a:t>
            </a:r>
            <a:r>
              <a:rPr lang="es-CL" baseline="0"/>
              <a:t> kg/h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'Balance Pre-Cl-SCV Sept'!$T$17:$AC$17</c:f>
              <c:numCache>
                <c:formatCode>0.00</c:formatCode>
                <c:ptCount val="10"/>
                <c:pt idx="0">
                  <c:v>24.456774193548384</c:v>
                </c:pt>
                <c:pt idx="1">
                  <c:v>1.8111060948081263</c:v>
                </c:pt>
                <c:pt idx="2">
                  <c:v>19.209600000000005</c:v>
                </c:pt>
                <c:pt idx="3">
                  <c:v>47.326153846153851</c:v>
                </c:pt>
                <c:pt idx="4">
                  <c:v>25.151999999999997</c:v>
                </c:pt>
                <c:pt idx="5">
                  <c:v>0.57672199170124483</c:v>
                </c:pt>
                <c:pt idx="6">
                  <c:v>17.829473684210523</c:v>
                </c:pt>
                <c:pt idx="7">
                  <c:v>14.855294117647059</c:v>
                </c:pt>
                <c:pt idx="8">
                  <c:v>2.7324812030075187</c:v>
                </c:pt>
                <c:pt idx="9">
                  <c:v>24.026086956521738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C0-40E8-AE72-9583B8D52CC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'Balance Pre-Cl-SCV Sept'!$T$18:$AC$18</c:f>
              <c:numCache>
                <c:formatCode>0.00</c:formatCode>
                <c:ptCount val="10"/>
                <c:pt idx="0">
                  <c:v>21.183182238582852</c:v>
                </c:pt>
                <c:pt idx="1">
                  <c:v>1.9071095034003851</c:v>
                </c:pt>
                <c:pt idx="2">
                  <c:v>19.276072735215344</c:v>
                </c:pt>
                <c:pt idx="3">
                  <c:v>36.290550572840893</c:v>
                </c:pt>
                <c:pt idx="4">
                  <c:v>17.472153870152539</c:v>
                </c:pt>
                <c:pt idx="5">
                  <c:v>0.45767603228416909</c:v>
                </c:pt>
                <c:pt idx="6">
                  <c:v>17.014477837766478</c:v>
                </c:pt>
                <c:pt idx="7">
                  <c:v>17.654402870305553</c:v>
                </c:pt>
                <c:pt idx="8">
                  <c:v>1.1639938325521275</c:v>
                </c:pt>
                <c:pt idx="9">
                  <c:v>35.126556740386036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C0-40E8-AE72-9583B8D52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3848576"/>
        <c:axId val="833849056"/>
      </c:lineChart>
      <c:catAx>
        <c:axId val="833848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3849056"/>
        <c:crosses val="autoZero"/>
        <c:auto val="1"/>
        <c:lblAlgn val="ctr"/>
        <c:lblOffset val="100"/>
        <c:noMultiLvlLbl val="0"/>
      </c:catAx>
      <c:valAx>
        <c:axId val="83384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3848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Ley</a:t>
            </a:r>
            <a:r>
              <a:rPr lang="es-CL" baseline="0"/>
              <a:t> Cu%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'Balance Pre-Cl-SCV Sept'!$T$22:$AC$22</c:f>
              <c:numCache>
                <c:formatCode>0.00</c:formatCode>
                <c:ptCount val="10"/>
                <c:pt idx="0">
                  <c:v>2.8570000000000002</c:v>
                </c:pt>
                <c:pt idx="1">
                  <c:v>19.13</c:v>
                </c:pt>
                <c:pt idx="2">
                  <c:v>0.86</c:v>
                </c:pt>
                <c:pt idx="3">
                  <c:v>2.1280000000000001</c:v>
                </c:pt>
                <c:pt idx="4">
                  <c:v>1.984</c:v>
                </c:pt>
                <c:pt idx="5">
                  <c:v>17.79</c:v>
                </c:pt>
                <c:pt idx="6">
                  <c:v>1.8160000000000001</c:v>
                </c:pt>
                <c:pt idx="7">
                  <c:v>0.25800000000000001</c:v>
                </c:pt>
                <c:pt idx="8">
                  <c:v>12.08</c:v>
                </c:pt>
                <c:pt idx="9">
                  <c:v>0.91700000000000004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FA-4164-A615-8874891C531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'Balance Pre-Cl-SCV Sept'!$T$23:$AC$23</c:f>
              <c:numCache>
                <c:formatCode>0.00</c:formatCode>
                <c:ptCount val="10"/>
                <c:pt idx="0">
                  <c:v>2.8563292098157196</c:v>
                </c:pt>
                <c:pt idx="1">
                  <c:v>19.132768218598375</c:v>
                </c:pt>
                <c:pt idx="2">
                  <c:v>1.2459933125939231</c:v>
                </c:pt>
                <c:pt idx="3">
                  <c:v>1.4511603774811832</c:v>
                </c:pt>
                <c:pt idx="4">
                  <c:v>1.9938328832079564</c:v>
                </c:pt>
                <c:pt idx="5">
                  <c:v>13.527047055586893</c:v>
                </c:pt>
                <c:pt idx="6">
                  <c:v>1.6835985750979532</c:v>
                </c:pt>
                <c:pt idx="7">
                  <c:v>0.22358864581205468</c:v>
                </c:pt>
                <c:pt idx="8">
                  <c:v>11.924057993198007</c:v>
                </c:pt>
                <c:pt idx="9">
                  <c:v>1.1041184399907829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FA-4164-A615-8874891C5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6621312"/>
        <c:axId val="1506622752"/>
      </c:lineChart>
      <c:catAx>
        <c:axId val="15066213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06622752"/>
        <c:crosses val="autoZero"/>
        <c:auto val="1"/>
        <c:lblAlgn val="ctr"/>
        <c:lblOffset val="100"/>
        <c:noMultiLvlLbl val="0"/>
      </c:catAx>
      <c:valAx>
        <c:axId val="150662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0662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Ley Fe%</a:t>
            </a:r>
            <a:r>
              <a:rPr lang="es-CL" baseline="0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'Balance Pre-Cl-SCV Sept'!$T$29:$AC$29</c:f>
              <c:numCache>
                <c:formatCode>0.00</c:formatCode>
                <c:ptCount val="10"/>
                <c:pt idx="0">
                  <c:v>8.43</c:v>
                </c:pt>
                <c:pt idx="1">
                  <c:v>28</c:v>
                </c:pt>
                <c:pt idx="2">
                  <c:v>4.33</c:v>
                </c:pt>
                <c:pt idx="3">
                  <c:v>9.24</c:v>
                </c:pt>
                <c:pt idx="4">
                  <c:v>5.98</c:v>
                </c:pt>
                <c:pt idx="5">
                  <c:v>22.8</c:v>
                </c:pt>
                <c:pt idx="6">
                  <c:v>6.68</c:v>
                </c:pt>
                <c:pt idx="7">
                  <c:v>2.63</c:v>
                </c:pt>
                <c:pt idx="8">
                  <c:v>23.4</c:v>
                </c:pt>
                <c:pt idx="9">
                  <c:v>5.09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19-4736-9488-F2BB0A678B7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'Balance Pre-Cl-SCV Sept'!$T$30:$AC$30</c:f>
              <c:numCache>
                <c:formatCode>0.00</c:formatCode>
                <c:ptCount val="10"/>
                <c:pt idx="0">
                  <c:v>6.8558562975238866</c:v>
                </c:pt>
                <c:pt idx="1">
                  <c:v>29.56329266297168</c:v>
                </c:pt>
                <c:pt idx="2">
                  <c:v>4.6092592700275201</c:v>
                </c:pt>
                <c:pt idx="3">
                  <c:v>5.5180110567206713</c:v>
                </c:pt>
                <c:pt idx="4">
                  <c:v>6.9738897153375561</c:v>
                </c:pt>
                <c:pt idx="5">
                  <c:v>22.823203607553094</c:v>
                </c:pt>
                <c:pt idx="6">
                  <c:v>6.5475557024961191</c:v>
                </c:pt>
                <c:pt idx="7">
                  <c:v>2.8362716343724466</c:v>
                </c:pt>
                <c:pt idx="8">
                  <c:v>24.338704371305326</c:v>
                </c:pt>
                <c:pt idx="9">
                  <c:v>4.8943469856006674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19-4736-9488-F2BB0A678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3847616"/>
        <c:axId val="833853856"/>
      </c:lineChart>
      <c:catAx>
        <c:axId val="8338476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3853856"/>
        <c:crosses val="autoZero"/>
        <c:auto val="1"/>
        <c:lblAlgn val="ctr"/>
        <c:lblOffset val="100"/>
        <c:noMultiLvlLbl val="0"/>
      </c:catAx>
      <c:valAx>
        <c:axId val="8338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384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Flujo</a:t>
            </a:r>
            <a:r>
              <a:rPr lang="es-CL" baseline="0"/>
              <a:t> Masa kg/h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'Balance Pre-Cl-SCV Nov'!$T$17:$AC$17</c:f>
              <c:numCache>
                <c:formatCode>0.00</c:formatCode>
                <c:ptCount val="10"/>
                <c:pt idx="0">
                  <c:v>25.527272727272727</c:v>
                </c:pt>
                <c:pt idx="1">
                  <c:v>2.0030000000000001</c:v>
                </c:pt>
                <c:pt idx="2">
                  <c:v>22.685142857142861</c:v>
                </c:pt>
                <c:pt idx="3">
                  <c:v>44.88</c:v>
                </c:pt>
                <c:pt idx="4">
                  <c:v>31.977</c:v>
                </c:pt>
                <c:pt idx="5">
                  <c:v>1.9574999999999998</c:v>
                </c:pt>
                <c:pt idx="6">
                  <c:v>24.650999999999996</c:v>
                </c:pt>
                <c:pt idx="7">
                  <c:v>17.7012</c:v>
                </c:pt>
                <c:pt idx="8">
                  <c:v>3.4815789473684209</c:v>
                </c:pt>
                <c:pt idx="9">
                  <c:v>46.92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D5-4A0D-949A-12D34C4344D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'Balance Pre-Cl-SCV Nov'!$T$18:$AC$18</c:f>
              <c:numCache>
                <c:formatCode>0.00</c:formatCode>
                <c:ptCount val="10"/>
                <c:pt idx="0">
                  <c:v>22.574819512214663</c:v>
                </c:pt>
                <c:pt idx="1">
                  <c:v>2.1703876755662388</c:v>
                </c:pt>
                <c:pt idx="2">
                  <c:v>20.404431836648424</c:v>
                </c:pt>
                <c:pt idx="3">
                  <c:v>48.088586217747448</c:v>
                </c:pt>
                <c:pt idx="4">
                  <c:v>29.683031844356396</c:v>
                </c:pt>
                <c:pt idx="5">
                  <c:v>1.9988774632573729</c:v>
                </c:pt>
                <c:pt idx="6">
                  <c:v>27.684154381099024</c:v>
                </c:pt>
                <c:pt idx="7">
                  <c:v>14.503761228291145</c:v>
                </c:pt>
                <c:pt idx="8">
                  <c:v>3.9017931450999077</c:v>
                </c:pt>
                <c:pt idx="9">
                  <c:v>44.186793072647539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D5-4A0D-949A-12D34C434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3848576"/>
        <c:axId val="833849056"/>
      </c:lineChart>
      <c:catAx>
        <c:axId val="833848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3849056"/>
        <c:crosses val="autoZero"/>
        <c:auto val="1"/>
        <c:lblAlgn val="ctr"/>
        <c:lblOffset val="100"/>
        <c:noMultiLvlLbl val="0"/>
      </c:catAx>
      <c:valAx>
        <c:axId val="83384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3848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Ley Cu%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'Balance Pre-Cl-SCV Nov'!$T$22:$AC$22</c:f>
              <c:numCache>
                <c:formatCode>0.00</c:formatCode>
                <c:ptCount val="10"/>
                <c:pt idx="0">
                  <c:v>3.7</c:v>
                </c:pt>
                <c:pt idx="1">
                  <c:v>23.77</c:v>
                </c:pt>
                <c:pt idx="2">
                  <c:v>1.62</c:v>
                </c:pt>
                <c:pt idx="3">
                  <c:v>1.6</c:v>
                </c:pt>
                <c:pt idx="4">
                  <c:v>0.7</c:v>
                </c:pt>
                <c:pt idx="5">
                  <c:v>9.4499999999999993</c:v>
                </c:pt>
                <c:pt idx="6">
                  <c:v>0.28999999999999998</c:v>
                </c:pt>
                <c:pt idx="7">
                  <c:v>0.13</c:v>
                </c:pt>
                <c:pt idx="8">
                  <c:v>2.14</c:v>
                </c:pt>
                <c:pt idx="9">
                  <c:v>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60-4F1A-A025-D65929AF373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'Balance Pre-Cl-SCV Nov'!$T$23:$AC$23</c:f>
              <c:numCache>
                <c:formatCode>0.00</c:formatCode>
                <c:ptCount val="10"/>
                <c:pt idx="0">
                  <c:v>3.5494189423135043</c:v>
                </c:pt>
                <c:pt idx="1">
                  <c:v>24.367921158045053</c:v>
                </c:pt>
                <c:pt idx="2">
                  <c:v>1.334987244589412</c:v>
                </c:pt>
                <c:pt idx="3">
                  <c:v>0.71515179020621533</c:v>
                </c:pt>
                <c:pt idx="4">
                  <c:v>0.78349981100912469</c:v>
                </c:pt>
                <c:pt idx="5">
                  <c:v>8.0573561155833389</c:v>
                </c:pt>
                <c:pt idx="6">
                  <c:v>0.25830596768547964</c:v>
                </c:pt>
                <c:pt idx="7">
                  <c:v>0.12949503620621372</c:v>
                </c:pt>
                <c:pt idx="8">
                  <c:v>2.3721974108648807</c:v>
                </c:pt>
                <c:pt idx="9">
                  <c:v>0.56883093743085544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60-4F1A-A025-D65929AF3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6621312"/>
        <c:axId val="1506622752"/>
      </c:lineChart>
      <c:catAx>
        <c:axId val="15066213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06622752"/>
        <c:crosses val="autoZero"/>
        <c:auto val="1"/>
        <c:lblAlgn val="ctr"/>
        <c:lblOffset val="100"/>
        <c:noMultiLvlLbl val="0"/>
      </c:catAx>
      <c:valAx>
        <c:axId val="150662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0662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Ley Fe%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'Balance Pre-Cl-SCV Nov'!$T$29:$AC$29</c:f>
              <c:numCache>
                <c:formatCode>0.00</c:formatCode>
                <c:ptCount val="10"/>
                <c:pt idx="0">
                  <c:v>13.5</c:v>
                </c:pt>
                <c:pt idx="1">
                  <c:v>16.8</c:v>
                </c:pt>
                <c:pt idx="2">
                  <c:v>4.33</c:v>
                </c:pt>
                <c:pt idx="3">
                  <c:v>4.3</c:v>
                </c:pt>
                <c:pt idx="4">
                  <c:v>3.67</c:v>
                </c:pt>
                <c:pt idx="5">
                  <c:v>10</c:v>
                </c:pt>
                <c:pt idx="6">
                  <c:v>2.17</c:v>
                </c:pt>
                <c:pt idx="7">
                  <c:v>1.6</c:v>
                </c:pt>
                <c:pt idx="8">
                  <c:v>5.36</c:v>
                </c:pt>
                <c:pt idx="9">
                  <c:v>4.18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23-4B27-AF9E-C8AE2B550AC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'Balance Pre-Cl-SCV Nov'!$T$30:$AC$30</c:f>
              <c:numCache>
                <c:formatCode>0.00</c:formatCode>
                <c:ptCount val="10"/>
                <c:pt idx="0">
                  <c:v>4.9916975901261758</c:v>
                </c:pt>
                <c:pt idx="1">
                  <c:v>18.066907010020696</c:v>
                </c:pt>
                <c:pt idx="2">
                  <c:v>3.6009079024976738</c:v>
                </c:pt>
                <c:pt idx="3">
                  <c:v>3.0812993473647383</c:v>
                </c:pt>
                <c:pt idx="4">
                  <c:v>3.2980774175060112</c:v>
                </c:pt>
                <c:pt idx="5">
                  <c:v>11.604557034386994</c:v>
                </c:pt>
                <c:pt idx="6">
                  <c:v>2.6983251304514582</c:v>
                </c:pt>
                <c:pt idx="7">
                  <c:v>1.8634917403310229</c:v>
                </c:pt>
                <c:pt idx="8">
                  <c:v>5.958991725616249</c:v>
                </c:pt>
                <c:pt idx="9">
                  <c:v>2.8271926422975651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23-4B27-AF9E-C8AE2B550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3847616"/>
        <c:axId val="833853856"/>
      </c:lineChart>
      <c:catAx>
        <c:axId val="8338476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3853856"/>
        <c:crosses val="autoZero"/>
        <c:auto val="1"/>
        <c:lblAlgn val="ctr"/>
        <c:lblOffset val="100"/>
        <c:noMultiLvlLbl val="0"/>
      </c:catAx>
      <c:valAx>
        <c:axId val="8338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384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Flujo</a:t>
            </a:r>
            <a:r>
              <a:rPr lang="es-CL" baseline="0"/>
              <a:t> Masa kg/h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'Balance Pre-Cl-SCV Dic (1)'!$T$17:$AC$17</c:f>
              <c:numCache>
                <c:formatCode>0.00</c:formatCode>
                <c:ptCount val="10"/>
                <c:pt idx="0">
                  <c:v>25.527272727272727</c:v>
                </c:pt>
                <c:pt idx="1">
                  <c:v>2.0030000000000001</c:v>
                </c:pt>
                <c:pt idx="2">
                  <c:v>22.685142857142861</c:v>
                </c:pt>
                <c:pt idx="3">
                  <c:v>41.064</c:v>
                </c:pt>
                <c:pt idx="4">
                  <c:v>24.612000000000002</c:v>
                </c:pt>
                <c:pt idx="5">
                  <c:v>1.6073684210526318</c:v>
                </c:pt>
                <c:pt idx="6">
                  <c:v>18.231999999999999</c:v>
                </c:pt>
                <c:pt idx="7">
                  <c:v>18.276923076923079</c:v>
                </c:pt>
                <c:pt idx="8">
                  <c:v>4.273714285714286</c:v>
                </c:pt>
                <c:pt idx="9">
                  <c:v>32.347636363636362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3F-40CC-8771-8319BAA46EC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'Balance Pre-Cl-SCV Dic (1)'!$T$18:$AC$18</c:f>
              <c:numCache>
                <c:formatCode>0.00</c:formatCode>
                <c:ptCount val="10"/>
                <c:pt idx="0">
                  <c:v>22.574819512214663</c:v>
                </c:pt>
                <c:pt idx="1">
                  <c:v>2.1703876755662388</c:v>
                </c:pt>
                <c:pt idx="2">
                  <c:v>20.404431836648424</c:v>
                </c:pt>
                <c:pt idx="3">
                  <c:v>48.088586217747448</c:v>
                </c:pt>
                <c:pt idx="4">
                  <c:v>29.683031844356396</c:v>
                </c:pt>
                <c:pt idx="5">
                  <c:v>1.9988774632573729</c:v>
                </c:pt>
                <c:pt idx="6">
                  <c:v>27.684154381099024</c:v>
                </c:pt>
                <c:pt idx="7">
                  <c:v>14.503761228291145</c:v>
                </c:pt>
                <c:pt idx="8">
                  <c:v>3.9017931450999077</c:v>
                </c:pt>
                <c:pt idx="9">
                  <c:v>44.186793072647539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3F-40CC-8771-8319BAA46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3848576"/>
        <c:axId val="833849056"/>
      </c:lineChart>
      <c:catAx>
        <c:axId val="833848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3849056"/>
        <c:crosses val="autoZero"/>
        <c:auto val="1"/>
        <c:lblAlgn val="ctr"/>
        <c:lblOffset val="100"/>
        <c:noMultiLvlLbl val="0"/>
      </c:catAx>
      <c:valAx>
        <c:axId val="83384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3848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Ley Cu%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'Balance Pre-Cl-SCV Dic (1)'!$T$22:$AC$22</c:f>
              <c:numCache>
                <c:formatCode>0.00</c:formatCode>
                <c:ptCount val="10"/>
                <c:pt idx="0">
                  <c:v>3.7</c:v>
                </c:pt>
                <c:pt idx="1">
                  <c:v>23.77</c:v>
                </c:pt>
                <c:pt idx="2">
                  <c:v>1.62</c:v>
                </c:pt>
                <c:pt idx="3">
                  <c:v>1.08</c:v>
                </c:pt>
                <c:pt idx="4">
                  <c:v>0.42</c:v>
                </c:pt>
                <c:pt idx="5">
                  <c:v>2.06</c:v>
                </c:pt>
                <c:pt idx="6">
                  <c:v>0.28000000000000003</c:v>
                </c:pt>
                <c:pt idx="7">
                  <c:v>9.2999999999999999E-2</c:v>
                </c:pt>
                <c:pt idx="8">
                  <c:v>8.59</c:v>
                </c:pt>
                <c:pt idx="9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CB-430A-B96F-6F60713A243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'Balance Pre-Cl-SCV Dic (1)'!$T$23:$AC$23</c:f>
              <c:numCache>
                <c:formatCode>0.00</c:formatCode>
                <c:ptCount val="10"/>
                <c:pt idx="0">
                  <c:v>3.5494189423135043</c:v>
                </c:pt>
                <c:pt idx="1">
                  <c:v>24.367921158045053</c:v>
                </c:pt>
                <c:pt idx="2">
                  <c:v>1.334987244589412</c:v>
                </c:pt>
                <c:pt idx="3">
                  <c:v>0.71515179020621533</c:v>
                </c:pt>
                <c:pt idx="4">
                  <c:v>0.78349981100912469</c:v>
                </c:pt>
                <c:pt idx="5">
                  <c:v>8.0573561155833389</c:v>
                </c:pt>
                <c:pt idx="6">
                  <c:v>0.25830596768547964</c:v>
                </c:pt>
                <c:pt idx="7">
                  <c:v>0.12949503620621372</c:v>
                </c:pt>
                <c:pt idx="8">
                  <c:v>2.3721974108648807</c:v>
                </c:pt>
                <c:pt idx="9">
                  <c:v>0.56883093743085544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CB-430A-B96F-6F60713A2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6621312"/>
        <c:axId val="1506622752"/>
      </c:lineChart>
      <c:catAx>
        <c:axId val="15066213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06622752"/>
        <c:crosses val="autoZero"/>
        <c:auto val="1"/>
        <c:lblAlgn val="ctr"/>
        <c:lblOffset val="100"/>
        <c:noMultiLvlLbl val="0"/>
      </c:catAx>
      <c:valAx>
        <c:axId val="150662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0662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Ley Fe%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'Balance Pre-Cl-SCV Dic (1)'!$T$29:$AC$29</c:f>
              <c:numCache>
                <c:formatCode>0.00</c:formatCode>
                <c:ptCount val="10"/>
                <c:pt idx="0">
                  <c:v>13.5</c:v>
                </c:pt>
                <c:pt idx="1">
                  <c:v>16.8</c:v>
                </c:pt>
                <c:pt idx="2">
                  <c:v>4.33</c:v>
                </c:pt>
                <c:pt idx="3">
                  <c:v>4.91</c:v>
                </c:pt>
                <c:pt idx="4">
                  <c:v>4.53</c:v>
                </c:pt>
                <c:pt idx="5">
                  <c:v>3.81</c:v>
                </c:pt>
                <c:pt idx="6">
                  <c:v>2.65</c:v>
                </c:pt>
                <c:pt idx="7">
                  <c:v>1.87</c:v>
                </c:pt>
                <c:pt idx="8">
                  <c:v>11.7</c:v>
                </c:pt>
                <c:pt idx="9">
                  <c:v>4.2300000000000004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3D-4473-ABFE-D135AC443C5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'Balance Pre-Cl-SCV Dic (1)'!$T$30:$AC$30</c:f>
              <c:numCache>
                <c:formatCode>0.00</c:formatCode>
                <c:ptCount val="10"/>
                <c:pt idx="0">
                  <c:v>4.9916975901261758</c:v>
                </c:pt>
                <c:pt idx="1">
                  <c:v>18.066907010020696</c:v>
                </c:pt>
                <c:pt idx="2">
                  <c:v>3.6009079024976738</c:v>
                </c:pt>
                <c:pt idx="3">
                  <c:v>3.0812993473647383</c:v>
                </c:pt>
                <c:pt idx="4">
                  <c:v>3.2980774175060112</c:v>
                </c:pt>
                <c:pt idx="5">
                  <c:v>11.604557034386994</c:v>
                </c:pt>
                <c:pt idx="6">
                  <c:v>2.6983251304514582</c:v>
                </c:pt>
                <c:pt idx="7">
                  <c:v>1.8634917403310229</c:v>
                </c:pt>
                <c:pt idx="8">
                  <c:v>5.958991725616249</c:v>
                </c:pt>
                <c:pt idx="9">
                  <c:v>2.8271926422975651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3D-4473-ABFE-D135AC443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3847616"/>
        <c:axId val="833853856"/>
      </c:lineChart>
      <c:catAx>
        <c:axId val="8338476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3853856"/>
        <c:crosses val="autoZero"/>
        <c:auto val="1"/>
        <c:lblAlgn val="ctr"/>
        <c:lblOffset val="100"/>
        <c:noMultiLvlLbl val="0"/>
      </c:catAx>
      <c:valAx>
        <c:axId val="8338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384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095622358532953"/>
          <c:y val="0.12858177422828634"/>
          <c:w val="0.77217497459974693"/>
          <c:h val="0.62764842762235218"/>
        </c:manualLayout>
      </c:layout>
      <c:barChart>
        <c:barDir val="col"/>
        <c:grouping val="clustered"/>
        <c:varyColors val="0"/>
        <c:ser>
          <c:idx val="2"/>
          <c:order val="2"/>
          <c:tx>
            <c:v>Masa Medida 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'24. Balance Pre-Cl-SCV'!$T$44:$T$53</c:f>
              <c:strCache>
                <c:ptCount val="10"/>
                <c:pt idx="0">
                  <c:v>Alim  1°CL</c:v>
                </c:pt>
                <c:pt idx="1">
                  <c:v>Conc 1°CL</c:v>
                </c:pt>
                <c:pt idx="2">
                  <c:v>Rel  1°CL</c:v>
                </c:pt>
                <c:pt idx="3">
                  <c:v>Alim SCV</c:v>
                </c:pt>
                <c:pt idx="4">
                  <c:v>Conc SCV</c:v>
                </c:pt>
                <c:pt idx="5">
                  <c:v>Conc CL SCV</c:v>
                </c:pt>
                <c:pt idx="6">
                  <c:v>Rel CL SCV</c:v>
                </c:pt>
                <c:pt idx="7">
                  <c:v>Rel SCV</c:v>
                </c:pt>
                <c:pt idx="8">
                  <c:v>Conc JMS</c:v>
                </c:pt>
                <c:pt idx="9">
                  <c:v>Rel JMS</c:v>
                </c:pt>
              </c:strCache>
            </c:strRef>
          </c:cat>
          <c:val>
            <c:numRef>
              <c:f>'Balance Pre-Cl-SCV 27-11'!$M$9:$M$18</c:f>
              <c:numCache>
                <c:formatCode>0.00</c:formatCode>
                <c:ptCount val="10"/>
                <c:pt idx="0">
                  <c:v>25.527272727272727</c:v>
                </c:pt>
                <c:pt idx="1">
                  <c:v>2.0030000000000001</c:v>
                </c:pt>
                <c:pt idx="2">
                  <c:v>22.685142857142861</c:v>
                </c:pt>
                <c:pt idx="3">
                  <c:v>44.88</c:v>
                </c:pt>
                <c:pt idx="4">
                  <c:v>31.977</c:v>
                </c:pt>
                <c:pt idx="5">
                  <c:v>1.9574999999999998</c:v>
                </c:pt>
                <c:pt idx="6">
                  <c:v>24.650999999999996</c:v>
                </c:pt>
                <c:pt idx="7">
                  <c:v>17.7012</c:v>
                </c:pt>
                <c:pt idx="8">
                  <c:v>3.4815789473684209</c:v>
                </c:pt>
                <c:pt idx="9">
                  <c:v>46.92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BC-48F4-B08C-E15572A00A89}"/>
            </c:ext>
          </c:extLst>
        </c:ser>
        <c:ser>
          <c:idx val="3"/>
          <c:order val="3"/>
          <c:tx>
            <c:v>Masa Ajustada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'24. Balance Pre-Cl-SCV'!$T$44:$T$53</c:f>
              <c:strCache>
                <c:ptCount val="10"/>
                <c:pt idx="0">
                  <c:v>Alim  1°CL</c:v>
                </c:pt>
                <c:pt idx="1">
                  <c:v>Conc 1°CL</c:v>
                </c:pt>
                <c:pt idx="2">
                  <c:v>Rel  1°CL</c:v>
                </c:pt>
                <c:pt idx="3">
                  <c:v>Alim SCV</c:v>
                </c:pt>
                <c:pt idx="4">
                  <c:v>Conc SCV</c:v>
                </c:pt>
                <c:pt idx="5">
                  <c:v>Conc CL SCV</c:v>
                </c:pt>
                <c:pt idx="6">
                  <c:v>Rel CL SCV</c:v>
                </c:pt>
                <c:pt idx="7">
                  <c:v>Rel SCV</c:v>
                </c:pt>
                <c:pt idx="8">
                  <c:v>Conc JMS</c:v>
                </c:pt>
                <c:pt idx="9">
                  <c:v>Rel JMS</c:v>
                </c:pt>
              </c:strCache>
            </c:strRef>
          </c:cat>
          <c:val>
            <c:numRef>
              <c:f>'Balance Pre-Cl-SCV 27-11'!$M$27:$M$36</c:f>
              <c:numCache>
                <c:formatCode>0.00</c:formatCode>
                <c:ptCount val="10"/>
                <c:pt idx="0">
                  <c:v>13.174205511360286</c:v>
                </c:pt>
                <c:pt idx="1">
                  <c:v>1.6551131399728505</c:v>
                </c:pt>
                <c:pt idx="2">
                  <c:v>11.519092371387396</c:v>
                </c:pt>
                <c:pt idx="3">
                  <c:v>17.498594257393744</c:v>
                </c:pt>
                <c:pt idx="4">
                  <c:v>6.3954000000000004</c:v>
                </c:pt>
                <c:pt idx="5">
                  <c:v>0.41589811399366738</c:v>
                </c:pt>
                <c:pt idx="6">
                  <c:v>5.9795018860063482</c:v>
                </c:pt>
                <c:pt idx="7">
                  <c:v>5.1845100468674543</c:v>
                </c:pt>
                <c:pt idx="8">
                  <c:v>5.9186842105263153</c:v>
                </c:pt>
                <c:pt idx="9">
                  <c:v>11.57991004686745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BC-48F4-B08C-E15572A00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52045327"/>
        <c:axId val="1152054447"/>
      </c:barChart>
      <c:scatterChart>
        <c:scatterStyle val="smoothMarker"/>
        <c:varyColors val="0"/>
        <c:ser>
          <c:idx val="0"/>
          <c:order val="0"/>
          <c:tx>
            <c:v>Ley Cu Medidos 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'24. Balance Pre-Cl-SCV'!$T$44:$T$53</c:f>
              <c:strCache>
                <c:ptCount val="10"/>
                <c:pt idx="0">
                  <c:v>Alim  1°CL</c:v>
                </c:pt>
                <c:pt idx="1">
                  <c:v>Conc 1°CL</c:v>
                </c:pt>
                <c:pt idx="2">
                  <c:v>Rel  1°CL</c:v>
                </c:pt>
                <c:pt idx="3">
                  <c:v>Alim SCV</c:v>
                </c:pt>
                <c:pt idx="4">
                  <c:v>Conc SCV</c:v>
                </c:pt>
                <c:pt idx="5">
                  <c:v>Conc CL SCV</c:v>
                </c:pt>
                <c:pt idx="6">
                  <c:v>Rel CL SCV</c:v>
                </c:pt>
                <c:pt idx="7">
                  <c:v>Rel SCV</c:v>
                </c:pt>
                <c:pt idx="8">
                  <c:v>Conc JMS</c:v>
                </c:pt>
                <c:pt idx="9">
                  <c:v>Rel JMS</c:v>
                </c:pt>
              </c:strCache>
            </c:strRef>
          </c:xVal>
          <c:yVal>
            <c:numRef>
              <c:f>'Balance Pre-Cl-SCV 27-11'!$N$9:$N$18</c:f>
              <c:numCache>
                <c:formatCode>0.00</c:formatCode>
                <c:ptCount val="10"/>
                <c:pt idx="0">
                  <c:v>3.7</c:v>
                </c:pt>
                <c:pt idx="1">
                  <c:v>23.77</c:v>
                </c:pt>
                <c:pt idx="2">
                  <c:v>1.62</c:v>
                </c:pt>
                <c:pt idx="3">
                  <c:v>1.6</c:v>
                </c:pt>
                <c:pt idx="4">
                  <c:v>0.7</c:v>
                </c:pt>
                <c:pt idx="5">
                  <c:v>9.4499999999999993</c:v>
                </c:pt>
                <c:pt idx="6">
                  <c:v>0.28999999999999998</c:v>
                </c:pt>
                <c:pt idx="7">
                  <c:v>0.13</c:v>
                </c:pt>
                <c:pt idx="8">
                  <c:v>2.14</c:v>
                </c:pt>
                <c:pt idx="9">
                  <c:v>0.44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EBC-48F4-B08C-E15572A00A89}"/>
            </c:ext>
          </c:extLst>
        </c:ser>
        <c:ser>
          <c:idx val="1"/>
          <c:order val="1"/>
          <c:tx>
            <c:v>Ley Cu Ajustados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'24. Balance Pre-Cl-SCV'!$T$44:$T$53</c:f>
              <c:strCache>
                <c:ptCount val="10"/>
                <c:pt idx="0">
                  <c:v>Alim  1°CL</c:v>
                </c:pt>
                <c:pt idx="1">
                  <c:v>Conc 1°CL</c:v>
                </c:pt>
                <c:pt idx="2">
                  <c:v>Rel  1°CL</c:v>
                </c:pt>
                <c:pt idx="3">
                  <c:v>Alim SCV</c:v>
                </c:pt>
                <c:pt idx="4">
                  <c:v>Conc SCV</c:v>
                </c:pt>
                <c:pt idx="5">
                  <c:v>Conc CL SCV</c:v>
                </c:pt>
                <c:pt idx="6">
                  <c:v>Rel CL SCV</c:v>
                </c:pt>
                <c:pt idx="7">
                  <c:v>Rel SCV</c:v>
                </c:pt>
                <c:pt idx="8">
                  <c:v>Conc JMS</c:v>
                </c:pt>
                <c:pt idx="9">
                  <c:v>Rel JMS</c:v>
                </c:pt>
              </c:strCache>
            </c:strRef>
          </c:xVal>
          <c:yVal>
            <c:numRef>
              <c:f>'Balance Pre-Cl-SCV 27-11'!$N$27:$N$36</c:f>
              <c:numCache>
                <c:formatCode>0.00</c:formatCode>
                <c:ptCount val="10"/>
                <c:pt idx="0">
                  <c:v>4.07</c:v>
                </c:pt>
                <c:pt idx="1">
                  <c:v>21.393000000000001</c:v>
                </c:pt>
                <c:pt idx="2">
                  <c:v>1.5809562324551152</c:v>
                </c:pt>
                <c:pt idx="3">
                  <c:v>1.1200000000000001</c:v>
                </c:pt>
                <c:pt idx="4">
                  <c:v>0.76999999999999991</c:v>
                </c:pt>
                <c:pt idx="5">
                  <c:v>8.504999999999999</c:v>
                </c:pt>
                <c:pt idx="6">
                  <c:v>0.23199999999999982</c:v>
                </c:pt>
                <c:pt idx="7">
                  <c:v>0.14300000000000002</c:v>
                </c:pt>
                <c:pt idx="8">
                  <c:v>2.3540000000000001</c:v>
                </c:pt>
                <c:pt idx="9">
                  <c:v>0.48928211996212745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EBC-48F4-B08C-E15572A00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2045327"/>
        <c:axId val="1152054447"/>
      </c:scatterChart>
      <c:catAx>
        <c:axId val="115204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52054447"/>
        <c:crosses val="autoZero"/>
        <c:auto val="1"/>
        <c:lblAlgn val="ctr"/>
        <c:lblOffset val="100"/>
        <c:noMultiLvlLbl val="0"/>
      </c:catAx>
      <c:valAx>
        <c:axId val="1152054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52045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0027140121114256E-2"/>
          <c:y val="0.93753819285920903"/>
          <c:w val="0.94257934905575358"/>
          <c:h val="4.75992718027804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Reconciliación Ley Cu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'Balance Pre-Cl-SCV Dic (2)'!$X$63</c:f>
              <c:strCache>
                <c:ptCount val="1"/>
                <c:pt idx="0">
                  <c:v>Medido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'Balance Pre-Cl-SCV Dic (2)'!$Y$63:$AH$63</c:f>
              <c:numCache>
                <c:formatCode>0.00</c:formatCode>
                <c:ptCount val="10"/>
                <c:pt idx="0">
                  <c:v>3.7</c:v>
                </c:pt>
                <c:pt idx="1">
                  <c:v>23.77</c:v>
                </c:pt>
                <c:pt idx="2">
                  <c:v>1.62</c:v>
                </c:pt>
                <c:pt idx="3">
                  <c:v>1.08</c:v>
                </c:pt>
                <c:pt idx="4">
                  <c:v>0.42</c:v>
                </c:pt>
                <c:pt idx="5">
                  <c:v>2.06</c:v>
                </c:pt>
                <c:pt idx="6">
                  <c:v>0.28000000000000003</c:v>
                </c:pt>
                <c:pt idx="7">
                  <c:v>9.2999999999999999E-2</c:v>
                </c:pt>
                <c:pt idx="8">
                  <c:v>8.59</c:v>
                </c:pt>
                <c:pt idx="9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B5-4082-A805-1A62415F41A5}"/>
            </c:ext>
          </c:extLst>
        </c:ser>
        <c:ser>
          <c:idx val="1"/>
          <c:order val="1"/>
          <c:tx>
            <c:strRef>
              <c:f>'Balance Pre-Cl-SCV Dic (2)'!$X$64</c:f>
              <c:strCache>
                <c:ptCount val="1"/>
                <c:pt idx="0">
                  <c:v>Ajustado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'Balance Pre-Cl-SCV Dic (2)'!$Y$64:$AH$64</c:f>
              <c:numCache>
                <c:formatCode>0.00</c:formatCode>
                <c:ptCount val="10"/>
                <c:pt idx="0">
                  <c:v>3.6870031867384379</c:v>
                </c:pt>
                <c:pt idx="1">
                  <c:v>23.816568965760027</c:v>
                </c:pt>
                <c:pt idx="2">
                  <c:v>1.7697694868930391</c:v>
                </c:pt>
                <c:pt idx="3">
                  <c:v>1.0806441908853175</c:v>
                </c:pt>
                <c:pt idx="4">
                  <c:v>0.4264693435527378</c:v>
                </c:pt>
                <c:pt idx="5">
                  <c:v>2.0689226257431597</c:v>
                </c:pt>
                <c:pt idx="6">
                  <c:v>0.28574795450745449</c:v>
                </c:pt>
                <c:pt idx="7">
                  <c:v>9.3422374532520253E-2</c:v>
                </c:pt>
                <c:pt idx="8">
                  <c:v>7.7579570974209977</c:v>
                </c:pt>
                <c:pt idx="9">
                  <c:v>0.28142453378266502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B5-4082-A805-1A62415F4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458608"/>
        <c:axId val="89465328"/>
      </c:lineChart>
      <c:catAx>
        <c:axId val="894586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9465328"/>
        <c:crosses val="autoZero"/>
        <c:auto val="1"/>
        <c:lblAlgn val="ctr"/>
        <c:lblOffset val="100"/>
        <c:noMultiLvlLbl val="0"/>
      </c:catAx>
      <c:valAx>
        <c:axId val="8946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945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Reconciliación Ley Fe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'Balance Pre-Cl-SCV Dic (2)'!$X$70</c:f>
              <c:strCache>
                <c:ptCount val="1"/>
                <c:pt idx="0">
                  <c:v>Medido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'Balance Pre-Cl-SCV Dic (2)'!$Y$70:$AH$70</c:f>
              <c:numCache>
                <c:formatCode>0.00</c:formatCode>
                <c:ptCount val="10"/>
                <c:pt idx="0">
                  <c:v>13.5</c:v>
                </c:pt>
                <c:pt idx="1">
                  <c:v>16.8</c:v>
                </c:pt>
                <c:pt idx="2">
                  <c:v>4.33</c:v>
                </c:pt>
                <c:pt idx="3">
                  <c:v>4.91</c:v>
                </c:pt>
                <c:pt idx="4">
                  <c:v>4.53</c:v>
                </c:pt>
                <c:pt idx="5">
                  <c:v>3.81</c:v>
                </c:pt>
                <c:pt idx="6">
                  <c:v>2.65</c:v>
                </c:pt>
                <c:pt idx="7">
                  <c:v>1.87</c:v>
                </c:pt>
                <c:pt idx="8">
                  <c:v>11.7</c:v>
                </c:pt>
                <c:pt idx="9">
                  <c:v>4.2300000000000004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17-40BA-9799-A33ECD5548DC}"/>
            </c:ext>
          </c:extLst>
        </c:ser>
        <c:ser>
          <c:idx val="1"/>
          <c:order val="1"/>
          <c:tx>
            <c:strRef>
              <c:f>'Balance Pre-Cl-SCV Dic (2)'!$X$71</c:f>
              <c:strCache>
                <c:ptCount val="1"/>
                <c:pt idx="0">
                  <c:v>Ajustado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'Balance Pre-Cl-SCV Dic (2)'!$Y$71:$AH$71</c:f>
              <c:numCache>
                <c:formatCode>0.00</c:formatCode>
                <c:ptCount val="10"/>
                <c:pt idx="0">
                  <c:v>5.6269080415249668</c:v>
                </c:pt>
                <c:pt idx="1">
                  <c:v>17.860096894798428</c:v>
                </c:pt>
                <c:pt idx="2">
                  <c:v>4.4617620985377879</c:v>
                </c:pt>
                <c:pt idx="3">
                  <c:v>3.9677242966893931</c:v>
                </c:pt>
                <c:pt idx="4">
                  <c:v>3.4435989226835235</c:v>
                </c:pt>
                <c:pt idx="5">
                  <c:v>3.9774634425292605</c:v>
                </c:pt>
                <c:pt idx="6">
                  <c:v>3.3978587134607863</c:v>
                </c:pt>
                <c:pt idx="7">
                  <c:v>2.1214306676804866</c:v>
                </c:pt>
                <c:pt idx="8">
                  <c:v>13.157500883676702</c:v>
                </c:pt>
                <c:pt idx="9">
                  <c:v>2.8677833162631883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17-40BA-9799-A33ECD5548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458608"/>
        <c:axId val="89465328"/>
      </c:lineChart>
      <c:catAx>
        <c:axId val="894586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9465328"/>
        <c:crosses val="autoZero"/>
        <c:auto val="1"/>
        <c:lblAlgn val="ctr"/>
        <c:lblOffset val="100"/>
        <c:noMultiLvlLbl val="0"/>
      </c:catAx>
      <c:valAx>
        <c:axId val="8946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945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Reconciliación Masa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'Balance Pre-Cl-SCV Dic (2)'!$X$76</c:f>
              <c:strCache>
                <c:ptCount val="1"/>
                <c:pt idx="0">
                  <c:v>Medido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'Balance Pre-Cl-SCV Dic (2)'!$Y$76:$AH$76</c:f>
              <c:numCache>
                <c:formatCode>0.000</c:formatCode>
                <c:ptCount val="10"/>
                <c:pt idx="0">
                  <c:v>25.527272727272727</c:v>
                </c:pt>
                <c:pt idx="1">
                  <c:v>2.0030000000000001</c:v>
                </c:pt>
                <c:pt idx="2">
                  <c:v>22.685142857142861</c:v>
                </c:pt>
                <c:pt idx="3">
                  <c:v>41.064</c:v>
                </c:pt>
                <c:pt idx="4">
                  <c:v>24.612000000000002</c:v>
                </c:pt>
                <c:pt idx="5">
                  <c:v>1.6073684210526318</c:v>
                </c:pt>
                <c:pt idx="6">
                  <c:v>18.231999999999999</c:v>
                </c:pt>
                <c:pt idx="7">
                  <c:v>18.276923076923079</c:v>
                </c:pt>
                <c:pt idx="8">
                  <c:v>4.273714285714286</c:v>
                </c:pt>
                <c:pt idx="9">
                  <c:v>32.347636363636362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1C-4002-A9EB-8C795AC350F1}"/>
            </c:ext>
          </c:extLst>
        </c:ser>
        <c:ser>
          <c:idx val="1"/>
          <c:order val="1"/>
          <c:tx>
            <c:strRef>
              <c:f>'Balance Pre-Cl-SCV Dic (2)'!$X$77</c:f>
              <c:strCache>
                <c:ptCount val="1"/>
                <c:pt idx="0">
                  <c:v>Ajustado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'Balance Pre-Cl-SCV Dic (2)'!$Y$77:$AH$77</c:f>
              <c:numCache>
                <c:formatCode>0.000</c:formatCode>
                <c:ptCount val="10"/>
                <c:pt idx="0">
                  <c:v>24.173920563954432</c:v>
                </c:pt>
                <c:pt idx="1">
                  <c:v>2.1022123949853708</c:v>
                </c:pt>
                <c:pt idx="2">
                  <c:v>22.071708168944816</c:v>
                </c:pt>
                <c:pt idx="3">
                  <c:v>41.206498002414925</c:v>
                </c:pt>
                <c:pt idx="4">
                  <c:v>20.774211929649404</c:v>
                </c:pt>
                <c:pt idx="5">
                  <c:v>1.6394220961920252</c:v>
                </c:pt>
                <c:pt idx="6">
                  <c:v>19.13478983345896</c:v>
                </c:pt>
                <c:pt idx="7">
                  <c:v>16.027430883422515</c:v>
                </c:pt>
                <c:pt idx="8">
                  <c:v>4.4048551893418555</c:v>
                </c:pt>
                <c:pt idx="9">
                  <c:v>36.801642813089558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1C-4002-A9EB-8C795AC35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458608"/>
        <c:axId val="89465328"/>
      </c:lineChart>
      <c:catAx>
        <c:axId val="894586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9465328"/>
        <c:crosses val="autoZero"/>
        <c:auto val="1"/>
        <c:lblAlgn val="ctr"/>
        <c:lblOffset val="100"/>
        <c:noMultiLvlLbl val="0"/>
      </c:catAx>
      <c:valAx>
        <c:axId val="8946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945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L"/>
              <a:t>Masas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'Balance Pre-Cl-SCV Dic (2)'!$AT$62</c:f>
              <c:strCache>
                <c:ptCount val="1"/>
                <c:pt idx="0">
                  <c:v>Masa, kph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'Balance Pre-Cl-SCV Dic (2)'!$AT$66:$AT$75</c:f>
              <c:numCache>
                <c:formatCode>0.00</c:formatCode>
                <c:ptCount val="10"/>
                <c:pt idx="0">
                  <c:v>24.173920563954432</c:v>
                </c:pt>
                <c:pt idx="1">
                  <c:v>2.1022123949853708</c:v>
                </c:pt>
                <c:pt idx="2">
                  <c:v>22.071708168944816</c:v>
                </c:pt>
                <c:pt idx="3">
                  <c:v>41.206498002414925</c:v>
                </c:pt>
                <c:pt idx="4">
                  <c:v>20.774211929649404</c:v>
                </c:pt>
                <c:pt idx="5">
                  <c:v>1.6394220961920252</c:v>
                </c:pt>
                <c:pt idx="6">
                  <c:v>19.13478983345896</c:v>
                </c:pt>
                <c:pt idx="7">
                  <c:v>16.027430883422515</c:v>
                </c:pt>
                <c:pt idx="8">
                  <c:v>4.4048551893418555</c:v>
                </c:pt>
                <c:pt idx="9">
                  <c:v>36.801642813089558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F7-4208-9B53-9B7AC905A401}"/>
            </c:ext>
          </c:extLst>
        </c:ser>
        <c:ser>
          <c:idx val="1"/>
          <c:order val="1"/>
          <c:tx>
            <c:strRef>
              <c:f>'Balance Pre-Cl-SCV Dic (2)'!$AT$80</c:f>
              <c:strCache>
                <c:ptCount val="1"/>
                <c:pt idx="0">
                  <c:v>Masa, kph Empirica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'Balance Pre-Cl-SCV Dic (2)'!$AT$84:$AT$93</c:f>
              <c:numCache>
                <c:formatCode>0.000</c:formatCode>
                <c:ptCount val="10"/>
                <c:pt idx="0">
                  <c:v>41.969842857142844</c:v>
                </c:pt>
                <c:pt idx="1">
                  <c:v>3.4051</c:v>
                </c:pt>
                <c:pt idx="2">
                  <c:v>38.564742857142861</c:v>
                </c:pt>
                <c:pt idx="3">
                  <c:v>67.108441558441584</c:v>
                </c:pt>
                <c:pt idx="4">
                  <c:v>31.517330280246082</c:v>
                </c:pt>
                <c:pt idx="5">
                  <c:v>2.9736315789473688</c:v>
                </c:pt>
                <c:pt idx="6">
                  <c:v>28.543698701298712</c:v>
                </c:pt>
                <c:pt idx="7">
                  <c:v>28.325796992481191</c:v>
                </c:pt>
                <c:pt idx="8">
                  <c:v>7.2653142857142861</c:v>
                </c:pt>
                <c:pt idx="9">
                  <c:v>59.843127272727273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F7-4208-9B53-9B7AC905A401}"/>
            </c:ext>
          </c:extLst>
        </c:ser>
        <c:ser>
          <c:idx val="2"/>
          <c:order val="2"/>
          <c:marker>
            <c:symbol val="none"/>
          </c:marker>
          <c:val>
            <c:numRef>
              <c:f>'Balance Pre-Cl-SCV Dic (2)'!$P$9:$P$18</c:f>
              <c:numCache>
                <c:formatCode>0.00</c:formatCode>
                <c:ptCount val="10"/>
                <c:pt idx="0">
                  <c:v>25.527272727272727</c:v>
                </c:pt>
                <c:pt idx="1">
                  <c:v>2.0030000000000001</c:v>
                </c:pt>
                <c:pt idx="2">
                  <c:v>22.685142857142861</c:v>
                </c:pt>
                <c:pt idx="3">
                  <c:v>41.064</c:v>
                </c:pt>
                <c:pt idx="4">
                  <c:v>24.612000000000002</c:v>
                </c:pt>
                <c:pt idx="5">
                  <c:v>1.6073684210526318</c:v>
                </c:pt>
                <c:pt idx="6">
                  <c:v>18.231999999999999</c:v>
                </c:pt>
                <c:pt idx="7">
                  <c:v>18.276923076923079</c:v>
                </c:pt>
                <c:pt idx="8">
                  <c:v>4.273714285714286</c:v>
                </c:pt>
                <c:pt idx="9">
                  <c:v>32.347636363636362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F7-4208-9B53-9B7AC905A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0296304"/>
        <c:axId val="415067200"/>
      </c:lineChart>
      <c:catAx>
        <c:axId val="132029630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15067200"/>
        <c:crosses val="autoZero"/>
        <c:auto val="1"/>
        <c:lblAlgn val="ctr"/>
        <c:lblOffset val="100"/>
        <c:noMultiLvlLbl val="0"/>
      </c:catAx>
      <c:valAx>
        <c:axId val="41506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20296304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1800" b="1"/>
              <a:t>Leyes Cobre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'Balance Pre-Cl-SCV Dic (2)'!$AU$62</c:f>
              <c:strCache>
                <c:ptCount val="1"/>
                <c:pt idx="0">
                  <c:v>Ley,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'Balance Pre-Cl-SCV Dic (2)'!$AU$66:$AU$75</c:f>
              <c:numCache>
                <c:formatCode>0.00</c:formatCode>
                <c:ptCount val="10"/>
                <c:pt idx="0">
                  <c:v>3.6870031867384379</c:v>
                </c:pt>
                <c:pt idx="1">
                  <c:v>23.816568965760027</c:v>
                </c:pt>
                <c:pt idx="2">
                  <c:v>1.7697694868930391</c:v>
                </c:pt>
                <c:pt idx="3">
                  <c:v>1.0806441908853175</c:v>
                </c:pt>
                <c:pt idx="4">
                  <c:v>0.4264693435527378</c:v>
                </c:pt>
                <c:pt idx="5">
                  <c:v>2.0689226257431597</c:v>
                </c:pt>
                <c:pt idx="6">
                  <c:v>0.28574795450745449</c:v>
                </c:pt>
                <c:pt idx="7">
                  <c:v>9.3422374532520253E-2</c:v>
                </c:pt>
                <c:pt idx="8">
                  <c:v>7.7579570974209977</c:v>
                </c:pt>
                <c:pt idx="9">
                  <c:v>0.28142453378266502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F3-436D-8012-BF8CF98E2462}"/>
            </c:ext>
          </c:extLst>
        </c:ser>
        <c:ser>
          <c:idx val="1"/>
          <c:order val="1"/>
          <c:tx>
            <c:strRef>
              <c:f>'Balance Pre-Cl-SCV Dic (2)'!$AU$80</c:f>
              <c:strCache>
                <c:ptCount val="1"/>
                <c:pt idx="0">
                  <c:v>Ley, % Empirica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'Balance Pre-Cl-SCV Dic (2)'!$AU$84:$AU$93</c:f>
              <c:numCache>
                <c:formatCode>0.000</c:formatCode>
                <c:ptCount val="10"/>
                <c:pt idx="0">
                  <c:v>3.8332110556253172</c:v>
                </c:pt>
                <c:pt idx="1">
                  <c:v>26.146999999999998</c:v>
                </c:pt>
                <c:pt idx="2">
                  <c:v>1.863</c:v>
                </c:pt>
                <c:pt idx="3">
                  <c:v>1.2054222644183397</c:v>
                </c:pt>
                <c:pt idx="4">
                  <c:v>0.46199999999999997</c:v>
                </c:pt>
                <c:pt idx="5">
                  <c:v>1.8540000000000001</c:v>
                </c:pt>
                <c:pt idx="6">
                  <c:v>0.31698392478104459</c:v>
                </c:pt>
                <c:pt idx="7">
                  <c:v>8.3699999999999997E-2</c:v>
                </c:pt>
                <c:pt idx="8">
                  <c:v>8.803766949626139</c:v>
                </c:pt>
                <c:pt idx="9">
                  <c:v>0.28293768339644992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F3-436D-8012-BF8CF98E2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0296304"/>
        <c:axId val="415067200"/>
      </c:lineChart>
      <c:catAx>
        <c:axId val="132029630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15067200"/>
        <c:crosses val="autoZero"/>
        <c:auto val="1"/>
        <c:lblAlgn val="ctr"/>
        <c:lblOffset val="100"/>
        <c:noMultiLvlLbl val="0"/>
      </c:catAx>
      <c:valAx>
        <c:axId val="41506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20296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1800" b="1"/>
              <a:t>Leyes Fe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'Balance Pre-Cl-SCV Dic (2)'!$AV$62</c:f>
              <c:strCache>
                <c:ptCount val="1"/>
                <c:pt idx="0">
                  <c:v>Ley Fe,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'Balance Pre-Cl-SCV Dic (2)'!$AV$66:$AV$75</c:f>
              <c:numCache>
                <c:formatCode>0.00</c:formatCode>
                <c:ptCount val="10"/>
                <c:pt idx="0">
                  <c:v>5.6269080415249668</c:v>
                </c:pt>
                <c:pt idx="1">
                  <c:v>17.860096894798428</c:v>
                </c:pt>
                <c:pt idx="2">
                  <c:v>4.4617620985377879</c:v>
                </c:pt>
                <c:pt idx="3">
                  <c:v>3.9677242966893931</c:v>
                </c:pt>
                <c:pt idx="4">
                  <c:v>3.4435989226835235</c:v>
                </c:pt>
                <c:pt idx="5">
                  <c:v>3.9774634425292605</c:v>
                </c:pt>
                <c:pt idx="6">
                  <c:v>3.3978587134607863</c:v>
                </c:pt>
                <c:pt idx="7">
                  <c:v>2.1214306676804866</c:v>
                </c:pt>
                <c:pt idx="8">
                  <c:v>13.157500883676702</c:v>
                </c:pt>
                <c:pt idx="9">
                  <c:v>2.8677833162631883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43-4942-A840-A0D8EE907A6F}"/>
            </c:ext>
          </c:extLst>
        </c:ser>
        <c:ser>
          <c:idx val="1"/>
          <c:order val="1"/>
          <c:tx>
            <c:strRef>
              <c:f>'Balance Pre-Cl-SCV Dic (2)'!$AV$80</c:f>
              <c:strCache>
                <c:ptCount val="1"/>
                <c:pt idx="0">
                  <c:v>Ley Fe, % Empirica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'Balance Pre-Cl-SCV Dic (2)'!$AV$84:$AV$93</c:f>
              <c:numCache>
                <c:formatCode>0.000</c:formatCode>
                <c:ptCount val="10"/>
                <c:pt idx="0">
                  <c:v>5.9230305017972915</c:v>
                </c:pt>
                <c:pt idx="1">
                  <c:v>21</c:v>
                </c:pt>
                <c:pt idx="2">
                  <c:v>4.59179930369217</c:v>
                </c:pt>
                <c:pt idx="3">
                  <c:v>4.1040232052568921</c:v>
                </c:pt>
                <c:pt idx="4">
                  <c:v>3.5693049322524204</c:v>
                </c:pt>
                <c:pt idx="5">
                  <c:v>4.7625000000000002</c:v>
                </c:pt>
                <c:pt idx="6">
                  <c:v>3.4449999999999998</c:v>
                </c:pt>
                <c:pt idx="7">
                  <c:v>2.1505000000000005</c:v>
                </c:pt>
                <c:pt idx="8">
                  <c:v>14.039999999999997</c:v>
                </c:pt>
                <c:pt idx="9">
                  <c:v>2.8977360769057086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43-4942-A840-A0D8EE907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0296304"/>
        <c:axId val="415067200"/>
      </c:lineChart>
      <c:catAx>
        <c:axId val="132029630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15067200"/>
        <c:crosses val="autoZero"/>
        <c:auto val="1"/>
        <c:lblAlgn val="ctr"/>
        <c:lblOffset val="100"/>
        <c:noMultiLvlLbl val="0"/>
      </c:catAx>
      <c:valAx>
        <c:axId val="41506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20296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Mineralogia</a:t>
            </a:r>
            <a:r>
              <a:rPr lang="es-CL" baseline="0"/>
              <a:t> Modal 01-09-25 &amp; 22-09-25 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7.2909368988334472E-2"/>
          <c:y val="8.1832195406494057E-2"/>
          <c:w val="0.89064859054121459"/>
          <c:h val="0.68923071092483912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'Mine Modal'!$B$5</c:f>
              <c:strCache>
                <c:ptCount val="1"/>
                <c:pt idx="0">
                  <c:v>Cuarzo</c:v>
                </c:pt>
              </c:strCache>
            </c:strRef>
          </c:tx>
          <c:spPr>
            <a:solidFill>
              <a:srgbClr val="C8C6AE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'Mine Modal'!$C$2:$J$4</c15:sqref>
                  </c15:fullRef>
                  <c15:levelRef>
                    <c15:sqref>'Mine Modal'!$C$4:$J$4</c15:sqref>
                  </c15:levelRef>
                </c:ext>
              </c:extLst>
              <c:f>'Mine Modal'!$C$4:$J$4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'Mine Modal'!$C$5:$J$5</c:f>
              <c:numCache>
                <c:formatCode>General</c:formatCode>
                <c:ptCount val="8"/>
                <c:pt idx="0">
                  <c:v>32.701000000000001</c:v>
                </c:pt>
                <c:pt idx="1">
                  <c:v>19.277000000000001</c:v>
                </c:pt>
                <c:pt idx="2">
                  <c:v>31.974</c:v>
                </c:pt>
                <c:pt idx="3">
                  <c:v>41.654000000000003</c:v>
                </c:pt>
                <c:pt idx="4">
                  <c:v>36.625</c:v>
                </c:pt>
                <c:pt idx="5">
                  <c:v>14.367000000000001</c:v>
                </c:pt>
                <c:pt idx="6">
                  <c:v>27.215</c:v>
                </c:pt>
                <c:pt idx="7">
                  <c:v>46.584000000000003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F4-4AFF-B9A9-EC5D77FA2B12}"/>
            </c:ext>
          </c:extLst>
        </c:ser>
        <c:ser>
          <c:idx val="1"/>
          <c:order val="1"/>
          <c:tx>
            <c:strRef>
              <c:f>'Mine Modal'!$B$6</c:f>
              <c:strCache>
                <c:ptCount val="1"/>
                <c:pt idx="0">
                  <c:v>Muscovita/illita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'Mine Modal'!$C$2:$J$4</c15:sqref>
                  </c15:fullRef>
                  <c15:levelRef>
                    <c15:sqref>'Mine Modal'!$C$4:$J$4</c15:sqref>
                  </c15:levelRef>
                </c:ext>
              </c:extLst>
              <c:f>'Mine Modal'!$C$4:$J$4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'Mine Modal'!$C$6:$J$6</c:f>
              <c:numCache>
                <c:formatCode>General</c:formatCode>
                <c:ptCount val="8"/>
                <c:pt idx="0">
                  <c:v>35.646999999999998</c:v>
                </c:pt>
                <c:pt idx="1">
                  <c:v>23.922999999999998</c:v>
                </c:pt>
                <c:pt idx="2">
                  <c:v>30.568999999999999</c:v>
                </c:pt>
                <c:pt idx="3">
                  <c:v>42.149000000000001</c:v>
                </c:pt>
                <c:pt idx="4">
                  <c:v>36.078000000000003</c:v>
                </c:pt>
                <c:pt idx="5">
                  <c:v>15.676</c:v>
                </c:pt>
                <c:pt idx="6">
                  <c:v>30.222000000000001</c:v>
                </c:pt>
                <c:pt idx="7">
                  <c:v>35.914999999999999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F4-4AFF-B9A9-EC5D77FA2B12}"/>
            </c:ext>
          </c:extLst>
        </c:ser>
        <c:ser>
          <c:idx val="2"/>
          <c:order val="2"/>
          <c:tx>
            <c:strRef>
              <c:f>'Mine Modal'!$B$7</c:f>
              <c:strCache>
                <c:ptCount val="1"/>
                <c:pt idx="0">
                  <c:v>Pirita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'Mine Modal'!$C$2:$J$4</c15:sqref>
                  </c15:fullRef>
                  <c15:levelRef>
                    <c15:sqref>'Mine Modal'!$C$4:$J$4</c15:sqref>
                  </c15:levelRef>
                </c:ext>
              </c:extLst>
              <c:f>'Mine Modal'!$C$4:$J$4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'Mine Modal'!$C$7:$J$7</c:f>
              <c:numCache>
                <c:formatCode>General</c:formatCode>
                <c:ptCount val="8"/>
                <c:pt idx="0">
                  <c:v>9.1649999999999991</c:v>
                </c:pt>
                <c:pt idx="1">
                  <c:v>20.436</c:v>
                </c:pt>
                <c:pt idx="2">
                  <c:v>15.359</c:v>
                </c:pt>
                <c:pt idx="3">
                  <c:v>5.6559999999999997</c:v>
                </c:pt>
                <c:pt idx="4">
                  <c:v>11.035</c:v>
                </c:pt>
                <c:pt idx="5">
                  <c:v>22.995000000000001</c:v>
                </c:pt>
                <c:pt idx="6">
                  <c:v>18.552</c:v>
                </c:pt>
                <c:pt idx="7">
                  <c:v>6.4569999999999999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F4-4AFF-B9A9-EC5D77FA2B12}"/>
            </c:ext>
          </c:extLst>
        </c:ser>
        <c:ser>
          <c:idx val="3"/>
          <c:order val="3"/>
          <c:tx>
            <c:strRef>
              <c:f>'Mine Modal'!$B$8</c:f>
              <c:strCache>
                <c:ptCount val="1"/>
                <c:pt idx="0">
                  <c:v>Calcopirita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EAF-479F-961C-0846665E4BC1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'Mine Modal'!$C$2:$J$4</c15:sqref>
                  </c15:fullRef>
                  <c15:levelRef>
                    <c15:sqref>'Mine Modal'!$C$4:$J$4</c15:sqref>
                  </c15:levelRef>
                </c:ext>
              </c:extLst>
              <c:f>'Mine Modal'!$C$4:$J$4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'Mine Modal'!$C$8:$J$8</c:f>
              <c:numCache>
                <c:formatCode>General</c:formatCode>
                <c:ptCount val="8"/>
                <c:pt idx="0">
                  <c:v>9.5920000000000005</c:v>
                </c:pt>
                <c:pt idx="1">
                  <c:v>20.968</c:v>
                </c:pt>
                <c:pt idx="2">
                  <c:v>13.023</c:v>
                </c:pt>
                <c:pt idx="3">
                  <c:v>0.28399999999999997</c:v>
                </c:pt>
                <c:pt idx="4">
                  <c:v>5.4569999999999999</c:v>
                </c:pt>
                <c:pt idx="5">
                  <c:v>28.271000000000001</c:v>
                </c:pt>
                <c:pt idx="6">
                  <c:v>13.759</c:v>
                </c:pt>
                <c:pt idx="7">
                  <c:v>8.6999999999999994E-2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F4-4AFF-B9A9-EC5D77FA2B12}"/>
            </c:ext>
          </c:extLst>
        </c:ser>
        <c:ser>
          <c:idx val="4"/>
          <c:order val="4"/>
          <c:tx>
            <c:strRef>
              <c:f>'Mine Modal'!$B$9</c:f>
              <c:strCache>
                <c:ptCount val="1"/>
                <c:pt idx="0">
                  <c:v>Plagioclasa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'Mine Modal'!$C$2:$J$4</c15:sqref>
                  </c15:fullRef>
                  <c15:levelRef>
                    <c15:sqref>'Mine Modal'!$C$4:$J$4</c15:sqref>
                  </c15:levelRef>
                </c:ext>
              </c:extLst>
              <c:f>'Mine Modal'!$C$4:$J$4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'Mine Modal'!$C$9:$J$9</c:f>
              <c:numCache>
                <c:formatCode>General</c:formatCode>
                <c:ptCount val="8"/>
                <c:pt idx="0">
                  <c:v>3.72</c:v>
                </c:pt>
                <c:pt idx="1">
                  <c:v>1.4770000000000001</c:v>
                </c:pt>
                <c:pt idx="2">
                  <c:v>2.5630000000000002</c:v>
                </c:pt>
                <c:pt idx="3">
                  <c:v>4.3579999999999997</c:v>
                </c:pt>
                <c:pt idx="4">
                  <c:v>3.94</c:v>
                </c:pt>
                <c:pt idx="5">
                  <c:v>1.149</c:v>
                </c:pt>
                <c:pt idx="6">
                  <c:v>2.234</c:v>
                </c:pt>
                <c:pt idx="7">
                  <c:v>4.9539999999999997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EF4-4AFF-B9A9-EC5D77FA2B12}"/>
            </c:ext>
          </c:extLst>
        </c:ser>
        <c:ser>
          <c:idx val="5"/>
          <c:order val="5"/>
          <c:tx>
            <c:strRef>
              <c:f>'Mine Modal'!$B$10</c:f>
              <c:strCache>
                <c:ptCount val="1"/>
                <c:pt idx="0">
                  <c:v>Calcosina/digenita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'Mine Modal'!$C$2:$J$4</c15:sqref>
                  </c15:fullRef>
                  <c15:levelRef>
                    <c15:sqref>'Mine Modal'!$C$4:$J$4</c15:sqref>
                  </c15:levelRef>
                </c:ext>
              </c:extLst>
              <c:f>'Mine Modal'!$C$4:$J$4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'Mine Modal'!$C$10:$J$10</c:f>
              <c:numCache>
                <c:formatCode>General</c:formatCode>
                <c:ptCount val="8"/>
                <c:pt idx="0">
                  <c:v>1.76</c:v>
                </c:pt>
                <c:pt idx="1">
                  <c:v>6.2030000000000003</c:v>
                </c:pt>
                <c:pt idx="2">
                  <c:v>1.079</c:v>
                </c:pt>
                <c:pt idx="3">
                  <c:v>0</c:v>
                </c:pt>
                <c:pt idx="4">
                  <c:v>0.93700000000000006</c:v>
                </c:pt>
                <c:pt idx="5">
                  <c:v>6.827</c:v>
                </c:pt>
                <c:pt idx="6">
                  <c:v>1.794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EF4-4AFF-B9A9-EC5D77FA2B12}"/>
            </c:ext>
          </c:extLst>
        </c:ser>
        <c:ser>
          <c:idx val="6"/>
          <c:order val="6"/>
          <c:tx>
            <c:strRef>
              <c:f>'Mine Modal'!$B$11</c:f>
              <c:strCache>
                <c:ptCount val="1"/>
                <c:pt idx="0">
                  <c:v>Arcillas 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'Mine Modal'!$C$2:$J$4</c15:sqref>
                  </c15:fullRef>
                  <c15:levelRef>
                    <c15:sqref>'Mine Modal'!$C$4:$J$4</c15:sqref>
                  </c15:levelRef>
                </c:ext>
              </c:extLst>
              <c:f>'Mine Modal'!$C$4:$J$4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'Mine Modal'!$C$11:$J$11</c:f>
              <c:numCache>
                <c:formatCode>General</c:formatCode>
                <c:ptCount val="8"/>
                <c:pt idx="0">
                  <c:v>2.3759999999999999</c:v>
                </c:pt>
                <c:pt idx="1">
                  <c:v>1.5629999999999999</c:v>
                </c:pt>
                <c:pt idx="2">
                  <c:v>1.5449999999999999</c:v>
                </c:pt>
                <c:pt idx="3">
                  <c:v>2.7109999999999999</c:v>
                </c:pt>
                <c:pt idx="4">
                  <c:v>1.879</c:v>
                </c:pt>
                <c:pt idx="5">
                  <c:v>0.68200000000000005</c:v>
                </c:pt>
                <c:pt idx="6">
                  <c:v>1.5740000000000001</c:v>
                </c:pt>
                <c:pt idx="7">
                  <c:v>2.3650000000000002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EF4-4AFF-B9A9-EC5D77FA2B12}"/>
            </c:ext>
          </c:extLst>
        </c:ser>
        <c:ser>
          <c:idx val="7"/>
          <c:order val="7"/>
          <c:tx>
            <c:strRef>
              <c:f>'Mine Modal'!$B$12</c:f>
              <c:strCache>
                <c:ptCount val="1"/>
                <c:pt idx="0">
                  <c:v>Clorita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'Mine Modal'!$C$2:$J$4</c15:sqref>
                  </c15:fullRef>
                  <c15:levelRef>
                    <c15:sqref>'Mine Modal'!$C$4:$J$4</c15:sqref>
                  </c15:levelRef>
                </c:ext>
              </c:extLst>
              <c:f>'Mine Modal'!$C$4:$J$4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'Mine Modal'!$C$12:$J$12</c:f>
              <c:numCache>
                <c:formatCode>General</c:formatCode>
                <c:ptCount val="8"/>
                <c:pt idx="0">
                  <c:v>1.788</c:v>
                </c:pt>
                <c:pt idx="1">
                  <c:v>1.1399999999999999</c:v>
                </c:pt>
                <c:pt idx="2">
                  <c:v>1.298</c:v>
                </c:pt>
                <c:pt idx="3">
                  <c:v>1.746</c:v>
                </c:pt>
                <c:pt idx="4">
                  <c:v>1.784</c:v>
                </c:pt>
                <c:pt idx="5">
                  <c:v>0.79800000000000004</c:v>
                </c:pt>
                <c:pt idx="6">
                  <c:v>1.298</c:v>
                </c:pt>
                <c:pt idx="7">
                  <c:v>1.911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EF4-4AFF-B9A9-EC5D77FA2B12}"/>
            </c:ext>
          </c:extLst>
        </c:ser>
        <c:ser>
          <c:idx val="8"/>
          <c:order val="8"/>
          <c:tx>
            <c:strRef>
              <c:f>'Mine Modal'!$B$13</c:f>
              <c:strCache>
                <c:ptCount val="1"/>
                <c:pt idx="0">
                  <c:v>Bornita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'Mine Modal'!$C$2:$J$4</c15:sqref>
                  </c15:fullRef>
                  <c15:levelRef>
                    <c15:sqref>'Mine Modal'!$C$4:$J$4</c15:sqref>
                  </c15:levelRef>
                </c:ext>
              </c:extLst>
              <c:f>'Mine Modal'!$C$4:$J$4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'Mine Modal'!$C$13:$J$13</c:f>
              <c:numCache>
                <c:formatCode>General</c:formatCode>
                <c:ptCount val="8"/>
                <c:pt idx="0">
                  <c:v>0.78900000000000003</c:v>
                </c:pt>
                <c:pt idx="1">
                  <c:v>1.95</c:v>
                </c:pt>
                <c:pt idx="2">
                  <c:v>0.497</c:v>
                </c:pt>
                <c:pt idx="3">
                  <c:v>1.2999999999999999E-2</c:v>
                </c:pt>
                <c:pt idx="4">
                  <c:v>0.26900000000000002</c:v>
                </c:pt>
                <c:pt idx="5">
                  <c:v>3.645</c:v>
                </c:pt>
                <c:pt idx="6">
                  <c:v>1.03</c:v>
                </c:pt>
                <c:pt idx="7">
                  <c:v>3.6999999999999998E-2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EF4-4AFF-B9A9-EC5D77FA2B12}"/>
            </c:ext>
          </c:extLst>
        </c:ser>
        <c:ser>
          <c:idx val="9"/>
          <c:order val="9"/>
          <c:tx>
            <c:strRef>
              <c:f>'Mine Modal'!$B$14</c:f>
              <c:strCache>
                <c:ptCount val="1"/>
                <c:pt idx="0">
                  <c:v>Covelina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'Mine Modal'!$C$2:$J$4</c15:sqref>
                  </c15:fullRef>
                  <c15:levelRef>
                    <c15:sqref>'Mine Modal'!$C$4:$J$4</c15:sqref>
                  </c15:levelRef>
                </c:ext>
              </c:extLst>
              <c:f>'Mine Modal'!$C$4:$J$4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'Mine Modal'!$C$14:$J$14</c:f>
              <c:numCache>
                <c:formatCode>General</c:formatCode>
                <c:ptCount val="8"/>
                <c:pt idx="0">
                  <c:v>0.65800000000000003</c:v>
                </c:pt>
                <c:pt idx="1">
                  <c:v>1.1659999999999999</c:v>
                </c:pt>
                <c:pt idx="2">
                  <c:v>0.36199999999999999</c:v>
                </c:pt>
                <c:pt idx="3">
                  <c:v>1.2E-2</c:v>
                </c:pt>
                <c:pt idx="4">
                  <c:v>0.52900000000000003</c:v>
                </c:pt>
                <c:pt idx="5">
                  <c:v>3.1179999999999999</c:v>
                </c:pt>
                <c:pt idx="6">
                  <c:v>0.69099999999999995</c:v>
                </c:pt>
                <c:pt idx="7">
                  <c:v>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EF4-4AFF-B9A9-EC5D77FA2B12}"/>
            </c:ext>
          </c:extLst>
        </c:ser>
        <c:ser>
          <c:idx val="10"/>
          <c:order val="10"/>
          <c:tx>
            <c:strRef>
              <c:f>'Mine Modal'!$B$15</c:f>
              <c:strCache>
                <c:ptCount val="1"/>
                <c:pt idx="0">
                  <c:v>Alunita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'Mine Modal'!$C$2:$J$4</c15:sqref>
                  </c15:fullRef>
                  <c15:levelRef>
                    <c15:sqref>'Mine Modal'!$C$4:$J$4</c15:sqref>
                  </c15:levelRef>
                </c:ext>
              </c:extLst>
              <c:f>'Mine Modal'!$C$4:$J$4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'Mine Modal'!$C$15:$J$15</c:f>
              <c:numCache>
                <c:formatCode>General</c:formatCode>
                <c:ptCount val="8"/>
                <c:pt idx="0">
                  <c:v>0.221</c:v>
                </c:pt>
                <c:pt idx="1">
                  <c:v>0.35699999999999998</c:v>
                </c:pt>
                <c:pt idx="2">
                  <c:v>0.29299999999999998</c:v>
                </c:pt>
                <c:pt idx="3">
                  <c:v>0.23899999999999999</c:v>
                </c:pt>
                <c:pt idx="4">
                  <c:v>0.29799999999999999</c:v>
                </c:pt>
                <c:pt idx="5">
                  <c:v>0.36099999999999999</c:v>
                </c:pt>
                <c:pt idx="6">
                  <c:v>0.27800000000000002</c:v>
                </c:pt>
                <c:pt idx="7">
                  <c:v>0.41899999999999998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EF4-4AFF-B9A9-EC5D77FA2B12}"/>
            </c:ext>
          </c:extLst>
        </c:ser>
        <c:ser>
          <c:idx val="11"/>
          <c:order val="11"/>
          <c:tx>
            <c:strRef>
              <c:f>'Mine Modal'!$B$16</c:f>
              <c:strCache>
                <c:ptCount val="1"/>
                <c:pt idx="0">
                  <c:v>Enargita/Tennantita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'Mine Modal'!$C$2:$J$4</c15:sqref>
                  </c15:fullRef>
                  <c15:levelRef>
                    <c15:sqref>'Mine Modal'!$C$4:$J$4</c15:sqref>
                  </c15:levelRef>
                </c:ext>
              </c:extLst>
              <c:f>'Mine Modal'!$C$4:$J$4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'Mine Modal'!$C$16:$J$16</c:f>
              <c:numCache>
                <c:formatCode>General</c:formatCode>
                <c:ptCount val="8"/>
                <c:pt idx="0">
                  <c:v>0.312</c:v>
                </c:pt>
                <c:pt idx="1">
                  <c:v>0.502</c:v>
                </c:pt>
                <c:pt idx="2">
                  <c:v>0.33200000000000002</c:v>
                </c:pt>
                <c:pt idx="3">
                  <c:v>1.4E-2</c:v>
                </c:pt>
                <c:pt idx="4">
                  <c:v>0.113</c:v>
                </c:pt>
                <c:pt idx="5">
                  <c:v>0.60599999999999998</c:v>
                </c:pt>
                <c:pt idx="6">
                  <c:v>0.20699999999999999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EF4-4AFF-B9A9-EC5D77FA2B12}"/>
            </c:ext>
          </c:extLst>
        </c:ser>
        <c:ser>
          <c:idx val="12"/>
          <c:order val="12"/>
          <c:tx>
            <c:strRef>
              <c:f>'Mine Modal'!$B$17</c:f>
              <c:strCache>
                <c:ptCount val="1"/>
                <c:pt idx="0">
                  <c:v>Rutilo/anatase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'Mine Modal'!$C$2:$J$4</c15:sqref>
                  </c15:fullRef>
                  <c15:levelRef>
                    <c15:sqref>'Mine Modal'!$C$4:$J$4</c15:sqref>
                  </c15:levelRef>
                </c:ext>
              </c:extLst>
              <c:f>'Mine Modal'!$C$4:$J$4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'Mine Modal'!$C$17:$J$17</c:f>
              <c:numCache>
                <c:formatCode>General</c:formatCode>
                <c:ptCount val="8"/>
                <c:pt idx="0">
                  <c:v>0.215</c:v>
                </c:pt>
                <c:pt idx="1">
                  <c:v>0.17899999999999999</c:v>
                </c:pt>
                <c:pt idx="2">
                  <c:v>0.16800000000000001</c:v>
                </c:pt>
                <c:pt idx="3">
                  <c:v>0.27800000000000002</c:v>
                </c:pt>
                <c:pt idx="4">
                  <c:v>0.27600000000000002</c:v>
                </c:pt>
                <c:pt idx="5">
                  <c:v>0.32100000000000001</c:v>
                </c:pt>
                <c:pt idx="6">
                  <c:v>0.22500000000000001</c:v>
                </c:pt>
                <c:pt idx="7">
                  <c:v>0.20200000000000001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EF4-4AFF-B9A9-EC5D77FA2B12}"/>
            </c:ext>
          </c:extLst>
        </c:ser>
        <c:ser>
          <c:idx val="13"/>
          <c:order val="13"/>
          <c:tx>
            <c:strRef>
              <c:f>'Mine Modal'!$B$18</c:f>
              <c:strCache>
                <c:ptCount val="1"/>
                <c:pt idx="0">
                  <c:v>Molibdenita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'Mine Modal'!$C$2:$J$4</c15:sqref>
                  </c15:fullRef>
                  <c15:levelRef>
                    <c15:sqref>'Mine Modal'!$C$4:$J$4</c15:sqref>
                  </c15:levelRef>
                </c:ext>
              </c:extLst>
              <c:f>'Mine Modal'!$C$4:$J$4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'Mine Modal'!$C$18:$J$18</c:f>
              <c:numCache>
                <c:formatCode>General</c:formatCode>
                <c:ptCount val="8"/>
                <c:pt idx="0">
                  <c:v>0.126</c:v>
                </c:pt>
                <c:pt idx="1">
                  <c:v>0.33400000000000002</c:v>
                </c:pt>
                <c:pt idx="2">
                  <c:v>0.27</c:v>
                </c:pt>
                <c:pt idx="3">
                  <c:v>9.4E-2</c:v>
                </c:pt>
                <c:pt idx="4">
                  <c:v>4.5999999999999999E-2</c:v>
                </c:pt>
                <c:pt idx="5">
                  <c:v>0.36199999999999999</c:v>
                </c:pt>
                <c:pt idx="6">
                  <c:v>0.11600000000000001</c:v>
                </c:pt>
                <c:pt idx="7">
                  <c:v>7.0999999999999994E-2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EF4-4AFF-B9A9-EC5D77FA2B12}"/>
            </c:ext>
          </c:extLst>
        </c:ser>
        <c:ser>
          <c:idx val="14"/>
          <c:order val="14"/>
          <c:tx>
            <c:strRef>
              <c:f>'Mine Modal'!$B$19</c:f>
              <c:strCache>
                <c:ptCount val="1"/>
                <c:pt idx="0">
                  <c:v>Hematita/Magnetita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'Mine Modal'!$C$2:$J$4</c15:sqref>
                  </c15:fullRef>
                  <c15:levelRef>
                    <c15:sqref>'Mine Modal'!$C$4:$J$4</c15:sqref>
                  </c15:levelRef>
                </c:ext>
              </c:extLst>
              <c:f>'Mine Modal'!$C$4:$J$4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'Mine Modal'!$C$19:$J$19</c:f>
              <c:numCache>
                <c:formatCode>General</c:formatCode>
                <c:ptCount val="8"/>
                <c:pt idx="0">
                  <c:v>0.22900000000000001</c:v>
                </c:pt>
                <c:pt idx="1">
                  <c:v>3.0000000000000001E-3</c:v>
                </c:pt>
                <c:pt idx="2">
                  <c:v>9.0999999999999998E-2</c:v>
                </c:pt>
                <c:pt idx="3">
                  <c:v>0.13600000000000001</c:v>
                </c:pt>
                <c:pt idx="4">
                  <c:v>0.20699999999999999</c:v>
                </c:pt>
                <c:pt idx="5">
                  <c:v>9.9000000000000005E-2</c:v>
                </c:pt>
                <c:pt idx="6">
                  <c:v>0.39800000000000002</c:v>
                </c:pt>
                <c:pt idx="7">
                  <c:v>0.16800000000000001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EF4-4AFF-B9A9-EC5D77FA2B12}"/>
            </c:ext>
          </c:extLst>
        </c:ser>
        <c:ser>
          <c:idx val="15"/>
          <c:order val="15"/>
          <c:tx>
            <c:strRef>
              <c:f>'Mine Modal'!$B$20</c:f>
              <c:strCache>
                <c:ptCount val="1"/>
                <c:pt idx="0">
                  <c:v>Calcita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'Mine Modal'!$C$2:$J$4</c15:sqref>
                  </c15:fullRef>
                  <c15:levelRef>
                    <c15:sqref>'Mine Modal'!$C$4:$J$4</c15:sqref>
                  </c15:levelRef>
                </c:ext>
              </c:extLst>
              <c:f>'Mine Modal'!$C$4:$J$4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'Mine Modal'!$C$20:$J$20</c:f>
              <c:numCache>
                <c:formatCode>General</c:formatCode>
                <c:ptCount val="8"/>
                <c:pt idx="0">
                  <c:v>0.26900000000000002</c:v>
                </c:pt>
                <c:pt idx="1">
                  <c:v>4.8000000000000001E-2</c:v>
                </c:pt>
                <c:pt idx="2">
                  <c:v>0.09</c:v>
                </c:pt>
                <c:pt idx="3">
                  <c:v>0.22900000000000001</c:v>
                </c:pt>
                <c:pt idx="4">
                  <c:v>7.9000000000000001E-2</c:v>
                </c:pt>
                <c:pt idx="5">
                  <c:v>3.3000000000000002E-2</c:v>
                </c:pt>
                <c:pt idx="6">
                  <c:v>5.1999999999999998E-2</c:v>
                </c:pt>
                <c:pt idx="7">
                  <c:v>0.248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EF4-4AFF-B9A9-EC5D77FA2B12}"/>
            </c:ext>
          </c:extLst>
        </c:ser>
        <c:ser>
          <c:idx val="16"/>
          <c:order val="16"/>
          <c:tx>
            <c:strRef>
              <c:f>'Mine Modal'!$B$21</c:f>
              <c:strCache>
                <c:ptCount val="1"/>
                <c:pt idx="0">
                  <c:v>Biotita/flogopita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'Mine Modal'!$C$2:$J$4</c15:sqref>
                  </c15:fullRef>
                  <c15:levelRef>
                    <c15:sqref>'Mine Modal'!$C$4:$J$4</c15:sqref>
                  </c15:levelRef>
                </c:ext>
              </c:extLst>
              <c:f>'Mine Modal'!$C$4:$J$4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'Mine Modal'!$C$21:$J$21</c:f>
              <c:numCache>
                <c:formatCode>General</c:formatCode>
                <c:ptCount val="8"/>
                <c:pt idx="0">
                  <c:v>8.5000000000000006E-2</c:v>
                </c:pt>
                <c:pt idx="1">
                  <c:v>8.3000000000000004E-2</c:v>
                </c:pt>
                <c:pt idx="2">
                  <c:v>0.14799999999999999</c:v>
                </c:pt>
                <c:pt idx="3">
                  <c:v>0.106</c:v>
                </c:pt>
                <c:pt idx="4">
                  <c:v>0.14000000000000001</c:v>
                </c:pt>
                <c:pt idx="5">
                  <c:v>0.13800000000000001</c:v>
                </c:pt>
                <c:pt idx="6">
                  <c:v>4.1000000000000002E-2</c:v>
                </c:pt>
                <c:pt idx="7">
                  <c:v>0.19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EF4-4AFF-B9A9-EC5D77FA2B12}"/>
            </c:ext>
          </c:extLst>
        </c:ser>
        <c:ser>
          <c:idx val="17"/>
          <c:order val="17"/>
          <c:tx>
            <c:strRef>
              <c:f>'Mine Modal'!$B$22</c:f>
              <c:strCache>
                <c:ptCount val="1"/>
                <c:pt idx="0">
                  <c:v>Ilmenita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'Mine Modal'!$C$2:$J$4</c15:sqref>
                  </c15:fullRef>
                  <c15:levelRef>
                    <c15:sqref>'Mine Modal'!$C$4:$J$4</c15:sqref>
                  </c15:levelRef>
                </c:ext>
              </c:extLst>
              <c:f>'Mine Modal'!$C$4:$J$4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'Mine Modal'!$C$22:$J$22</c:f>
              <c:numCache>
                <c:formatCode>General</c:formatCode>
                <c:ptCount val="8"/>
                <c:pt idx="0">
                  <c:v>7.8E-2</c:v>
                </c:pt>
                <c:pt idx="1">
                  <c:v>2.9000000000000001E-2</c:v>
                </c:pt>
                <c:pt idx="2">
                  <c:v>5.7000000000000002E-2</c:v>
                </c:pt>
                <c:pt idx="3">
                  <c:v>2.5000000000000001E-2</c:v>
                </c:pt>
                <c:pt idx="4">
                  <c:v>0.08</c:v>
                </c:pt>
                <c:pt idx="5">
                  <c:v>7.0000000000000001E-3</c:v>
                </c:pt>
                <c:pt idx="6">
                  <c:v>6.3E-2</c:v>
                </c:pt>
                <c:pt idx="7">
                  <c:v>0.16200000000000001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EF4-4AFF-B9A9-EC5D77FA2B12}"/>
            </c:ext>
          </c:extLst>
        </c:ser>
        <c:ser>
          <c:idx val="18"/>
          <c:order val="18"/>
          <c:tx>
            <c:strRef>
              <c:f>'Mine Modal'!$B$23</c:f>
              <c:strCache>
                <c:ptCount val="1"/>
                <c:pt idx="0">
                  <c:v>Apatito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'Mine Modal'!$C$2:$J$4</c15:sqref>
                  </c15:fullRef>
                  <c15:levelRef>
                    <c15:sqref>'Mine Modal'!$C$4:$J$4</c15:sqref>
                  </c15:levelRef>
                </c:ext>
              </c:extLst>
              <c:f>'Mine Modal'!$C$4:$J$4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'Mine Modal'!$C$23:$J$23</c:f>
              <c:numCache>
                <c:formatCode>General</c:formatCode>
                <c:ptCount val="8"/>
                <c:pt idx="0">
                  <c:v>3.9E-2</c:v>
                </c:pt>
                <c:pt idx="1">
                  <c:v>1.9E-2</c:v>
                </c:pt>
                <c:pt idx="2">
                  <c:v>2.8000000000000001E-2</c:v>
                </c:pt>
                <c:pt idx="3">
                  <c:v>0.17299999999999999</c:v>
                </c:pt>
                <c:pt idx="4">
                  <c:v>0.11700000000000001</c:v>
                </c:pt>
                <c:pt idx="5">
                  <c:v>1.2999999999999999E-2</c:v>
                </c:pt>
                <c:pt idx="6">
                  <c:v>4.8000000000000001E-2</c:v>
                </c:pt>
                <c:pt idx="7">
                  <c:v>5.2999999999999999E-2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EF4-4AFF-B9A9-EC5D77FA2B12}"/>
            </c:ext>
          </c:extLst>
        </c:ser>
        <c:ser>
          <c:idx val="19"/>
          <c:order val="19"/>
          <c:tx>
            <c:strRef>
              <c:f>'Mine Modal'!$B$24</c:f>
              <c:strCache>
                <c:ptCount val="1"/>
                <c:pt idx="0">
                  <c:v>Esfalerita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'Mine Modal'!$C$2:$J$4</c15:sqref>
                  </c15:fullRef>
                  <c15:levelRef>
                    <c15:sqref>'Mine Modal'!$C$4:$J$4</c15:sqref>
                  </c15:levelRef>
                </c:ext>
              </c:extLst>
              <c:f>'Mine Modal'!$C$4:$J$4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'Mine Modal'!$C$24:$J$24</c:f>
              <c:numCache>
                <c:formatCode>General</c:formatCode>
                <c:ptCount val="8"/>
                <c:pt idx="0">
                  <c:v>1.9E-2</c:v>
                </c:pt>
                <c:pt idx="1">
                  <c:v>0.12</c:v>
                </c:pt>
                <c:pt idx="2">
                  <c:v>1E-3</c:v>
                </c:pt>
                <c:pt idx="3">
                  <c:v>0</c:v>
                </c:pt>
                <c:pt idx="4">
                  <c:v>8.0000000000000002E-3</c:v>
                </c:pt>
                <c:pt idx="5">
                  <c:v>0.316</c:v>
                </c:pt>
                <c:pt idx="6">
                  <c:v>4.0000000000000001E-3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EEF4-4AFF-B9A9-EC5D77FA2B12}"/>
            </c:ext>
          </c:extLst>
        </c:ser>
        <c:ser>
          <c:idx val="20"/>
          <c:order val="20"/>
          <c:tx>
            <c:strRef>
              <c:f>'Mine Modal'!$B$25</c:f>
              <c:strCache>
                <c:ptCount val="1"/>
                <c:pt idx="0">
                  <c:v>Arcillas Cu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'Mine Modal'!$C$2:$J$4</c15:sqref>
                  </c15:fullRef>
                  <c15:levelRef>
                    <c15:sqref>'Mine Modal'!$C$4:$J$4</c15:sqref>
                  </c15:levelRef>
                </c:ext>
              </c:extLst>
              <c:f>'Mine Modal'!$C$4:$J$4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'Mine Modal'!$C$25:$J$25</c:f>
              <c:numCache>
                <c:formatCode>General</c:formatCode>
                <c:ptCount val="8"/>
                <c:pt idx="0">
                  <c:v>4.8000000000000001E-2</c:v>
                </c:pt>
                <c:pt idx="1">
                  <c:v>7.5999999999999998E-2</c:v>
                </c:pt>
                <c:pt idx="2">
                  <c:v>6.0999999999999999E-2</c:v>
                </c:pt>
                <c:pt idx="3">
                  <c:v>1.2E-2</c:v>
                </c:pt>
                <c:pt idx="4">
                  <c:v>5.0000000000000001E-3</c:v>
                </c:pt>
                <c:pt idx="5">
                  <c:v>0.115</c:v>
                </c:pt>
                <c:pt idx="6">
                  <c:v>8.4000000000000005E-2</c:v>
                </c:pt>
                <c:pt idx="7">
                  <c:v>1.6E-2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EF4-4AFF-B9A9-EC5D77FA2B12}"/>
            </c:ext>
          </c:extLst>
        </c:ser>
        <c:ser>
          <c:idx val="21"/>
          <c:order val="21"/>
          <c:tx>
            <c:strRef>
              <c:f>'Mine Modal'!$B$26</c:f>
              <c:strCache>
                <c:ptCount val="1"/>
                <c:pt idx="0">
                  <c:v>Feldespato K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'Mine Modal'!$C$2:$J$4</c15:sqref>
                  </c15:fullRef>
                  <c15:levelRef>
                    <c15:sqref>'Mine Modal'!$C$4:$J$4</c15:sqref>
                  </c15:levelRef>
                </c:ext>
              </c:extLst>
              <c:f>'Mine Modal'!$C$4:$J$4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'Mine Modal'!$C$26:$J$26</c:f>
              <c:numCache>
                <c:formatCode>General</c:formatCode>
                <c:ptCount val="8"/>
                <c:pt idx="0">
                  <c:v>4.3999999999999997E-2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0.03</c:v>
                </c:pt>
                <c:pt idx="4">
                  <c:v>2.5999999999999999E-2</c:v>
                </c:pt>
                <c:pt idx="5">
                  <c:v>3.2000000000000001E-2</c:v>
                </c:pt>
                <c:pt idx="6">
                  <c:v>1.2999999999999999E-2</c:v>
                </c:pt>
                <c:pt idx="7">
                  <c:v>4.2999999999999997E-2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EF4-4AFF-B9A9-EC5D77FA2B12}"/>
            </c:ext>
          </c:extLst>
        </c:ser>
        <c:ser>
          <c:idx val="22"/>
          <c:order val="22"/>
          <c:tx>
            <c:strRef>
              <c:f>'Mine Modal'!$B$27</c:f>
              <c:strCache>
                <c:ptCount val="1"/>
                <c:pt idx="0">
                  <c:v>Anfibol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'Mine Modal'!$C$2:$J$4</c15:sqref>
                  </c15:fullRef>
                  <c15:levelRef>
                    <c15:sqref>'Mine Modal'!$C$4:$J$4</c15:sqref>
                  </c15:levelRef>
                </c:ext>
              </c:extLst>
              <c:f>'Mine Modal'!$C$4:$J$4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'Mine Modal'!$C$27:$J$27</c:f>
              <c:numCache>
                <c:formatCode>General</c:formatCode>
                <c:ptCount val="8"/>
                <c:pt idx="0">
                  <c:v>0.03</c:v>
                </c:pt>
                <c:pt idx="1">
                  <c:v>1.4E-2</c:v>
                </c:pt>
                <c:pt idx="2">
                  <c:v>9.5000000000000001E-2</c:v>
                </c:pt>
                <c:pt idx="3">
                  <c:v>6.0000000000000001E-3</c:v>
                </c:pt>
                <c:pt idx="4">
                  <c:v>4.0000000000000001E-3</c:v>
                </c:pt>
                <c:pt idx="5">
                  <c:v>1E-3</c:v>
                </c:pt>
                <c:pt idx="6">
                  <c:v>1.4E-2</c:v>
                </c:pt>
                <c:pt idx="7">
                  <c:v>3.1E-2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EF4-4AFF-B9A9-EC5D77FA2B12}"/>
            </c:ext>
          </c:extLst>
        </c:ser>
        <c:ser>
          <c:idx val="23"/>
          <c:order val="23"/>
          <c:tx>
            <c:strRef>
              <c:f>'Mine Modal'!$B$28</c:f>
              <c:strCache>
                <c:ptCount val="1"/>
                <c:pt idx="0">
                  <c:v>Piroxeno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'Mine Modal'!$C$2:$J$4</c15:sqref>
                  </c15:fullRef>
                  <c15:levelRef>
                    <c15:sqref>'Mine Modal'!$C$4:$J$4</c15:sqref>
                  </c15:levelRef>
                </c:ext>
              </c:extLst>
              <c:f>'Mine Modal'!$C$4:$J$4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'Mine Modal'!$C$28:$J$28</c:f>
              <c:numCache>
                <c:formatCode>General</c:formatCode>
                <c:ptCount val="8"/>
                <c:pt idx="0">
                  <c:v>2.5999999999999999E-2</c:v>
                </c:pt>
                <c:pt idx="1">
                  <c:v>1.7999999999999999E-2</c:v>
                </c:pt>
                <c:pt idx="2">
                  <c:v>1.7999999999999999E-2</c:v>
                </c:pt>
                <c:pt idx="3">
                  <c:v>2.7E-2</c:v>
                </c:pt>
                <c:pt idx="4">
                  <c:v>1.7999999999999999E-2</c:v>
                </c:pt>
                <c:pt idx="5">
                  <c:v>6.0000000000000001E-3</c:v>
                </c:pt>
                <c:pt idx="6">
                  <c:v>1.0999999999999999E-2</c:v>
                </c:pt>
                <c:pt idx="7">
                  <c:v>4.4999999999999998E-2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EF4-4AFF-B9A9-EC5D77FA2B12}"/>
            </c:ext>
          </c:extLst>
        </c:ser>
        <c:ser>
          <c:idx val="24"/>
          <c:order val="24"/>
          <c:tx>
            <c:strRef>
              <c:f>'Mine Modal'!$B$29</c:f>
              <c:strCache>
                <c:ptCount val="1"/>
                <c:pt idx="0">
                  <c:v>Monazita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'Mine Modal'!$C$2:$J$4</c15:sqref>
                  </c15:fullRef>
                  <c15:levelRef>
                    <c15:sqref>'Mine Modal'!$C$4:$J$4</c15:sqref>
                  </c15:levelRef>
                </c:ext>
              </c:extLst>
              <c:f>'Mine Modal'!$C$4:$J$4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'Mine Modal'!$C$29:$J$29</c:f>
              <c:numCache>
                <c:formatCode>General</c:formatCode>
                <c:ptCount val="8"/>
                <c:pt idx="0">
                  <c:v>7.0000000000000001E-3</c:v>
                </c:pt>
                <c:pt idx="1">
                  <c:v>4.2000000000000003E-2</c:v>
                </c:pt>
                <c:pt idx="2">
                  <c:v>8.0000000000000002E-3</c:v>
                </c:pt>
                <c:pt idx="3">
                  <c:v>0.02</c:v>
                </c:pt>
                <c:pt idx="4">
                  <c:v>8.9999999999999993E-3</c:v>
                </c:pt>
                <c:pt idx="5">
                  <c:v>1.0999999999999999E-2</c:v>
                </c:pt>
                <c:pt idx="6">
                  <c:v>1E-3</c:v>
                </c:pt>
                <c:pt idx="7">
                  <c:v>1.0999999999999999E-2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F4-4AFF-B9A9-EC5D77FA2B12}"/>
            </c:ext>
          </c:extLst>
        </c:ser>
        <c:ser>
          <c:idx val="25"/>
          <c:order val="25"/>
          <c:tx>
            <c:strRef>
              <c:f>'Mine Modal'!$B$30</c:f>
              <c:strCache>
                <c:ptCount val="1"/>
                <c:pt idx="0">
                  <c:v>Limonita(Cu)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'Mine Modal'!$C$2:$J$4</c15:sqref>
                  </c15:fullRef>
                  <c15:levelRef>
                    <c15:sqref>'Mine Modal'!$C$4:$J$4</c15:sqref>
                  </c15:levelRef>
                </c:ext>
              </c:extLst>
              <c:f>'Mine Modal'!$C$4:$J$4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'Mine Modal'!$C$30:$J$30</c:f>
              <c:numCache>
                <c:formatCode>General</c:formatCode>
                <c:ptCount val="8"/>
                <c:pt idx="0">
                  <c:v>3.0000000000000001E-3</c:v>
                </c:pt>
                <c:pt idx="1">
                  <c:v>0.02</c:v>
                </c:pt>
                <c:pt idx="2">
                  <c:v>2.8000000000000001E-2</c:v>
                </c:pt>
                <c:pt idx="3">
                  <c:v>0</c:v>
                </c:pt>
                <c:pt idx="4">
                  <c:v>1E-3</c:v>
                </c:pt>
                <c:pt idx="5">
                  <c:v>1.2E-2</c:v>
                </c:pt>
                <c:pt idx="6">
                  <c:v>1.7999999999999999E-2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EF4-4AFF-B9A9-EC5D77FA2B12}"/>
            </c:ext>
          </c:extLst>
        </c:ser>
        <c:ser>
          <c:idx val="26"/>
          <c:order val="26"/>
          <c:tx>
            <c:strRef>
              <c:f>'Mine Modal'!$B$31</c:f>
              <c:strCache>
                <c:ptCount val="1"/>
                <c:pt idx="0">
                  <c:v>(Cu,Fe)OH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'Mine Modal'!$C$2:$J$4</c15:sqref>
                  </c15:fullRef>
                  <c15:levelRef>
                    <c15:sqref>'Mine Modal'!$C$4:$J$4</c15:sqref>
                  </c15:levelRef>
                </c:ext>
              </c:extLst>
              <c:f>'Mine Modal'!$C$4:$J$4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'Mine Modal'!$C$31:$J$31</c:f>
              <c:numCache>
                <c:formatCode>General</c:formatCode>
                <c:ptCount val="8"/>
                <c:pt idx="0">
                  <c:v>3.0000000000000001E-3</c:v>
                </c:pt>
                <c:pt idx="1">
                  <c:v>0.01</c:v>
                </c:pt>
                <c:pt idx="2">
                  <c:v>1.2999999999999999E-2</c:v>
                </c:pt>
                <c:pt idx="3">
                  <c:v>8.0000000000000002E-3</c:v>
                </c:pt>
                <c:pt idx="4">
                  <c:v>0</c:v>
                </c:pt>
                <c:pt idx="5">
                  <c:v>1.0999999999999999E-2</c:v>
                </c:pt>
                <c:pt idx="6">
                  <c:v>0.02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EF4-4AFF-B9A9-EC5D77FA2B12}"/>
            </c:ext>
          </c:extLst>
        </c:ser>
        <c:ser>
          <c:idx val="27"/>
          <c:order val="27"/>
          <c:tx>
            <c:strRef>
              <c:f>'Mine Modal'!$B$32</c:f>
              <c:strCache>
                <c:ptCount val="1"/>
                <c:pt idx="0">
                  <c:v>Anhidrita/Yeso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'Mine Modal'!$C$2:$J$4</c15:sqref>
                  </c15:fullRef>
                  <c15:levelRef>
                    <c15:sqref>'Mine Modal'!$C$4:$J$4</c15:sqref>
                  </c15:levelRef>
                </c:ext>
              </c:extLst>
              <c:f>'Mine Modal'!$C$4:$J$4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'Mine Modal'!$C$32:$J$32</c:f>
              <c:numCache>
                <c:formatCode>General</c:formatCode>
                <c:ptCount val="8"/>
                <c:pt idx="0">
                  <c:v>2.5000000000000001E-2</c:v>
                </c:pt>
                <c:pt idx="1">
                  <c:v>7.0000000000000001E-3</c:v>
                </c:pt>
                <c:pt idx="2">
                  <c:v>8.0000000000000002E-3</c:v>
                </c:pt>
                <c:pt idx="3">
                  <c:v>2E-3</c:v>
                </c:pt>
                <c:pt idx="4">
                  <c:v>4.0000000000000001E-3</c:v>
                </c:pt>
                <c:pt idx="5">
                  <c:v>6.0000000000000001E-3</c:v>
                </c:pt>
                <c:pt idx="6">
                  <c:v>8.9999999999999993E-3</c:v>
                </c:pt>
                <c:pt idx="7">
                  <c:v>5.0000000000000001E-3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EF4-4AFF-B9A9-EC5D77FA2B12}"/>
            </c:ext>
          </c:extLst>
        </c:ser>
        <c:ser>
          <c:idx val="28"/>
          <c:order val="28"/>
          <c:tx>
            <c:strRef>
              <c:f>'Mine Modal'!$B$33</c:f>
              <c:strCache>
                <c:ptCount val="1"/>
                <c:pt idx="0">
                  <c:v>Otros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'Mine Modal'!$C$2:$J$4</c15:sqref>
                  </c15:fullRef>
                  <c15:levelRef>
                    <c15:sqref>'Mine Modal'!$C$4:$J$4</c15:sqref>
                  </c15:levelRef>
                </c:ext>
              </c:extLst>
              <c:f>'Mine Modal'!$C$4:$J$4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'Mine Modal'!$C$33:$J$33</c:f>
              <c:numCache>
                <c:formatCode>General</c:formatCode>
                <c:ptCount val="8"/>
                <c:pt idx="0">
                  <c:v>2.7E-2</c:v>
                </c:pt>
                <c:pt idx="1">
                  <c:v>2.5000000000000001E-2</c:v>
                </c:pt>
                <c:pt idx="2">
                  <c:v>5.0000000000000001E-3</c:v>
                </c:pt>
                <c:pt idx="3">
                  <c:v>1.6E-2</c:v>
                </c:pt>
                <c:pt idx="4">
                  <c:v>3.6999999999999998E-2</c:v>
                </c:pt>
                <c:pt idx="5">
                  <c:v>2.1000000000000001E-2</c:v>
                </c:pt>
                <c:pt idx="6">
                  <c:v>2.9000000000000001E-2</c:v>
                </c:pt>
                <c:pt idx="7">
                  <c:v>2.3E-2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EF4-4AFF-B9A9-EC5D77FA2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08795104"/>
        <c:axId val="1208795584"/>
      </c:barChart>
      <c:catAx>
        <c:axId val="120879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08795584"/>
        <c:crosses val="autoZero"/>
        <c:auto val="1"/>
        <c:lblAlgn val="ctr"/>
        <c:lblOffset val="100"/>
        <c:noMultiLvlLbl val="0"/>
      </c:catAx>
      <c:valAx>
        <c:axId val="120879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Ma</a:t>
                </a:r>
                <a:r>
                  <a:rPr lang="es-CL" baseline="0"/>
                  <a:t>sa minieral (%)</a:t>
                </a: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08795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46213010553095E-2"/>
          <c:y val="0.82640305388781643"/>
          <c:w val="0.94248997522180955"/>
          <c:h val="0.173596946112183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Ocurrencia de Cu 01-09-25 &amp; 22-09-25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'Ocurrencia Cu '!$A$5</c:f>
              <c:strCache>
                <c:ptCount val="1"/>
                <c:pt idx="0">
                  <c:v>Calcopirita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'Ocurrencia Cu '!$B$2:$I$4</c15:sqref>
                  </c15:fullRef>
                  <c15:levelRef>
                    <c15:sqref>'Ocurrencia Cu '!$B$4:$I$4</c15:sqref>
                  </c15:levelRef>
                </c:ext>
              </c:extLst>
              <c:f>'Ocurrencia Cu '!$B$4:$I$4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'Ocurrencia Cu '!$B$5:$I$5</c:f>
              <c:numCache>
                <c:formatCode>0.00</c:formatCode>
                <c:ptCount val="8"/>
                <c:pt idx="0">
                  <c:v>57.218299999999999</c:v>
                </c:pt>
                <c:pt idx="1">
                  <c:v>50.232799999999997</c:v>
                </c:pt>
                <c:pt idx="2">
                  <c:v>74.106300000000005</c:v>
                </c:pt>
                <c:pt idx="3">
                  <c:v>79.567800000000005</c:v>
                </c:pt>
                <c:pt idx="4">
                  <c:v>58.822699999999998</c:v>
                </c:pt>
                <c:pt idx="5">
                  <c:v>49.229399999999998</c:v>
                </c:pt>
                <c:pt idx="6">
                  <c:v>64.317700000000002</c:v>
                </c:pt>
                <c:pt idx="7">
                  <c:v>55.264800000000001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92-496F-8FF8-CE86288CBE64}"/>
            </c:ext>
          </c:extLst>
        </c:ser>
        <c:ser>
          <c:idx val="1"/>
          <c:order val="1"/>
          <c:tx>
            <c:strRef>
              <c:f>'Ocurrencia Cu '!$A$6</c:f>
              <c:strCache>
                <c:ptCount val="1"/>
                <c:pt idx="0">
                  <c:v>Calcosina/digenita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C95-4064-8E45-6D7CF6ECCC67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'Ocurrencia Cu '!$B$2:$I$4</c15:sqref>
                  </c15:fullRef>
                  <c15:levelRef>
                    <c15:sqref>'Ocurrencia Cu '!$B$4:$I$4</c15:sqref>
                  </c15:levelRef>
                </c:ext>
              </c:extLst>
              <c:f>'Ocurrencia Cu '!$B$4:$I$4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'Ocurrencia Cu '!$B$6:$I$6</c:f>
              <c:numCache>
                <c:formatCode>0.00</c:formatCode>
                <c:ptCount val="8"/>
                <c:pt idx="0">
                  <c:v>24.210699999999999</c:v>
                </c:pt>
                <c:pt idx="1">
                  <c:v>34.2729</c:v>
                </c:pt>
                <c:pt idx="2">
                  <c:v>14.166</c:v>
                </c:pt>
                <c:pt idx="3">
                  <c:v>0</c:v>
                </c:pt>
                <c:pt idx="4">
                  <c:v>23.297799999999999</c:v>
                </c:pt>
                <c:pt idx="5">
                  <c:v>27.415500000000002</c:v>
                </c:pt>
                <c:pt idx="6">
                  <c:v>19.334099999999999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92-496F-8FF8-CE86288CBE64}"/>
            </c:ext>
          </c:extLst>
        </c:ser>
        <c:ser>
          <c:idx val="2"/>
          <c:order val="2"/>
          <c:tx>
            <c:strRef>
              <c:f>'Ocurrencia Cu '!$A$7</c:f>
              <c:strCache>
                <c:ptCount val="1"/>
                <c:pt idx="0">
                  <c:v>Bornita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'Ocurrencia Cu '!$B$2:$I$4</c15:sqref>
                  </c15:fullRef>
                  <c15:levelRef>
                    <c15:sqref>'Ocurrencia Cu '!$B$4:$I$4</c15:sqref>
                  </c15:levelRef>
                </c:ext>
              </c:extLst>
              <c:f>'Ocurrencia Cu '!$B$4:$I$4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'Ocurrencia Cu '!$B$7:$I$7</c:f>
              <c:numCache>
                <c:formatCode>0.00</c:formatCode>
                <c:ptCount val="8"/>
                <c:pt idx="0">
                  <c:v>8.5992999999999995</c:v>
                </c:pt>
                <c:pt idx="1">
                  <c:v>8.5422999999999991</c:v>
                </c:pt>
                <c:pt idx="2">
                  <c:v>5.1653000000000002</c:v>
                </c:pt>
                <c:pt idx="3">
                  <c:v>6.9081999999999999</c:v>
                </c:pt>
                <c:pt idx="4">
                  <c:v>5.3080999999999996</c:v>
                </c:pt>
                <c:pt idx="5">
                  <c:v>11.6046</c:v>
                </c:pt>
                <c:pt idx="6">
                  <c:v>8.8050999999999995</c:v>
                </c:pt>
                <c:pt idx="7">
                  <c:v>42.951799999999999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92-496F-8FF8-CE86288CBE64}"/>
            </c:ext>
          </c:extLst>
        </c:ser>
        <c:ser>
          <c:idx val="3"/>
          <c:order val="3"/>
          <c:tx>
            <c:strRef>
              <c:f>'Ocurrencia Cu '!$A$8</c:f>
              <c:strCache>
                <c:ptCount val="1"/>
                <c:pt idx="0">
                  <c:v>Covelina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'Ocurrencia Cu '!$B$2:$I$4</c15:sqref>
                  </c15:fullRef>
                  <c15:levelRef>
                    <c15:sqref>'Ocurrencia Cu '!$B$4:$I$4</c15:sqref>
                  </c15:levelRef>
                </c:ext>
              </c:extLst>
              <c:f>'Ocurrencia Cu '!$B$4:$I$4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'Ocurrencia Cu '!$B$8:$I$8</c:f>
              <c:numCache>
                <c:formatCode>0.00</c:formatCode>
                <c:ptCount val="8"/>
                <c:pt idx="0">
                  <c:v>7.5370999999999997</c:v>
                </c:pt>
                <c:pt idx="1">
                  <c:v>5.3602999999999996</c:v>
                </c:pt>
                <c:pt idx="2">
                  <c:v>3.9498000000000002</c:v>
                </c:pt>
                <c:pt idx="3">
                  <c:v>6.5835999999999997</c:v>
                </c:pt>
                <c:pt idx="4">
                  <c:v>10.9458</c:v>
                </c:pt>
                <c:pt idx="5">
                  <c:v>10.4222</c:v>
                </c:pt>
                <c:pt idx="6">
                  <c:v>6.2020999999999997</c:v>
                </c:pt>
                <c:pt idx="7">
                  <c:v>1.7833000000000001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92-496F-8FF8-CE86288CBE64}"/>
            </c:ext>
          </c:extLst>
        </c:ser>
        <c:ser>
          <c:idx val="4"/>
          <c:order val="4"/>
          <c:tx>
            <c:strRef>
              <c:f>'Ocurrencia Cu '!$A$9</c:f>
              <c:strCache>
                <c:ptCount val="1"/>
                <c:pt idx="0">
                  <c:v>Enargita/Tennantita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'Ocurrencia Cu '!$B$2:$I$4</c15:sqref>
                  </c15:fullRef>
                  <c15:levelRef>
                    <c15:sqref>'Ocurrencia Cu '!$B$4:$I$4</c15:sqref>
                  </c15:levelRef>
                </c:ext>
              </c:extLst>
              <c:f>'Ocurrencia Cu '!$B$4:$I$4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'Ocurrencia Cu '!$B$9:$I$9</c:f>
              <c:numCache>
                <c:formatCode>0.00</c:formatCode>
                <c:ptCount val="8"/>
                <c:pt idx="0">
                  <c:v>2.4207999999999998</c:v>
                </c:pt>
                <c:pt idx="1">
                  <c:v>1.5636000000000001</c:v>
                </c:pt>
                <c:pt idx="2">
                  <c:v>2.544</c:v>
                </c:pt>
                <c:pt idx="3">
                  <c:v>4.7670000000000003</c:v>
                </c:pt>
                <c:pt idx="4">
                  <c:v>1.6231</c:v>
                </c:pt>
                <c:pt idx="5">
                  <c:v>1.3115000000000001</c:v>
                </c:pt>
                <c:pt idx="6">
                  <c:v>1.2361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92-496F-8FF8-CE86288CBE64}"/>
            </c:ext>
          </c:extLst>
        </c:ser>
        <c:ser>
          <c:idx val="5"/>
          <c:order val="5"/>
          <c:tx>
            <c:strRef>
              <c:f>'Ocurrencia Cu '!$A$10</c:f>
              <c:strCache>
                <c:ptCount val="1"/>
                <c:pt idx="0">
                  <c:v>(Cu,Fe)OH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'Ocurrencia Cu '!$B$2:$I$4</c15:sqref>
                  </c15:fullRef>
                  <c15:levelRef>
                    <c15:sqref>'Ocurrencia Cu '!$B$4:$I$4</c15:sqref>
                  </c15:levelRef>
                </c:ext>
              </c:extLst>
              <c:f>'Ocurrencia Cu '!$B$4:$I$4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'Ocurrencia Cu '!$B$10:$I$10</c:f>
              <c:numCache>
                <c:formatCode>0.00</c:formatCode>
                <c:ptCount val="8"/>
                <c:pt idx="0">
                  <c:v>1.2500000000000001E-2</c:v>
                </c:pt>
                <c:pt idx="1">
                  <c:v>2.3099999999999999E-2</c:v>
                </c:pt>
                <c:pt idx="2">
                  <c:v>5.6599999999999998E-2</c:v>
                </c:pt>
                <c:pt idx="3">
                  <c:v>2.1734</c:v>
                </c:pt>
                <c:pt idx="4">
                  <c:v>0</c:v>
                </c:pt>
                <c:pt idx="5">
                  <c:v>1.5299999999999999E-2</c:v>
                </c:pt>
                <c:pt idx="6">
                  <c:v>9.2899999999999996E-2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92-496F-8FF8-CE86288CBE64}"/>
            </c:ext>
          </c:extLst>
        </c:ser>
        <c:ser>
          <c:idx val="6"/>
          <c:order val="6"/>
          <c:tx>
            <c:strRef>
              <c:f>'Ocurrencia Cu '!$A$11</c:f>
              <c:strCache>
                <c:ptCount val="1"/>
                <c:pt idx="0">
                  <c:v>Limonita(Cu)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'Ocurrencia Cu '!$B$2:$I$4</c15:sqref>
                  </c15:fullRef>
                  <c15:levelRef>
                    <c15:sqref>'Ocurrencia Cu '!$B$4:$I$4</c15:sqref>
                  </c15:levelRef>
                </c:ext>
              </c:extLst>
              <c:f>'Ocurrencia Cu '!$B$4:$I$4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'Ocurrencia Cu '!$B$11:$I$11</c:f>
              <c:numCache>
                <c:formatCode>0.00</c:formatCode>
                <c:ptCount val="8"/>
                <c:pt idx="0">
                  <c:v>1.1999999999999999E-3</c:v>
                </c:pt>
                <c:pt idx="1">
                  <c:v>3.5999999999999999E-3</c:v>
                </c:pt>
                <c:pt idx="2">
                  <c:v>1.2E-2</c:v>
                </c:pt>
                <c:pt idx="3">
                  <c:v>0</c:v>
                </c:pt>
                <c:pt idx="4">
                  <c:v>1.1000000000000001E-3</c:v>
                </c:pt>
                <c:pt idx="5">
                  <c:v>1.5E-3</c:v>
                </c:pt>
                <c:pt idx="6">
                  <c:v>6.3E-3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92-496F-8FF8-CE86288CBE64}"/>
            </c:ext>
          </c:extLst>
        </c:ser>
        <c:ser>
          <c:idx val="7"/>
          <c:order val="7"/>
          <c:tx>
            <c:strRef>
              <c:f>'Ocurrencia Cu '!$A$12</c:f>
              <c:strCache>
                <c:ptCount val="1"/>
                <c:pt idx="0">
                  <c:v>Otros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'Ocurrencia Cu '!$B$2:$I$4</c15:sqref>
                  </c15:fullRef>
                  <c15:levelRef>
                    <c15:sqref>'Ocurrencia Cu '!$B$4:$I$4</c15:sqref>
                  </c15:levelRef>
                </c:ext>
              </c:extLst>
              <c:f>'Ocurrencia Cu '!$B$4:$I$4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'Ocurrencia Cu '!$B$12:$I$12</c:f>
              <c:numCache>
                <c:formatCode>0.00</c:formatCode>
                <c:ptCount val="8"/>
                <c:pt idx="0">
                  <c:v>0</c:v>
                </c:pt>
                <c:pt idx="1">
                  <c:v>1.2999999999999999E-3</c:v>
                </c:pt>
                <c:pt idx="2">
                  <c:v>0</c:v>
                </c:pt>
                <c:pt idx="3">
                  <c:v>0</c:v>
                </c:pt>
                <c:pt idx="4">
                  <c:v>1.2999999999999999E-3</c:v>
                </c:pt>
                <c:pt idx="5">
                  <c:v>0</c:v>
                </c:pt>
                <c:pt idx="6">
                  <c:v>5.7000000000000002E-3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F92-496F-8FF8-CE86288CBE6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14826720"/>
        <c:axId val="214820480"/>
      </c:barChart>
      <c:catAx>
        <c:axId val="21482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14820480"/>
        <c:crosses val="autoZero"/>
        <c:auto val="1"/>
        <c:lblAlgn val="ctr"/>
        <c:lblOffset val="100"/>
        <c:noMultiLvlLbl val="0"/>
      </c:catAx>
      <c:valAx>
        <c:axId val="21482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%</a:t>
                </a:r>
                <a:r>
                  <a:rPr lang="es-CL" baseline="0"/>
                  <a:t> Especie Mineral</a:t>
                </a: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1482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6.8377693717167787E-2"/>
          <c:y val="0.10215622852785057"/>
          <c:w val="0.91033541707141474"/>
          <c:h val="0.66674492596591639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'Ocurrencia Cu '!$A$21</c:f>
              <c:strCache>
                <c:ptCount val="1"/>
                <c:pt idx="0">
                  <c:v>Pirita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'Ocurrencia Cu '!$B$18:$I$20</c15:sqref>
                  </c15:fullRef>
                  <c15:levelRef>
                    <c15:sqref>'Ocurrencia Cu '!$B$20:$I$20</c15:sqref>
                  </c15:levelRef>
                </c:ext>
              </c:extLst>
              <c:f>'Ocurrencia Cu '!$B$20:$I$20</c:f>
              <c:strCache>
                <c:ptCount val="8"/>
                <c:pt idx="0">
                  <c:v>Alim </c:v>
                </c:pt>
                <c:pt idx="1">
                  <c:v>Conc </c:v>
                </c:pt>
                <c:pt idx="2">
                  <c:v>Conc</c:v>
                </c:pt>
                <c:pt idx="3">
                  <c:v>Rel </c:v>
                </c:pt>
                <c:pt idx="4">
                  <c:v>Alim </c:v>
                </c:pt>
                <c:pt idx="5">
                  <c:v>Conc </c:v>
                </c:pt>
                <c:pt idx="6">
                  <c:v>Conc</c:v>
                </c:pt>
                <c:pt idx="7">
                  <c:v>Rel </c:v>
                </c:pt>
              </c:strCache>
            </c:strRef>
          </c:cat>
          <c:val>
            <c:numRef>
              <c:f>'Ocurrencia Cu '!$B$21:$I$21</c:f>
              <c:numCache>
                <c:formatCode>0.00</c:formatCode>
                <c:ptCount val="8"/>
                <c:pt idx="0">
                  <c:v>55.246600000000001</c:v>
                </c:pt>
                <c:pt idx="1">
                  <c:v>58.274799999999999</c:v>
                </c:pt>
                <c:pt idx="2">
                  <c:v>62.354700000000001</c:v>
                </c:pt>
                <c:pt idx="3">
                  <c:v>86.108099999999993</c:v>
                </c:pt>
                <c:pt idx="4">
                  <c:v>70.907600000000002</c:v>
                </c:pt>
                <c:pt idx="5">
                  <c:v>53.577500000000001</c:v>
                </c:pt>
                <c:pt idx="6">
                  <c:v>64.249799999999993</c:v>
                </c:pt>
                <c:pt idx="7">
                  <c:v>86.547399999999996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7C-4176-9263-446F3F24100B}"/>
            </c:ext>
          </c:extLst>
        </c:ser>
        <c:ser>
          <c:idx val="1"/>
          <c:order val="1"/>
          <c:tx>
            <c:strRef>
              <c:f>'Ocurrencia Cu '!$A$22</c:f>
              <c:strCache>
                <c:ptCount val="1"/>
                <c:pt idx="0">
                  <c:v>Calcopirita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'Ocurrencia Cu '!$B$18:$I$20</c15:sqref>
                  </c15:fullRef>
                  <c15:levelRef>
                    <c15:sqref>'Ocurrencia Cu '!$B$20:$I$20</c15:sqref>
                  </c15:levelRef>
                </c:ext>
              </c:extLst>
              <c:f>'Ocurrencia Cu '!$B$20:$I$20</c:f>
              <c:strCache>
                <c:ptCount val="8"/>
                <c:pt idx="0">
                  <c:v>Alim </c:v>
                </c:pt>
                <c:pt idx="1">
                  <c:v>Conc </c:v>
                </c:pt>
                <c:pt idx="2">
                  <c:v>Conc</c:v>
                </c:pt>
                <c:pt idx="3">
                  <c:v>Rel </c:v>
                </c:pt>
                <c:pt idx="4">
                  <c:v>Alim </c:v>
                </c:pt>
                <c:pt idx="5">
                  <c:v>Conc </c:v>
                </c:pt>
                <c:pt idx="6">
                  <c:v>Conc</c:v>
                </c:pt>
                <c:pt idx="7">
                  <c:v>Rel </c:v>
                </c:pt>
              </c:strCache>
            </c:strRef>
          </c:cat>
          <c:val>
            <c:numRef>
              <c:f>'Ocurrencia Cu '!$B$22:$I$22</c:f>
              <c:numCache>
                <c:formatCode>0.00</c:formatCode>
                <c:ptCount val="8"/>
                <c:pt idx="0">
                  <c:v>37.776400000000002</c:v>
                </c:pt>
                <c:pt idx="1">
                  <c:v>39.0608</c:v>
                </c:pt>
                <c:pt idx="2">
                  <c:v>34.511800000000001</c:v>
                </c:pt>
                <c:pt idx="3">
                  <c:v>2.8227000000000002</c:v>
                </c:pt>
                <c:pt idx="4">
                  <c:v>22.906400000000001</c:v>
                </c:pt>
                <c:pt idx="5">
                  <c:v>43.049300000000002</c:v>
                </c:pt>
                <c:pt idx="6">
                  <c:v>31.077000000000002</c:v>
                </c:pt>
                <c:pt idx="7">
                  <c:v>0.7571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7C-4176-9263-446F3F24100B}"/>
            </c:ext>
          </c:extLst>
        </c:ser>
        <c:ser>
          <c:idx val="2"/>
          <c:order val="2"/>
          <c:tx>
            <c:strRef>
              <c:f>'Ocurrencia Cu '!$A$23</c:f>
              <c:strCache>
                <c:ptCount val="1"/>
                <c:pt idx="0">
                  <c:v>Clorita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'Ocurrencia Cu '!$B$18:$I$20</c15:sqref>
                  </c15:fullRef>
                  <c15:levelRef>
                    <c15:sqref>'Ocurrencia Cu '!$B$20:$I$20</c15:sqref>
                  </c15:levelRef>
                </c:ext>
              </c:extLst>
              <c:f>'Ocurrencia Cu '!$B$20:$I$20</c:f>
              <c:strCache>
                <c:ptCount val="8"/>
                <c:pt idx="0">
                  <c:v>Alim </c:v>
                </c:pt>
                <c:pt idx="1">
                  <c:v>Conc </c:v>
                </c:pt>
                <c:pt idx="2">
                  <c:v>Conc</c:v>
                </c:pt>
                <c:pt idx="3">
                  <c:v>Rel </c:v>
                </c:pt>
                <c:pt idx="4">
                  <c:v>Alim </c:v>
                </c:pt>
                <c:pt idx="5">
                  <c:v>Conc </c:v>
                </c:pt>
                <c:pt idx="6">
                  <c:v>Conc</c:v>
                </c:pt>
                <c:pt idx="7">
                  <c:v>Rel </c:v>
                </c:pt>
              </c:strCache>
            </c:strRef>
          </c:cat>
          <c:val>
            <c:numRef>
              <c:f>'Ocurrencia Cu '!$B$23:$I$23</c:f>
              <c:numCache>
                <c:formatCode>0.00</c:formatCode>
                <c:ptCount val="8"/>
                <c:pt idx="0">
                  <c:v>2.8605</c:v>
                </c:pt>
                <c:pt idx="1">
                  <c:v>0.86429999999999996</c:v>
                </c:pt>
                <c:pt idx="2">
                  <c:v>1.3994</c:v>
                </c:pt>
                <c:pt idx="3">
                  <c:v>7.0797999999999996</c:v>
                </c:pt>
                <c:pt idx="4">
                  <c:v>3.0213999999999999</c:v>
                </c:pt>
                <c:pt idx="5">
                  <c:v>0.48549999999999999</c:v>
                </c:pt>
                <c:pt idx="6">
                  <c:v>1.22</c:v>
                </c:pt>
                <c:pt idx="7">
                  <c:v>6.6795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7C-4176-9263-446F3F24100B}"/>
            </c:ext>
          </c:extLst>
        </c:ser>
        <c:ser>
          <c:idx val="3"/>
          <c:order val="3"/>
          <c:tx>
            <c:strRef>
              <c:f>'Ocurrencia Cu '!$A$24</c:f>
              <c:strCache>
                <c:ptCount val="1"/>
                <c:pt idx="0">
                  <c:v>Hematita/Magnetita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'Ocurrencia Cu '!$B$18:$I$20</c15:sqref>
                  </c15:fullRef>
                  <c15:levelRef>
                    <c15:sqref>'Ocurrencia Cu '!$B$20:$I$20</c15:sqref>
                  </c15:levelRef>
                </c:ext>
              </c:extLst>
              <c:f>'Ocurrencia Cu '!$B$20:$I$20</c:f>
              <c:strCache>
                <c:ptCount val="8"/>
                <c:pt idx="0">
                  <c:v>Alim </c:v>
                </c:pt>
                <c:pt idx="1">
                  <c:v>Conc </c:v>
                </c:pt>
                <c:pt idx="2">
                  <c:v>Conc</c:v>
                </c:pt>
                <c:pt idx="3">
                  <c:v>Rel </c:v>
                </c:pt>
                <c:pt idx="4">
                  <c:v>Alim </c:v>
                </c:pt>
                <c:pt idx="5">
                  <c:v>Conc </c:v>
                </c:pt>
                <c:pt idx="6">
                  <c:v>Conc</c:v>
                </c:pt>
                <c:pt idx="7">
                  <c:v>Rel </c:v>
                </c:pt>
              </c:strCache>
            </c:strRef>
          </c:cat>
          <c:val>
            <c:numRef>
              <c:f>'Ocurrencia Cu '!$B$24:$I$24</c:f>
              <c:numCache>
                <c:formatCode>0.00</c:formatCode>
                <c:ptCount val="8"/>
                <c:pt idx="0">
                  <c:v>2.1311</c:v>
                </c:pt>
                <c:pt idx="1">
                  <c:v>1.52E-2</c:v>
                </c:pt>
                <c:pt idx="2">
                  <c:v>0.56699999999999995</c:v>
                </c:pt>
                <c:pt idx="3">
                  <c:v>3.1631</c:v>
                </c:pt>
                <c:pt idx="4">
                  <c:v>2.0324</c:v>
                </c:pt>
                <c:pt idx="5">
                  <c:v>0.3574</c:v>
                </c:pt>
                <c:pt idx="6">
                  <c:v>2.1278999999999999</c:v>
                </c:pt>
                <c:pt idx="7">
                  <c:v>3.4592000000000001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7C-4176-9263-446F3F24100B}"/>
            </c:ext>
          </c:extLst>
        </c:ser>
        <c:ser>
          <c:idx val="4"/>
          <c:order val="4"/>
          <c:tx>
            <c:strRef>
              <c:f>'Ocurrencia Cu '!$A$25</c:f>
              <c:strCache>
                <c:ptCount val="1"/>
                <c:pt idx="0">
                  <c:v>Bornita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'Ocurrencia Cu '!$B$18:$I$20</c15:sqref>
                  </c15:fullRef>
                  <c15:levelRef>
                    <c15:sqref>'Ocurrencia Cu '!$B$20:$I$20</c15:sqref>
                  </c15:levelRef>
                </c:ext>
              </c:extLst>
              <c:f>'Ocurrencia Cu '!$B$20:$I$20</c:f>
              <c:strCache>
                <c:ptCount val="8"/>
                <c:pt idx="0">
                  <c:v>Alim </c:v>
                </c:pt>
                <c:pt idx="1">
                  <c:v>Conc </c:v>
                </c:pt>
                <c:pt idx="2">
                  <c:v>Conc</c:v>
                </c:pt>
                <c:pt idx="3">
                  <c:v>Rel </c:v>
                </c:pt>
                <c:pt idx="4">
                  <c:v>Alim </c:v>
                </c:pt>
                <c:pt idx="5">
                  <c:v>Conc </c:v>
                </c:pt>
                <c:pt idx="6">
                  <c:v>Conc</c:v>
                </c:pt>
                <c:pt idx="7">
                  <c:v>Rel </c:v>
                </c:pt>
              </c:strCache>
            </c:strRef>
          </c:cat>
          <c:val>
            <c:numRef>
              <c:f>'Ocurrencia Cu '!$B$25:$I$25</c:f>
              <c:numCache>
                <c:formatCode>0.00</c:formatCode>
                <c:ptCount val="8"/>
                <c:pt idx="0">
                  <c:v>1.1474</c:v>
                </c:pt>
                <c:pt idx="1">
                  <c:v>1.3287</c:v>
                </c:pt>
                <c:pt idx="2">
                  <c:v>0.48299999999999998</c:v>
                </c:pt>
                <c:pt idx="3">
                  <c:v>4.9000000000000002E-2</c:v>
                </c:pt>
                <c:pt idx="4">
                  <c:v>0.41389999999999999</c:v>
                </c:pt>
                <c:pt idx="5">
                  <c:v>2.0331000000000001</c:v>
                </c:pt>
                <c:pt idx="6">
                  <c:v>0.85429999999999995</c:v>
                </c:pt>
                <c:pt idx="7">
                  <c:v>0.1186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7C-4176-9263-446F3F24100B}"/>
            </c:ext>
          </c:extLst>
        </c:ser>
        <c:ser>
          <c:idx val="5"/>
          <c:order val="5"/>
          <c:tx>
            <c:strRef>
              <c:f>'Ocurrencia Cu '!$A$26</c:f>
              <c:strCache>
                <c:ptCount val="1"/>
                <c:pt idx="0">
                  <c:v>Ilmenita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'Ocurrencia Cu '!$B$18:$I$20</c15:sqref>
                  </c15:fullRef>
                  <c15:levelRef>
                    <c15:sqref>'Ocurrencia Cu '!$B$20:$I$20</c15:sqref>
                  </c15:levelRef>
                </c:ext>
              </c:extLst>
              <c:f>'Ocurrencia Cu '!$B$20:$I$20</c:f>
              <c:strCache>
                <c:ptCount val="8"/>
                <c:pt idx="0">
                  <c:v>Alim </c:v>
                </c:pt>
                <c:pt idx="1">
                  <c:v>Conc </c:v>
                </c:pt>
                <c:pt idx="2">
                  <c:v>Conc</c:v>
                </c:pt>
                <c:pt idx="3">
                  <c:v>Rel </c:v>
                </c:pt>
                <c:pt idx="4">
                  <c:v>Alim </c:v>
                </c:pt>
                <c:pt idx="5">
                  <c:v>Conc </c:v>
                </c:pt>
                <c:pt idx="6">
                  <c:v>Conc</c:v>
                </c:pt>
                <c:pt idx="7">
                  <c:v>Rel </c:v>
                </c:pt>
              </c:strCache>
            </c:strRef>
          </c:cat>
          <c:val>
            <c:numRef>
              <c:f>'Ocurrencia Cu '!$B$26:$I$26</c:f>
              <c:numCache>
                <c:formatCode>0.00</c:formatCode>
                <c:ptCount val="8"/>
                <c:pt idx="0">
                  <c:v>0.37119999999999997</c:v>
                </c:pt>
                <c:pt idx="1">
                  <c:v>6.4600000000000005E-2</c:v>
                </c:pt>
                <c:pt idx="2">
                  <c:v>0.18290000000000001</c:v>
                </c:pt>
                <c:pt idx="3">
                  <c:v>0.30009999999999998</c:v>
                </c:pt>
                <c:pt idx="4">
                  <c:v>0.40479999999999999</c:v>
                </c:pt>
                <c:pt idx="5">
                  <c:v>1.26E-2</c:v>
                </c:pt>
                <c:pt idx="6">
                  <c:v>0.1714</c:v>
                </c:pt>
                <c:pt idx="7">
                  <c:v>1.7109000000000001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E7C-4176-9263-446F3F24100B}"/>
            </c:ext>
          </c:extLst>
        </c:ser>
        <c:ser>
          <c:idx val="6"/>
          <c:order val="6"/>
          <c:tx>
            <c:strRef>
              <c:f>'Ocurrencia Cu '!$A$27</c:f>
              <c:strCache>
                <c:ptCount val="1"/>
                <c:pt idx="0">
                  <c:v>Enargita/Tennantita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'Ocurrencia Cu '!$B$18:$I$20</c15:sqref>
                  </c15:fullRef>
                  <c15:levelRef>
                    <c15:sqref>'Ocurrencia Cu '!$B$20:$I$20</c15:sqref>
                  </c15:levelRef>
                </c:ext>
              </c:extLst>
              <c:f>'Ocurrencia Cu '!$B$20:$I$20</c:f>
              <c:strCache>
                <c:ptCount val="8"/>
                <c:pt idx="0">
                  <c:v>Alim </c:v>
                </c:pt>
                <c:pt idx="1">
                  <c:v>Conc </c:v>
                </c:pt>
                <c:pt idx="2">
                  <c:v>Conc</c:v>
                </c:pt>
                <c:pt idx="3">
                  <c:v>Rel </c:v>
                </c:pt>
                <c:pt idx="4">
                  <c:v>Alim </c:v>
                </c:pt>
                <c:pt idx="5">
                  <c:v>Conc </c:v>
                </c:pt>
                <c:pt idx="6">
                  <c:v>Conc</c:v>
                </c:pt>
                <c:pt idx="7">
                  <c:v>Rel </c:v>
                </c:pt>
              </c:strCache>
            </c:strRef>
          </c:cat>
          <c:val>
            <c:numRef>
              <c:f>'Ocurrencia Cu '!$B$27:$I$27</c:f>
              <c:numCache>
                <c:formatCode>0.00</c:formatCode>
                <c:ptCount val="8"/>
                <c:pt idx="0">
                  <c:v>0.28349999999999997</c:v>
                </c:pt>
                <c:pt idx="1">
                  <c:v>0.2228</c:v>
                </c:pt>
                <c:pt idx="2">
                  <c:v>0.11269999999999999</c:v>
                </c:pt>
                <c:pt idx="3">
                  <c:v>5.7099999999999998E-2</c:v>
                </c:pt>
                <c:pt idx="4">
                  <c:v>6.9099999999999995E-2</c:v>
                </c:pt>
                <c:pt idx="5">
                  <c:v>0.34520000000000001</c:v>
                </c:pt>
                <c:pt idx="6">
                  <c:v>0.13450000000000001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E7C-4176-9263-446F3F24100B}"/>
            </c:ext>
          </c:extLst>
        </c:ser>
        <c:ser>
          <c:idx val="7"/>
          <c:order val="7"/>
          <c:tx>
            <c:strRef>
              <c:f>'Ocurrencia Cu '!$A$28</c:f>
              <c:strCache>
                <c:ptCount val="1"/>
                <c:pt idx="0">
                  <c:v>Biotita/flogopita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'Ocurrencia Cu '!$B$18:$I$20</c15:sqref>
                  </c15:fullRef>
                  <c15:levelRef>
                    <c15:sqref>'Ocurrencia Cu '!$B$20:$I$20</c15:sqref>
                  </c15:levelRef>
                </c:ext>
              </c:extLst>
              <c:f>'Ocurrencia Cu '!$B$20:$I$20</c:f>
              <c:strCache>
                <c:ptCount val="8"/>
                <c:pt idx="0">
                  <c:v>Alim </c:v>
                </c:pt>
                <c:pt idx="1">
                  <c:v>Conc </c:v>
                </c:pt>
                <c:pt idx="2">
                  <c:v>Conc</c:v>
                </c:pt>
                <c:pt idx="3">
                  <c:v>Rel </c:v>
                </c:pt>
                <c:pt idx="4">
                  <c:v>Alim </c:v>
                </c:pt>
                <c:pt idx="5">
                  <c:v>Conc </c:v>
                </c:pt>
                <c:pt idx="6">
                  <c:v>Conc</c:v>
                </c:pt>
                <c:pt idx="7">
                  <c:v>Rel </c:v>
                </c:pt>
              </c:strCache>
            </c:strRef>
          </c:cat>
          <c:val>
            <c:numRef>
              <c:f>'Ocurrencia Cu '!$B$28:$I$28</c:f>
              <c:numCache>
                <c:formatCode>0.00</c:formatCode>
                <c:ptCount val="8"/>
                <c:pt idx="0">
                  <c:v>7.1199999999999999E-2</c:v>
                </c:pt>
                <c:pt idx="1">
                  <c:v>3.2599999999999997E-2</c:v>
                </c:pt>
                <c:pt idx="2">
                  <c:v>8.3299999999999999E-2</c:v>
                </c:pt>
                <c:pt idx="3">
                  <c:v>0.2235</c:v>
                </c:pt>
                <c:pt idx="4">
                  <c:v>0.1246</c:v>
                </c:pt>
                <c:pt idx="5">
                  <c:v>4.4600000000000001E-2</c:v>
                </c:pt>
                <c:pt idx="6">
                  <c:v>1.9599999999999999E-2</c:v>
                </c:pt>
                <c:pt idx="7">
                  <c:v>0.35239999999999999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E7C-4176-9263-446F3F24100B}"/>
            </c:ext>
          </c:extLst>
        </c:ser>
        <c:ser>
          <c:idx val="8"/>
          <c:order val="8"/>
          <c:tx>
            <c:strRef>
              <c:f>'Ocurrencia Cu '!$A$29</c:f>
              <c:strCache>
                <c:ptCount val="1"/>
                <c:pt idx="0">
                  <c:v>Anfibol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'Ocurrencia Cu '!$B$18:$I$20</c15:sqref>
                  </c15:fullRef>
                  <c15:levelRef>
                    <c15:sqref>'Ocurrencia Cu '!$B$20:$I$20</c15:sqref>
                  </c15:levelRef>
                </c:ext>
              </c:extLst>
              <c:f>'Ocurrencia Cu '!$B$20:$I$20</c:f>
              <c:strCache>
                <c:ptCount val="8"/>
                <c:pt idx="0">
                  <c:v>Alim </c:v>
                </c:pt>
                <c:pt idx="1">
                  <c:v>Conc </c:v>
                </c:pt>
                <c:pt idx="2">
                  <c:v>Conc</c:v>
                </c:pt>
                <c:pt idx="3">
                  <c:v>Rel </c:v>
                </c:pt>
                <c:pt idx="4">
                  <c:v>Alim </c:v>
                </c:pt>
                <c:pt idx="5">
                  <c:v>Conc </c:v>
                </c:pt>
                <c:pt idx="6">
                  <c:v>Conc</c:v>
                </c:pt>
                <c:pt idx="7">
                  <c:v>Rel </c:v>
                </c:pt>
              </c:strCache>
            </c:strRef>
          </c:cat>
          <c:val>
            <c:numRef>
              <c:f>'Ocurrencia Cu '!$B$29:$I$29</c:f>
              <c:numCache>
                <c:formatCode>0.00</c:formatCode>
                <c:ptCount val="8"/>
                <c:pt idx="0">
                  <c:v>2.7E-2</c:v>
                </c:pt>
                <c:pt idx="1">
                  <c:v>1.5599999999999999E-2</c:v>
                </c:pt>
                <c:pt idx="2">
                  <c:v>0.15959999999999999</c:v>
                </c:pt>
                <c:pt idx="3">
                  <c:v>3.78E-2</c:v>
                </c:pt>
                <c:pt idx="4">
                  <c:v>3.3999999999999998E-3</c:v>
                </c:pt>
                <c:pt idx="5">
                  <c:v>1.6000000000000001E-3</c:v>
                </c:pt>
                <c:pt idx="6">
                  <c:v>1.5599999999999999E-2</c:v>
                </c:pt>
                <c:pt idx="7">
                  <c:v>0.21229999999999999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E7C-4176-9263-446F3F24100B}"/>
            </c:ext>
          </c:extLst>
        </c:ser>
        <c:ser>
          <c:idx val="9"/>
          <c:order val="9"/>
          <c:tx>
            <c:strRef>
              <c:f>'Ocurrencia Cu '!$A$30</c:f>
              <c:strCache>
                <c:ptCount val="1"/>
                <c:pt idx="0">
                  <c:v>Limonita(Cu)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'Ocurrencia Cu '!$B$18:$I$20</c15:sqref>
                  </c15:fullRef>
                  <c15:levelRef>
                    <c15:sqref>'Ocurrencia Cu '!$B$20:$I$20</c15:sqref>
                  </c15:levelRef>
                </c:ext>
              </c:extLst>
              <c:f>'Ocurrencia Cu '!$B$20:$I$20</c:f>
              <c:strCache>
                <c:ptCount val="8"/>
                <c:pt idx="0">
                  <c:v>Alim </c:v>
                </c:pt>
                <c:pt idx="1">
                  <c:v>Conc </c:v>
                </c:pt>
                <c:pt idx="2">
                  <c:v>Conc</c:v>
                </c:pt>
                <c:pt idx="3">
                  <c:v>Rel </c:v>
                </c:pt>
                <c:pt idx="4">
                  <c:v>Alim </c:v>
                </c:pt>
                <c:pt idx="5">
                  <c:v>Conc </c:v>
                </c:pt>
                <c:pt idx="6">
                  <c:v>Conc</c:v>
                </c:pt>
                <c:pt idx="7">
                  <c:v>Rel </c:v>
                </c:pt>
              </c:strCache>
            </c:strRef>
          </c:cat>
          <c:val>
            <c:numRef>
              <c:f>'Ocurrencia Cu '!$B$30:$I$30</c:f>
              <c:numCache>
                <c:formatCode>0.00</c:formatCode>
                <c:ptCount val="8"/>
                <c:pt idx="0">
                  <c:v>1.6E-2</c:v>
                </c:pt>
                <c:pt idx="1">
                  <c:v>5.6300000000000003E-2</c:v>
                </c:pt>
                <c:pt idx="2">
                  <c:v>0.1109</c:v>
                </c:pt>
                <c:pt idx="3">
                  <c:v>0</c:v>
                </c:pt>
                <c:pt idx="4">
                  <c:v>8.3999999999999995E-3</c:v>
                </c:pt>
                <c:pt idx="5">
                  <c:v>2.6499999999999999E-2</c:v>
                </c:pt>
                <c:pt idx="6">
                  <c:v>6.0199999999999997E-2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E7C-4176-9263-446F3F24100B}"/>
            </c:ext>
          </c:extLst>
        </c:ser>
        <c:ser>
          <c:idx val="10"/>
          <c:order val="10"/>
          <c:tx>
            <c:strRef>
              <c:f>'Ocurrencia Cu '!$A$31</c:f>
              <c:strCache>
                <c:ptCount val="1"/>
                <c:pt idx="0">
                  <c:v>Titanomagnetita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'Ocurrencia Cu '!$B$18:$I$20</c15:sqref>
                  </c15:fullRef>
                  <c15:levelRef>
                    <c15:sqref>'Ocurrencia Cu '!$B$20:$I$20</c15:sqref>
                  </c15:levelRef>
                </c:ext>
              </c:extLst>
              <c:f>'Ocurrencia Cu '!$B$20:$I$20</c:f>
              <c:strCache>
                <c:ptCount val="8"/>
                <c:pt idx="0">
                  <c:v>Alim </c:v>
                </c:pt>
                <c:pt idx="1">
                  <c:v>Conc </c:v>
                </c:pt>
                <c:pt idx="2">
                  <c:v>Conc</c:v>
                </c:pt>
                <c:pt idx="3">
                  <c:v>Rel </c:v>
                </c:pt>
                <c:pt idx="4">
                  <c:v>Alim </c:v>
                </c:pt>
                <c:pt idx="5">
                  <c:v>Conc </c:v>
                </c:pt>
                <c:pt idx="6">
                  <c:v>Conc</c:v>
                </c:pt>
                <c:pt idx="7">
                  <c:v>Rel </c:v>
                </c:pt>
              </c:strCache>
            </c:strRef>
          </c:cat>
          <c:val>
            <c:numRef>
              <c:f>'Ocurrencia Cu '!$B$31:$I$31</c:f>
              <c:numCache>
                <c:formatCode>0.00</c:formatCode>
                <c:ptCount val="8"/>
                <c:pt idx="0">
                  <c:v>4.4999999999999997E-3</c:v>
                </c:pt>
                <c:pt idx="1">
                  <c:v>0</c:v>
                </c:pt>
                <c:pt idx="2">
                  <c:v>0</c:v>
                </c:pt>
                <c:pt idx="3">
                  <c:v>0.13270000000000001</c:v>
                </c:pt>
                <c:pt idx="4">
                  <c:v>8.4199999999999997E-2</c:v>
                </c:pt>
                <c:pt idx="5">
                  <c:v>0</c:v>
                </c:pt>
                <c:pt idx="6">
                  <c:v>1.5800000000000002E-2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E7C-4176-9263-446F3F24100B}"/>
            </c:ext>
          </c:extLst>
        </c:ser>
        <c:ser>
          <c:idx val="11"/>
          <c:order val="11"/>
          <c:tx>
            <c:strRef>
              <c:f>'Ocurrencia Cu '!$A$32</c:f>
              <c:strCache>
                <c:ptCount val="1"/>
                <c:pt idx="0">
                  <c:v>Arcillas Al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'Ocurrencia Cu '!$B$18:$I$20</c15:sqref>
                  </c15:fullRef>
                  <c15:levelRef>
                    <c15:sqref>'Ocurrencia Cu '!$B$20:$I$20</c15:sqref>
                  </c15:levelRef>
                </c:ext>
              </c:extLst>
              <c:f>'Ocurrencia Cu '!$B$20:$I$20</c:f>
              <c:strCache>
                <c:ptCount val="8"/>
                <c:pt idx="0">
                  <c:v>Alim </c:v>
                </c:pt>
                <c:pt idx="1">
                  <c:v>Conc </c:v>
                </c:pt>
                <c:pt idx="2">
                  <c:v>Conc</c:v>
                </c:pt>
                <c:pt idx="3">
                  <c:v>Rel </c:v>
                </c:pt>
                <c:pt idx="4">
                  <c:v>Alim </c:v>
                </c:pt>
                <c:pt idx="5">
                  <c:v>Conc </c:v>
                </c:pt>
                <c:pt idx="6">
                  <c:v>Conc</c:v>
                </c:pt>
                <c:pt idx="7">
                  <c:v>Rel </c:v>
                </c:pt>
              </c:strCache>
            </c:strRef>
          </c:cat>
          <c:val>
            <c:numRef>
              <c:f>'Ocurrencia Cu '!$B$32:$I$32</c:f>
              <c:numCache>
                <c:formatCode>0.00</c:formatCode>
                <c:ptCount val="8"/>
                <c:pt idx="0">
                  <c:v>4.4999999999999997E-3</c:v>
                </c:pt>
                <c:pt idx="1">
                  <c:v>2.92E-2</c:v>
                </c:pt>
                <c:pt idx="2">
                  <c:v>0</c:v>
                </c:pt>
                <c:pt idx="3">
                  <c:v>0</c:v>
                </c:pt>
                <c:pt idx="4">
                  <c:v>1.66E-2</c:v>
                </c:pt>
                <c:pt idx="5">
                  <c:v>0</c:v>
                </c:pt>
                <c:pt idx="6">
                  <c:v>0</c:v>
                </c:pt>
                <c:pt idx="7">
                  <c:v>0.14510000000000001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E7C-4176-9263-446F3F24100B}"/>
            </c:ext>
          </c:extLst>
        </c:ser>
        <c:ser>
          <c:idx val="12"/>
          <c:order val="12"/>
          <c:tx>
            <c:strRef>
              <c:f>'Ocurrencia Cu '!$A$33</c:f>
              <c:strCache>
                <c:ptCount val="1"/>
                <c:pt idx="0">
                  <c:v>Esfalerita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'Ocurrencia Cu '!$B$18:$I$20</c15:sqref>
                  </c15:fullRef>
                  <c15:levelRef>
                    <c15:sqref>'Ocurrencia Cu '!$B$20:$I$20</c15:sqref>
                  </c15:levelRef>
                </c:ext>
              </c:extLst>
              <c:f>'Ocurrencia Cu '!$B$20:$I$20</c:f>
              <c:strCache>
                <c:ptCount val="8"/>
                <c:pt idx="0">
                  <c:v>Alim </c:v>
                </c:pt>
                <c:pt idx="1">
                  <c:v>Conc </c:v>
                </c:pt>
                <c:pt idx="2">
                  <c:v>Conc</c:v>
                </c:pt>
                <c:pt idx="3">
                  <c:v>Rel </c:v>
                </c:pt>
                <c:pt idx="4">
                  <c:v>Alim </c:v>
                </c:pt>
                <c:pt idx="5">
                  <c:v>Conc </c:v>
                </c:pt>
                <c:pt idx="6">
                  <c:v>Conc</c:v>
                </c:pt>
                <c:pt idx="7">
                  <c:v>Rel </c:v>
                </c:pt>
              </c:strCache>
            </c:strRef>
          </c:cat>
          <c:val>
            <c:numRef>
              <c:f>'Ocurrencia Cu '!$B$33:$I$33</c:f>
              <c:numCache>
                <c:formatCode>0.00</c:formatCode>
                <c:ptCount val="8"/>
                <c:pt idx="0">
                  <c:v>7.1000000000000004E-3</c:v>
                </c:pt>
                <c:pt idx="1">
                  <c:v>2.1700000000000001E-2</c:v>
                </c:pt>
                <c:pt idx="2">
                  <c:v>2.9999999999999997E-4</c:v>
                </c:pt>
                <c:pt idx="3">
                  <c:v>0</c:v>
                </c:pt>
                <c:pt idx="4">
                  <c:v>3.2000000000000002E-3</c:v>
                </c:pt>
                <c:pt idx="5">
                  <c:v>4.82E-2</c:v>
                </c:pt>
                <c:pt idx="6">
                  <c:v>8.9999999999999998E-4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E7C-4176-9263-446F3F24100B}"/>
            </c:ext>
          </c:extLst>
        </c:ser>
        <c:ser>
          <c:idx val="13"/>
          <c:order val="13"/>
          <c:tx>
            <c:strRef>
              <c:f>'Ocurrencia Cu '!$A$34</c:f>
              <c:strCache>
                <c:ptCount val="1"/>
                <c:pt idx="0">
                  <c:v>(Cu,Fe)OH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'Ocurrencia Cu '!$B$18:$I$20</c15:sqref>
                  </c15:fullRef>
                  <c15:levelRef>
                    <c15:sqref>'Ocurrencia Cu '!$B$20:$I$20</c15:sqref>
                  </c15:levelRef>
                </c:ext>
              </c:extLst>
              <c:f>'Ocurrencia Cu '!$B$20:$I$20</c:f>
              <c:strCache>
                <c:ptCount val="8"/>
                <c:pt idx="0">
                  <c:v>Alim </c:v>
                </c:pt>
                <c:pt idx="1">
                  <c:v>Conc </c:v>
                </c:pt>
                <c:pt idx="2">
                  <c:v>Conc</c:v>
                </c:pt>
                <c:pt idx="3">
                  <c:v>Rel </c:v>
                </c:pt>
                <c:pt idx="4">
                  <c:v>Alim </c:v>
                </c:pt>
                <c:pt idx="5">
                  <c:v>Conc </c:v>
                </c:pt>
                <c:pt idx="6">
                  <c:v>Conc</c:v>
                </c:pt>
                <c:pt idx="7">
                  <c:v>Rel </c:v>
                </c:pt>
              </c:strCache>
            </c:strRef>
          </c:cat>
          <c:val>
            <c:numRef>
              <c:f>'Ocurrencia Cu '!$B$34:$I$34</c:f>
              <c:numCache>
                <c:formatCode>0.00</c:formatCode>
                <c:ptCount val="8"/>
                <c:pt idx="0">
                  <c:v>1.5699999999999999E-2</c:v>
                </c:pt>
                <c:pt idx="1">
                  <c:v>1.1999999999999999E-3</c:v>
                </c:pt>
                <c:pt idx="2">
                  <c:v>2.86E-2</c:v>
                </c:pt>
                <c:pt idx="3">
                  <c:v>0</c:v>
                </c:pt>
                <c:pt idx="4">
                  <c:v>0</c:v>
                </c:pt>
                <c:pt idx="5">
                  <c:v>8.2000000000000007E-3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E7C-4176-9263-446F3F24100B}"/>
            </c:ext>
          </c:extLst>
        </c:ser>
        <c:ser>
          <c:idx val="14"/>
          <c:order val="14"/>
          <c:tx>
            <c:strRef>
              <c:f>'Ocurrencia Cu '!$A$35</c:f>
              <c:strCache>
                <c:ptCount val="1"/>
                <c:pt idx="0">
                  <c:v>Limonita(Cu,Mn)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'Ocurrencia Cu '!$B$18:$I$20</c15:sqref>
                  </c15:fullRef>
                  <c15:levelRef>
                    <c15:sqref>'Ocurrencia Cu '!$B$20:$I$20</c15:sqref>
                  </c15:levelRef>
                </c:ext>
              </c:extLst>
              <c:f>'Ocurrencia Cu '!$B$20:$I$20</c:f>
              <c:strCache>
                <c:ptCount val="8"/>
                <c:pt idx="0">
                  <c:v>Alim </c:v>
                </c:pt>
                <c:pt idx="1">
                  <c:v>Conc </c:v>
                </c:pt>
                <c:pt idx="2">
                  <c:v>Conc</c:v>
                </c:pt>
                <c:pt idx="3">
                  <c:v>Rel </c:v>
                </c:pt>
                <c:pt idx="4">
                  <c:v>Alim </c:v>
                </c:pt>
                <c:pt idx="5">
                  <c:v>Conc </c:v>
                </c:pt>
                <c:pt idx="6">
                  <c:v>Conc</c:v>
                </c:pt>
                <c:pt idx="7">
                  <c:v>Rel </c:v>
                </c:pt>
              </c:strCache>
            </c:strRef>
          </c:cat>
          <c:val>
            <c:numRef>
              <c:f>'Ocurrencia Cu '!$B$35:$I$35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4.6600000000000003E-2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E7C-4176-9263-446F3F24100B}"/>
            </c:ext>
          </c:extLst>
        </c:ser>
        <c:ser>
          <c:idx val="15"/>
          <c:order val="15"/>
          <c:tx>
            <c:strRef>
              <c:f>'Ocurrencia Cu '!$A$36</c:f>
              <c:strCache>
                <c:ptCount val="1"/>
                <c:pt idx="0">
                  <c:v>Epidota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'Ocurrencia Cu '!$B$18:$I$20</c15:sqref>
                  </c15:fullRef>
                  <c15:levelRef>
                    <c15:sqref>'Ocurrencia Cu '!$B$20:$I$20</c15:sqref>
                  </c15:levelRef>
                </c:ext>
              </c:extLst>
              <c:f>'Ocurrencia Cu '!$B$20:$I$20</c:f>
              <c:strCache>
                <c:ptCount val="8"/>
                <c:pt idx="0">
                  <c:v>Alim </c:v>
                </c:pt>
                <c:pt idx="1">
                  <c:v>Conc </c:v>
                </c:pt>
                <c:pt idx="2">
                  <c:v>Conc</c:v>
                </c:pt>
                <c:pt idx="3">
                  <c:v>Rel </c:v>
                </c:pt>
                <c:pt idx="4">
                  <c:v>Alim </c:v>
                </c:pt>
                <c:pt idx="5">
                  <c:v>Conc </c:v>
                </c:pt>
                <c:pt idx="6">
                  <c:v>Conc</c:v>
                </c:pt>
                <c:pt idx="7">
                  <c:v>Rel </c:v>
                </c:pt>
              </c:strCache>
            </c:strRef>
          </c:cat>
          <c:val>
            <c:numRef>
              <c:f>'Ocurrencia Cu '!$B$36:$I$36</c:f>
              <c:numCache>
                <c:formatCode>0.00</c:formatCode>
                <c:ptCount val="8"/>
                <c:pt idx="0">
                  <c:v>2.7900000000000001E-2</c:v>
                </c:pt>
                <c:pt idx="1">
                  <c:v>0</c:v>
                </c:pt>
                <c:pt idx="2">
                  <c:v>6.9999999999999999E-4</c:v>
                </c:pt>
                <c:pt idx="3">
                  <c:v>0</c:v>
                </c:pt>
                <c:pt idx="4">
                  <c:v>0</c:v>
                </c:pt>
                <c:pt idx="5">
                  <c:v>7.1999999999999998E-3</c:v>
                </c:pt>
                <c:pt idx="6">
                  <c:v>1.5E-3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E7C-4176-9263-446F3F24100B}"/>
            </c:ext>
          </c:extLst>
        </c:ser>
        <c:ser>
          <c:idx val="16"/>
          <c:order val="16"/>
          <c:tx>
            <c:strRef>
              <c:f>'Ocurrencia Cu '!$A$37</c:f>
              <c:strCache>
                <c:ptCount val="1"/>
                <c:pt idx="0">
                  <c:v>Jarosita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'Ocurrencia Cu '!$B$18:$I$20</c15:sqref>
                  </c15:fullRef>
                  <c15:levelRef>
                    <c15:sqref>'Ocurrencia Cu '!$B$20:$I$20</c15:sqref>
                  </c15:levelRef>
                </c:ext>
              </c:extLst>
              <c:f>'Ocurrencia Cu '!$B$20:$I$20</c:f>
              <c:strCache>
                <c:ptCount val="8"/>
                <c:pt idx="0">
                  <c:v>Alim </c:v>
                </c:pt>
                <c:pt idx="1">
                  <c:v>Conc </c:v>
                </c:pt>
                <c:pt idx="2">
                  <c:v>Conc</c:v>
                </c:pt>
                <c:pt idx="3">
                  <c:v>Rel </c:v>
                </c:pt>
                <c:pt idx="4">
                  <c:v>Alim </c:v>
                </c:pt>
                <c:pt idx="5">
                  <c:v>Conc </c:v>
                </c:pt>
                <c:pt idx="6">
                  <c:v>Conc</c:v>
                </c:pt>
                <c:pt idx="7">
                  <c:v>Rel </c:v>
                </c:pt>
              </c:strCache>
            </c:strRef>
          </c:cat>
          <c:val>
            <c:numRef>
              <c:f>'Ocurrencia Cu '!$B$37:$I$37</c:f>
              <c:numCache>
                <c:formatCode>0.00</c:formatCode>
                <c:ptCount val="8"/>
                <c:pt idx="0">
                  <c:v>0</c:v>
                </c:pt>
                <c:pt idx="1">
                  <c:v>1.1999999999999999E-3</c:v>
                </c:pt>
                <c:pt idx="2">
                  <c:v>1.8E-3</c:v>
                </c:pt>
                <c:pt idx="3">
                  <c:v>2.0899999999999998E-2</c:v>
                </c:pt>
                <c:pt idx="4">
                  <c:v>0</c:v>
                </c:pt>
                <c:pt idx="5">
                  <c:v>0</c:v>
                </c:pt>
                <c:pt idx="6">
                  <c:v>1.9E-3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E7C-4176-9263-446F3F24100B}"/>
            </c:ext>
          </c:extLst>
        </c:ser>
        <c:ser>
          <c:idx val="17"/>
          <c:order val="17"/>
          <c:tx>
            <c:strRef>
              <c:f>'Ocurrencia Cu '!$A$38</c:f>
              <c:strCache>
                <c:ptCount val="1"/>
                <c:pt idx="0">
                  <c:v>Ankerita/Siderita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'Ocurrencia Cu '!$B$18:$I$20</c15:sqref>
                  </c15:fullRef>
                  <c15:levelRef>
                    <c15:sqref>'Ocurrencia Cu '!$B$20:$I$20</c15:sqref>
                  </c15:levelRef>
                </c:ext>
              </c:extLst>
              <c:f>'Ocurrencia Cu '!$B$20:$I$20</c:f>
              <c:strCache>
                <c:ptCount val="8"/>
                <c:pt idx="0">
                  <c:v>Alim </c:v>
                </c:pt>
                <c:pt idx="1">
                  <c:v>Conc </c:v>
                </c:pt>
                <c:pt idx="2">
                  <c:v>Conc</c:v>
                </c:pt>
                <c:pt idx="3">
                  <c:v>Rel </c:v>
                </c:pt>
                <c:pt idx="4">
                  <c:v>Alim </c:v>
                </c:pt>
                <c:pt idx="5">
                  <c:v>Conc </c:v>
                </c:pt>
                <c:pt idx="6">
                  <c:v>Conc</c:v>
                </c:pt>
                <c:pt idx="7">
                  <c:v>Rel </c:v>
                </c:pt>
              </c:strCache>
            </c:strRef>
          </c:cat>
          <c:val>
            <c:numRef>
              <c:f>'Ocurrencia Cu '!$B$38:$I$38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1.7399999999999999E-2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E7C-4176-9263-446F3F24100B}"/>
            </c:ext>
          </c:extLst>
        </c:ser>
        <c:ser>
          <c:idx val="18"/>
          <c:order val="18"/>
          <c:tx>
            <c:strRef>
              <c:f>'Ocurrencia Cu '!$A$39</c:f>
              <c:strCache>
                <c:ptCount val="1"/>
                <c:pt idx="0">
                  <c:v>Otros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'Ocurrencia Cu '!$B$18:$I$20</c15:sqref>
                  </c15:fullRef>
                  <c15:levelRef>
                    <c15:sqref>'Ocurrencia Cu '!$B$20:$I$20</c15:sqref>
                  </c15:levelRef>
                </c:ext>
              </c:extLst>
              <c:f>'Ocurrencia Cu '!$B$20:$I$20</c:f>
              <c:strCache>
                <c:ptCount val="8"/>
                <c:pt idx="0">
                  <c:v>Alim </c:v>
                </c:pt>
                <c:pt idx="1">
                  <c:v>Conc </c:v>
                </c:pt>
                <c:pt idx="2">
                  <c:v>Conc</c:v>
                </c:pt>
                <c:pt idx="3">
                  <c:v>Rel </c:v>
                </c:pt>
                <c:pt idx="4">
                  <c:v>Alim </c:v>
                </c:pt>
                <c:pt idx="5">
                  <c:v>Conc </c:v>
                </c:pt>
                <c:pt idx="6">
                  <c:v>Conc</c:v>
                </c:pt>
                <c:pt idx="7">
                  <c:v>Rel </c:v>
                </c:pt>
              </c:strCache>
            </c:strRef>
          </c:cat>
          <c:val>
            <c:numRef>
              <c:f>'Ocurrencia Cu '!$B$39:$I$39</c:f>
              <c:numCache>
                <c:formatCode>General</c:formatCode>
                <c:ptCount val="8"/>
                <c:pt idx="0">
                  <c:v>9.4999999999999998E-3</c:v>
                </c:pt>
                <c:pt idx="1">
                  <c:v>1.09E-2</c:v>
                </c:pt>
                <c:pt idx="2">
                  <c:v>3.3E-3</c:v>
                </c:pt>
                <c:pt idx="3">
                  <c:v>5.1999999999999998E-3</c:v>
                </c:pt>
                <c:pt idx="4">
                  <c:v>4.0000000000000001E-3</c:v>
                </c:pt>
                <c:pt idx="5">
                  <c:v>3.0999999999999999E-3</c:v>
                </c:pt>
                <c:pt idx="6">
                  <c:v>3.0000000000000001E-3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E7C-4176-9263-446F3F2410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4264816"/>
        <c:axId val="214260016"/>
      </c:barChart>
      <c:catAx>
        <c:axId val="214264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14260016"/>
        <c:crosses val="autoZero"/>
        <c:auto val="1"/>
        <c:lblAlgn val="ctr"/>
        <c:lblOffset val="100"/>
        <c:noMultiLvlLbl val="0"/>
      </c:catAx>
      <c:valAx>
        <c:axId val="21426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14264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3695949472208575E-2"/>
          <c:y val="0.83218547784262942"/>
          <c:w val="0.93325638359065788"/>
          <c:h val="0.149834546470450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Liberacion Calcosina/Digenita</a:t>
            </a:r>
            <a:r>
              <a:rPr lang="es-CL" baseline="0"/>
              <a:t> 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Liberación!$E$3</c:f>
              <c:strCache>
                <c:ptCount val="1"/>
                <c:pt idx="0">
                  <c:v>&lt;10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Liberación!$D$12:$D$19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Liberación!$E$12:$E$19</c:f>
              <c:numCache>
                <c:formatCode>0.0</c:formatCode>
                <c:ptCount val="8"/>
                <c:pt idx="0">
                  <c:v>0.9143</c:v>
                </c:pt>
                <c:pt idx="1">
                  <c:v>3.1823000000000001</c:v>
                </c:pt>
                <c:pt idx="2">
                  <c:v>13.017799999999999</c:v>
                </c:pt>
                <c:pt idx="3">
                  <c:v>0</c:v>
                </c:pt>
                <c:pt idx="4">
                  <c:v>0</c:v>
                </c:pt>
                <c:pt idx="5">
                  <c:v>0.82150000000000001</c:v>
                </c:pt>
                <c:pt idx="6">
                  <c:v>6.9383999999999997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9C-48AE-94CE-9F3EE4FCE24A}"/>
            </c:ext>
          </c:extLst>
        </c:ser>
        <c:ser>
          <c:idx val="1"/>
          <c:order val="1"/>
          <c:tx>
            <c:strRef>
              <c:f>Liberación!$F$3</c:f>
              <c:strCache>
                <c:ptCount val="1"/>
                <c:pt idx="0">
                  <c:v>≥10&lt;20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Liberación!$D$12:$D$19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Liberación!$F$12:$F$19</c:f>
              <c:numCache>
                <c:formatCode>0.0</c:formatCode>
                <c:ptCount val="8"/>
                <c:pt idx="0">
                  <c:v>2.1714000000000002</c:v>
                </c:pt>
                <c:pt idx="1">
                  <c:v>3.6858</c:v>
                </c:pt>
                <c:pt idx="2">
                  <c:v>5.5621</c:v>
                </c:pt>
                <c:pt idx="3">
                  <c:v>0</c:v>
                </c:pt>
                <c:pt idx="4">
                  <c:v>0.21099999999999999</c:v>
                </c:pt>
                <c:pt idx="5">
                  <c:v>0.94789999999999996</c:v>
                </c:pt>
                <c:pt idx="6">
                  <c:v>6.4180000000000001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9C-48AE-94CE-9F3EE4FCE24A}"/>
            </c:ext>
          </c:extLst>
        </c:ser>
        <c:ser>
          <c:idx val="2"/>
          <c:order val="2"/>
          <c:tx>
            <c:strRef>
              <c:f>Liberación!$G$3</c:f>
              <c:strCache>
                <c:ptCount val="1"/>
                <c:pt idx="0">
                  <c:v>≥20&lt;30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Liberación!$D$12:$D$19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Liberación!$G$12:$G$19</c:f>
              <c:numCache>
                <c:formatCode>0.0</c:formatCode>
                <c:ptCount val="8"/>
                <c:pt idx="0">
                  <c:v>0.45710000000000001</c:v>
                </c:pt>
                <c:pt idx="1">
                  <c:v>1.5105999999999999</c:v>
                </c:pt>
                <c:pt idx="2">
                  <c:v>13.609500000000001</c:v>
                </c:pt>
                <c:pt idx="3">
                  <c:v>0</c:v>
                </c:pt>
                <c:pt idx="4">
                  <c:v>0.21099999999999999</c:v>
                </c:pt>
                <c:pt idx="5">
                  <c:v>0.37909999999999999</c:v>
                </c:pt>
                <c:pt idx="6">
                  <c:v>4.7702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9C-48AE-94CE-9F3EE4FCE24A}"/>
            </c:ext>
          </c:extLst>
        </c:ser>
        <c:ser>
          <c:idx val="3"/>
          <c:order val="3"/>
          <c:tx>
            <c:strRef>
              <c:f>Liberación!$H$3</c:f>
              <c:strCache>
                <c:ptCount val="1"/>
                <c:pt idx="0">
                  <c:v>≥30&lt;40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Liberación!$D$12:$D$19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Liberación!$H$12:$H$19</c:f>
              <c:numCache>
                <c:formatCode>0.0</c:formatCode>
                <c:ptCount val="8"/>
                <c:pt idx="0">
                  <c:v>3.7713999999999999</c:v>
                </c:pt>
                <c:pt idx="1">
                  <c:v>1.43</c:v>
                </c:pt>
                <c:pt idx="2">
                  <c:v>31.9527</c:v>
                </c:pt>
                <c:pt idx="3">
                  <c:v>0</c:v>
                </c:pt>
                <c:pt idx="4">
                  <c:v>1.6878</c:v>
                </c:pt>
                <c:pt idx="5">
                  <c:v>0.34760000000000002</c:v>
                </c:pt>
                <c:pt idx="6">
                  <c:v>5.5507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9C-48AE-94CE-9F3EE4FCE24A}"/>
            </c:ext>
          </c:extLst>
        </c:ser>
        <c:ser>
          <c:idx val="4"/>
          <c:order val="4"/>
          <c:tx>
            <c:strRef>
              <c:f>Liberación!$I$3</c:f>
              <c:strCache>
                <c:ptCount val="1"/>
                <c:pt idx="0">
                  <c:v>≥40&lt;50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Liberación!$D$12:$D$19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Liberación!$I$12:$I$19</c:f>
              <c:numCache>
                <c:formatCode>0.0</c:formatCode>
                <c:ptCount val="8"/>
                <c:pt idx="0">
                  <c:v>0</c:v>
                </c:pt>
                <c:pt idx="1">
                  <c:v>1.5911</c:v>
                </c:pt>
                <c:pt idx="2">
                  <c:v>4.0236999999999998</c:v>
                </c:pt>
                <c:pt idx="3">
                  <c:v>0</c:v>
                </c:pt>
                <c:pt idx="4">
                  <c:v>2.1097000000000001</c:v>
                </c:pt>
                <c:pt idx="5">
                  <c:v>1.3586</c:v>
                </c:pt>
                <c:pt idx="6">
                  <c:v>0.86729999999999996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9C-48AE-94CE-9F3EE4FCE24A}"/>
            </c:ext>
          </c:extLst>
        </c:ser>
        <c:ser>
          <c:idx val="5"/>
          <c:order val="5"/>
          <c:tx>
            <c:strRef>
              <c:f>Liberación!$J$3</c:f>
              <c:strCache>
                <c:ptCount val="1"/>
                <c:pt idx="0">
                  <c:v>≥50&lt;60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Liberación!$D$12:$D$19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Liberación!$J$12:$J$19</c:f>
              <c:numCache>
                <c:formatCode>0.0</c:formatCode>
                <c:ptCount val="8"/>
                <c:pt idx="0">
                  <c:v>0.8</c:v>
                </c:pt>
                <c:pt idx="1">
                  <c:v>1.4702999999999999</c:v>
                </c:pt>
                <c:pt idx="2">
                  <c:v>0.47339999999999999</c:v>
                </c:pt>
                <c:pt idx="3">
                  <c:v>0</c:v>
                </c:pt>
                <c:pt idx="4">
                  <c:v>0.4219</c:v>
                </c:pt>
                <c:pt idx="5">
                  <c:v>2.9384000000000001</c:v>
                </c:pt>
                <c:pt idx="6">
                  <c:v>1.8212999999999999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F9C-48AE-94CE-9F3EE4FCE24A}"/>
            </c:ext>
          </c:extLst>
        </c:ser>
        <c:ser>
          <c:idx val="6"/>
          <c:order val="6"/>
          <c:tx>
            <c:strRef>
              <c:f>Liberación!$K$3</c:f>
              <c:strCache>
                <c:ptCount val="1"/>
                <c:pt idx="0">
                  <c:v>≥60&lt;70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Liberación!$D$12:$D$19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Liberación!$K$12:$K$19</c:f>
              <c:numCache>
                <c:formatCode>0.0</c:formatCode>
                <c:ptCount val="8"/>
                <c:pt idx="0">
                  <c:v>2.4</c:v>
                </c:pt>
                <c:pt idx="1">
                  <c:v>5.2568000000000001</c:v>
                </c:pt>
                <c:pt idx="2">
                  <c:v>3.9645000000000001</c:v>
                </c:pt>
                <c:pt idx="3">
                  <c:v>0</c:v>
                </c:pt>
                <c:pt idx="4">
                  <c:v>0.84389999999999998</c:v>
                </c:pt>
                <c:pt idx="5">
                  <c:v>6.0979000000000001</c:v>
                </c:pt>
                <c:pt idx="6">
                  <c:v>13.7034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F9C-48AE-94CE-9F3EE4FCE24A}"/>
            </c:ext>
          </c:extLst>
        </c:ser>
        <c:ser>
          <c:idx val="7"/>
          <c:order val="7"/>
          <c:tx>
            <c:strRef>
              <c:f>Liberación!$L$3</c:f>
              <c:strCache>
                <c:ptCount val="1"/>
                <c:pt idx="0">
                  <c:v>≥70&lt;80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Liberación!$D$12:$D$19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Liberación!$L$12:$L$19</c:f>
              <c:numCache>
                <c:formatCode>0.0</c:formatCode>
                <c:ptCount val="8"/>
                <c:pt idx="0">
                  <c:v>3.6570999999999998</c:v>
                </c:pt>
                <c:pt idx="1">
                  <c:v>4.4512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4.9288999999999996</c:v>
                </c:pt>
                <c:pt idx="6">
                  <c:v>8.9331999999999994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F9C-48AE-94CE-9F3EE4FCE24A}"/>
            </c:ext>
          </c:extLst>
        </c:ser>
        <c:ser>
          <c:idx val="8"/>
          <c:order val="8"/>
          <c:tx>
            <c:strRef>
              <c:f>Liberación!$M$3</c:f>
              <c:strCache>
                <c:ptCount val="1"/>
                <c:pt idx="0">
                  <c:v>≥80&lt;90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Liberación!$D$12:$D$19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Liberación!$M$12:$M$19</c:f>
              <c:numCache>
                <c:formatCode>0.0</c:formatCode>
                <c:ptCount val="8"/>
                <c:pt idx="0">
                  <c:v>2.0571000000000002</c:v>
                </c:pt>
                <c:pt idx="1">
                  <c:v>3.6858</c:v>
                </c:pt>
                <c:pt idx="2">
                  <c:v>2.1892999999999998</c:v>
                </c:pt>
                <c:pt idx="3">
                  <c:v>0</c:v>
                </c:pt>
                <c:pt idx="4">
                  <c:v>4.0084</c:v>
                </c:pt>
                <c:pt idx="5">
                  <c:v>15.450200000000001</c:v>
                </c:pt>
                <c:pt idx="6">
                  <c:v>2.6886000000000001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F9C-48AE-94CE-9F3EE4FCE24A}"/>
            </c:ext>
          </c:extLst>
        </c:ser>
        <c:ser>
          <c:idx val="9"/>
          <c:order val="9"/>
          <c:tx>
            <c:strRef>
              <c:f>Liberación!$N$3</c:f>
              <c:strCache>
                <c:ptCount val="1"/>
                <c:pt idx="0">
                  <c:v>≥90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Liberación!$D$12:$D$19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Liberación!$N$12:$N$19</c:f>
              <c:numCache>
                <c:formatCode>0.0</c:formatCode>
                <c:ptCount val="8"/>
                <c:pt idx="0">
                  <c:v>83.7714</c:v>
                </c:pt>
                <c:pt idx="1">
                  <c:v>73.736199999999997</c:v>
                </c:pt>
                <c:pt idx="2">
                  <c:v>25.207100000000001</c:v>
                </c:pt>
                <c:pt idx="3">
                  <c:v>0</c:v>
                </c:pt>
                <c:pt idx="4">
                  <c:v>90.506299999999996</c:v>
                </c:pt>
                <c:pt idx="5">
                  <c:v>66.729900000000001</c:v>
                </c:pt>
                <c:pt idx="6">
                  <c:v>48.308799999999998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F9C-48AE-94CE-9F3EE4FCE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16941008"/>
        <c:axId val="1416957808"/>
      </c:barChart>
      <c:catAx>
        <c:axId val="141694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16957808"/>
        <c:crosses val="max"/>
        <c:auto val="1"/>
        <c:lblAlgn val="ctr"/>
        <c:lblOffset val="100"/>
        <c:noMultiLvlLbl val="0"/>
      </c:catAx>
      <c:valAx>
        <c:axId val="1416957808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1694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Liberacion Bornita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Liberación!$E$3</c:f>
              <c:strCache>
                <c:ptCount val="1"/>
                <c:pt idx="0">
                  <c:v>&lt;10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Liberación!$D$20:$D$27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Liberación!$E$20:$E$27</c:f>
              <c:numCache>
                <c:formatCode>0.0</c:formatCode>
                <c:ptCount val="8"/>
                <c:pt idx="0">
                  <c:v>14.7537</c:v>
                </c:pt>
                <c:pt idx="1">
                  <c:v>9.2703000000000007</c:v>
                </c:pt>
                <c:pt idx="2">
                  <c:v>18.7928</c:v>
                </c:pt>
                <c:pt idx="3">
                  <c:v>0</c:v>
                </c:pt>
                <c:pt idx="4">
                  <c:v>0.62719999999999998</c:v>
                </c:pt>
                <c:pt idx="5">
                  <c:v>2.1619999999999999</c:v>
                </c:pt>
                <c:pt idx="6">
                  <c:v>4.9589999999999996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89-401F-BC12-AD150D41F938}"/>
            </c:ext>
          </c:extLst>
        </c:ser>
        <c:ser>
          <c:idx val="1"/>
          <c:order val="1"/>
          <c:tx>
            <c:strRef>
              <c:f>Liberación!$F$3</c:f>
              <c:strCache>
                <c:ptCount val="1"/>
                <c:pt idx="0">
                  <c:v>≥10&lt;20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Liberación!$D$20:$D$27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Liberación!$F$20:$F$27</c:f>
              <c:numCache>
                <c:formatCode>0.0</c:formatCode>
                <c:ptCount val="8"/>
                <c:pt idx="0">
                  <c:v>1.3070999999999999</c:v>
                </c:pt>
                <c:pt idx="1">
                  <c:v>5.1718000000000002</c:v>
                </c:pt>
                <c:pt idx="2">
                  <c:v>11.927300000000001</c:v>
                </c:pt>
                <c:pt idx="3">
                  <c:v>0</c:v>
                </c:pt>
                <c:pt idx="4">
                  <c:v>2.5085999999999999</c:v>
                </c:pt>
                <c:pt idx="5">
                  <c:v>2.9529999999999998</c:v>
                </c:pt>
                <c:pt idx="6">
                  <c:v>9.5336999999999996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89-401F-BC12-AD150D41F938}"/>
            </c:ext>
          </c:extLst>
        </c:ser>
        <c:ser>
          <c:idx val="2"/>
          <c:order val="2"/>
          <c:tx>
            <c:strRef>
              <c:f>Liberación!$G$3</c:f>
              <c:strCache>
                <c:ptCount val="1"/>
                <c:pt idx="0">
                  <c:v>≥20&lt;30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Liberación!$D$20:$D$27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Liberación!$G$20:$G$27</c:f>
              <c:numCache>
                <c:formatCode>0.0</c:formatCode>
                <c:ptCount val="8"/>
                <c:pt idx="0">
                  <c:v>1.7427999999999999</c:v>
                </c:pt>
                <c:pt idx="1">
                  <c:v>4.4966999999999997</c:v>
                </c:pt>
                <c:pt idx="2">
                  <c:v>16.75</c:v>
                </c:pt>
                <c:pt idx="3">
                  <c:v>0</c:v>
                </c:pt>
                <c:pt idx="4">
                  <c:v>0</c:v>
                </c:pt>
                <c:pt idx="5">
                  <c:v>0.6532</c:v>
                </c:pt>
                <c:pt idx="6">
                  <c:v>3.9929999999999999</c:v>
                </c:pt>
                <c:pt idx="7">
                  <c:v>95.8155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89-401F-BC12-AD150D41F938}"/>
            </c:ext>
          </c:extLst>
        </c:ser>
        <c:ser>
          <c:idx val="3"/>
          <c:order val="3"/>
          <c:tx>
            <c:strRef>
              <c:f>Liberación!$H$3</c:f>
              <c:strCache>
                <c:ptCount val="1"/>
                <c:pt idx="0">
                  <c:v>≥30&lt;40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Liberación!$D$20:$D$27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Liberación!$H$20:$H$27</c:f>
              <c:numCache>
                <c:formatCode>0.0</c:formatCode>
                <c:ptCount val="8"/>
                <c:pt idx="0">
                  <c:v>5.4462000000000002</c:v>
                </c:pt>
                <c:pt idx="1">
                  <c:v>1.5508</c:v>
                </c:pt>
                <c:pt idx="2">
                  <c:v>0.43959999999999999</c:v>
                </c:pt>
                <c:pt idx="3">
                  <c:v>100</c:v>
                </c:pt>
                <c:pt idx="4">
                  <c:v>1.2543</c:v>
                </c:pt>
                <c:pt idx="5">
                  <c:v>2.5276999999999998</c:v>
                </c:pt>
                <c:pt idx="6">
                  <c:v>4.9337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89-401F-BC12-AD150D41F938}"/>
            </c:ext>
          </c:extLst>
        </c:ser>
        <c:ser>
          <c:idx val="4"/>
          <c:order val="4"/>
          <c:tx>
            <c:strRef>
              <c:f>Liberación!$I$3</c:f>
              <c:strCache>
                <c:ptCount val="1"/>
                <c:pt idx="0">
                  <c:v>≥40&lt;50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Liberación!$D$20:$D$27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Liberación!$I$20:$I$27</c:f>
              <c:numCache>
                <c:formatCode>0.0</c:formatCode>
                <c:ptCount val="8"/>
                <c:pt idx="0">
                  <c:v>0.43569999999999998</c:v>
                </c:pt>
                <c:pt idx="1">
                  <c:v>3.4481999999999999</c:v>
                </c:pt>
                <c:pt idx="2">
                  <c:v>5.2751999999999999</c:v>
                </c:pt>
                <c:pt idx="3">
                  <c:v>0</c:v>
                </c:pt>
                <c:pt idx="4">
                  <c:v>0</c:v>
                </c:pt>
                <c:pt idx="5">
                  <c:v>0.1517</c:v>
                </c:pt>
                <c:pt idx="6">
                  <c:v>6.5774999999999997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89-401F-BC12-AD150D41F938}"/>
            </c:ext>
          </c:extLst>
        </c:ser>
        <c:ser>
          <c:idx val="5"/>
          <c:order val="5"/>
          <c:tx>
            <c:strRef>
              <c:f>Liberación!$J$3</c:f>
              <c:strCache>
                <c:ptCount val="1"/>
                <c:pt idx="0">
                  <c:v>≥50&lt;60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Liberación!$D$20:$D$27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Liberación!$J$20:$J$27</c:f>
              <c:numCache>
                <c:formatCode>0.0</c:formatCode>
                <c:ptCount val="8"/>
                <c:pt idx="0">
                  <c:v>6.3174999999999999</c:v>
                </c:pt>
                <c:pt idx="1">
                  <c:v>9.3765999999999998</c:v>
                </c:pt>
                <c:pt idx="2">
                  <c:v>0.87919999999999998</c:v>
                </c:pt>
                <c:pt idx="3">
                  <c:v>0</c:v>
                </c:pt>
                <c:pt idx="4">
                  <c:v>0</c:v>
                </c:pt>
                <c:pt idx="5">
                  <c:v>0.64929999999999999</c:v>
                </c:pt>
                <c:pt idx="6">
                  <c:v>8.1150000000000002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F89-401F-BC12-AD150D41F938}"/>
            </c:ext>
          </c:extLst>
        </c:ser>
        <c:ser>
          <c:idx val="6"/>
          <c:order val="6"/>
          <c:tx>
            <c:strRef>
              <c:f>Liberación!$K$3</c:f>
              <c:strCache>
                <c:ptCount val="1"/>
                <c:pt idx="0">
                  <c:v>≥60&lt;70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Liberación!$D$20:$D$27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Liberación!$K$20:$K$27</c:f>
              <c:numCache>
                <c:formatCode>0.0</c:formatCode>
                <c:ptCount val="8"/>
                <c:pt idx="0">
                  <c:v>6.0997000000000003</c:v>
                </c:pt>
                <c:pt idx="1">
                  <c:v>11.597</c:v>
                </c:pt>
                <c:pt idx="2">
                  <c:v>1.9782</c:v>
                </c:pt>
                <c:pt idx="3">
                  <c:v>0</c:v>
                </c:pt>
                <c:pt idx="4">
                  <c:v>27.902100000000001</c:v>
                </c:pt>
                <c:pt idx="5">
                  <c:v>7.4553000000000003</c:v>
                </c:pt>
                <c:pt idx="6">
                  <c:v>0.51590000000000003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F89-401F-BC12-AD150D41F938}"/>
            </c:ext>
          </c:extLst>
        </c:ser>
        <c:ser>
          <c:idx val="7"/>
          <c:order val="7"/>
          <c:tx>
            <c:strRef>
              <c:f>Liberación!$L$3</c:f>
              <c:strCache>
                <c:ptCount val="1"/>
                <c:pt idx="0">
                  <c:v>≥70&lt;80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Liberación!$D$20:$D$27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Liberación!$L$20:$L$27</c:f>
              <c:numCache>
                <c:formatCode>0.0</c:formatCode>
                <c:ptCount val="8"/>
                <c:pt idx="0">
                  <c:v>4.5747999999999998</c:v>
                </c:pt>
                <c:pt idx="1">
                  <c:v>10.7546</c:v>
                </c:pt>
                <c:pt idx="2">
                  <c:v>1.2089000000000001</c:v>
                </c:pt>
                <c:pt idx="3">
                  <c:v>0</c:v>
                </c:pt>
                <c:pt idx="4">
                  <c:v>0</c:v>
                </c:pt>
                <c:pt idx="5">
                  <c:v>15.4221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F89-401F-BC12-AD150D41F938}"/>
            </c:ext>
          </c:extLst>
        </c:ser>
        <c:ser>
          <c:idx val="8"/>
          <c:order val="8"/>
          <c:tx>
            <c:strRef>
              <c:f>Liberación!$M$3</c:f>
              <c:strCache>
                <c:ptCount val="1"/>
                <c:pt idx="0">
                  <c:v>≥80&lt;90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Liberación!$D$20:$D$27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Liberación!$M$20:$M$27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5.6048999999999998</c:v>
                </c:pt>
                <c:pt idx="3">
                  <c:v>0</c:v>
                </c:pt>
                <c:pt idx="4">
                  <c:v>0</c:v>
                </c:pt>
                <c:pt idx="5">
                  <c:v>14.6797</c:v>
                </c:pt>
                <c:pt idx="6">
                  <c:v>8.1250999999999998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F89-401F-BC12-AD150D41F938}"/>
            </c:ext>
          </c:extLst>
        </c:ser>
        <c:ser>
          <c:idx val="9"/>
          <c:order val="9"/>
          <c:tx>
            <c:strRef>
              <c:f>Liberación!$N$3</c:f>
              <c:strCache>
                <c:ptCount val="1"/>
                <c:pt idx="0">
                  <c:v>≥90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Liberación!$D$20:$D$27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Liberación!$N$20:$N$27</c:f>
              <c:numCache>
                <c:formatCode>0.0</c:formatCode>
                <c:ptCount val="8"/>
                <c:pt idx="0">
                  <c:v>59.322499999999998</c:v>
                </c:pt>
                <c:pt idx="1">
                  <c:v>44.334000000000003</c:v>
                </c:pt>
                <c:pt idx="2">
                  <c:v>37.143900000000002</c:v>
                </c:pt>
                <c:pt idx="3">
                  <c:v>0</c:v>
                </c:pt>
                <c:pt idx="4">
                  <c:v>67.707800000000006</c:v>
                </c:pt>
                <c:pt idx="5">
                  <c:v>53.345999999999997</c:v>
                </c:pt>
                <c:pt idx="6">
                  <c:v>53.247</c:v>
                </c:pt>
                <c:pt idx="7">
                  <c:v>4.1844999999999999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F89-401F-BC12-AD150D41F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16941008"/>
        <c:axId val="1416957808"/>
      </c:barChart>
      <c:catAx>
        <c:axId val="141694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16957808"/>
        <c:crosses val="max"/>
        <c:auto val="1"/>
        <c:lblAlgn val="ctr"/>
        <c:lblOffset val="100"/>
        <c:noMultiLvlLbl val="0"/>
      </c:catAx>
      <c:valAx>
        <c:axId val="1416957808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1694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Liberacion Molibdenita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Liberación!$E$3</c:f>
              <c:strCache>
                <c:ptCount val="1"/>
                <c:pt idx="0">
                  <c:v>&lt;10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Liberación!$D$36:$D$43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Liberación!$E$36:$E$43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56-4D77-AB1C-E1E38167D2BC}"/>
            </c:ext>
          </c:extLst>
        </c:ser>
        <c:ser>
          <c:idx val="1"/>
          <c:order val="1"/>
          <c:tx>
            <c:strRef>
              <c:f>Liberación!$F$3</c:f>
              <c:strCache>
                <c:ptCount val="1"/>
                <c:pt idx="0">
                  <c:v>≥10&lt;20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Liberación!$D$36:$D$43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Liberación!$F$36:$F$43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56-4D77-AB1C-E1E38167D2BC}"/>
            </c:ext>
          </c:extLst>
        </c:ser>
        <c:ser>
          <c:idx val="2"/>
          <c:order val="2"/>
          <c:tx>
            <c:strRef>
              <c:f>Liberación!$G$3</c:f>
              <c:strCache>
                <c:ptCount val="1"/>
                <c:pt idx="0">
                  <c:v>≥20&lt;30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Liberación!$D$36:$D$43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Liberación!$G$36:$G$43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56-4D77-AB1C-E1E38167D2BC}"/>
            </c:ext>
          </c:extLst>
        </c:ser>
        <c:ser>
          <c:idx val="3"/>
          <c:order val="3"/>
          <c:tx>
            <c:strRef>
              <c:f>Liberación!$H$3</c:f>
              <c:strCache>
                <c:ptCount val="1"/>
                <c:pt idx="0">
                  <c:v>≥30&lt;40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Liberación!$D$36:$D$43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Liberación!$H$36:$H$43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56-4D77-AB1C-E1E38167D2BC}"/>
            </c:ext>
          </c:extLst>
        </c:ser>
        <c:ser>
          <c:idx val="4"/>
          <c:order val="4"/>
          <c:tx>
            <c:strRef>
              <c:f>Liberación!$I$3</c:f>
              <c:strCache>
                <c:ptCount val="1"/>
                <c:pt idx="0">
                  <c:v>≥40&lt;50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Liberación!$D$36:$D$43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Liberación!$I$36:$I$43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2.4691000000000001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56-4D77-AB1C-E1E38167D2BC}"/>
            </c:ext>
          </c:extLst>
        </c:ser>
        <c:ser>
          <c:idx val="5"/>
          <c:order val="5"/>
          <c:tx>
            <c:strRef>
              <c:f>Liberación!$J$3</c:f>
              <c:strCache>
                <c:ptCount val="1"/>
                <c:pt idx="0">
                  <c:v>≥50&lt;60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Liberación!$D$36:$D$43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Liberación!$J$36:$J$43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056-4D77-AB1C-E1E38167D2BC}"/>
            </c:ext>
          </c:extLst>
        </c:ser>
        <c:ser>
          <c:idx val="6"/>
          <c:order val="6"/>
          <c:tx>
            <c:strRef>
              <c:f>Liberación!$K$3</c:f>
              <c:strCache>
                <c:ptCount val="1"/>
                <c:pt idx="0">
                  <c:v>≥60&lt;70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Liberación!$D$36:$D$43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Liberación!$K$36:$K$43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056-4D77-AB1C-E1E38167D2BC}"/>
            </c:ext>
          </c:extLst>
        </c:ser>
        <c:ser>
          <c:idx val="7"/>
          <c:order val="7"/>
          <c:tx>
            <c:strRef>
              <c:f>Liberación!$L$3</c:f>
              <c:strCache>
                <c:ptCount val="1"/>
                <c:pt idx="0">
                  <c:v>≥70&lt;80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Liberación!$D$36:$D$43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Liberación!$L$36:$L$43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1.3071999999999999</c:v>
                </c:pt>
                <c:pt idx="3">
                  <c:v>0</c:v>
                </c:pt>
                <c:pt idx="4">
                  <c:v>12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056-4D77-AB1C-E1E38167D2BC}"/>
            </c:ext>
          </c:extLst>
        </c:ser>
        <c:ser>
          <c:idx val="8"/>
          <c:order val="8"/>
          <c:tx>
            <c:strRef>
              <c:f>Liberación!$M$3</c:f>
              <c:strCache>
                <c:ptCount val="1"/>
                <c:pt idx="0">
                  <c:v>≥80&lt;90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Liberación!$D$36:$D$43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Liberación!$M$36:$M$43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12.636200000000001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056-4D77-AB1C-E1E38167D2BC}"/>
            </c:ext>
          </c:extLst>
        </c:ser>
        <c:ser>
          <c:idx val="9"/>
          <c:order val="9"/>
          <c:tx>
            <c:strRef>
              <c:f>Liberación!$N$3</c:f>
              <c:strCache>
                <c:ptCount val="1"/>
                <c:pt idx="0">
                  <c:v>≥90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Liberación!$D$36:$D$43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Liberación!$N$36:$N$43</c:f>
              <c:numCache>
                <c:formatCode>0.0</c:formatCode>
                <c:ptCount val="8"/>
                <c:pt idx="0">
                  <c:v>100</c:v>
                </c:pt>
                <c:pt idx="1">
                  <c:v>100</c:v>
                </c:pt>
                <c:pt idx="2">
                  <c:v>86.056600000000003</c:v>
                </c:pt>
                <c:pt idx="3">
                  <c:v>100</c:v>
                </c:pt>
                <c:pt idx="4">
                  <c:v>88</c:v>
                </c:pt>
                <c:pt idx="5">
                  <c:v>100</c:v>
                </c:pt>
                <c:pt idx="6">
                  <c:v>97.530900000000003</c:v>
                </c:pt>
                <c:pt idx="7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056-4D77-AB1C-E1E38167D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16941008"/>
        <c:axId val="1416957808"/>
      </c:barChart>
      <c:catAx>
        <c:axId val="141694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16957808"/>
        <c:crosses val="max"/>
        <c:auto val="1"/>
        <c:lblAlgn val="ctr"/>
        <c:lblOffset val="100"/>
        <c:noMultiLvlLbl val="0"/>
      </c:catAx>
      <c:valAx>
        <c:axId val="1416957808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1694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Liberacion Pirita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Liberación!$E$3</c:f>
              <c:strCache>
                <c:ptCount val="1"/>
                <c:pt idx="0">
                  <c:v>&lt;10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Liberación!$D$44:$D$51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Liberación!$E$44:$E$51</c:f>
              <c:numCache>
                <c:formatCode>0.0</c:formatCode>
                <c:ptCount val="8"/>
                <c:pt idx="0">
                  <c:v>0.57089999999999996</c:v>
                </c:pt>
                <c:pt idx="1">
                  <c:v>0.88759999999999994</c:v>
                </c:pt>
                <c:pt idx="2">
                  <c:v>5.5309999999999997</c:v>
                </c:pt>
                <c:pt idx="3">
                  <c:v>5.8500000000000003E-2</c:v>
                </c:pt>
                <c:pt idx="4">
                  <c:v>0.1203</c:v>
                </c:pt>
                <c:pt idx="5">
                  <c:v>0.92889999999999995</c:v>
                </c:pt>
                <c:pt idx="6">
                  <c:v>0.7107</c:v>
                </c:pt>
                <c:pt idx="7">
                  <c:v>0.75609999999999999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4E-44DB-B91D-2D440AB4B6CC}"/>
            </c:ext>
          </c:extLst>
        </c:ser>
        <c:ser>
          <c:idx val="1"/>
          <c:order val="1"/>
          <c:tx>
            <c:strRef>
              <c:f>Liberación!$F$3</c:f>
              <c:strCache>
                <c:ptCount val="1"/>
                <c:pt idx="0">
                  <c:v>≥10&lt;20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Liberación!$D$44:$D$51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Liberación!$F$44:$F$51</c:f>
              <c:numCache>
                <c:formatCode>0.0</c:formatCode>
                <c:ptCount val="8"/>
                <c:pt idx="0">
                  <c:v>3.6799999999999999E-2</c:v>
                </c:pt>
                <c:pt idx="1">
                  <c:v>3.0476000000000001</c:v>
                </c:pt>
                <c:pt idx="2">
                  <c:v>2.3277999999999999</c:v>
                </c:pt>
                <c:pt idx="3">
                  <c:v>5.4970999999999997</c:v>
                </c:pt>
                <c:pt idx="4">
                  <c:v>4.5100000000000001E-2</c:v>
                </c:pt>
                <c:pt idx="5">
                  <c:v>0.2283</c:v>
                </c:pt>
                <c:pt idx="6">
                  <c:v>0.83730000000000004</c:v>
                </c:pt>
                <c:pt idx="7">
                  <c:v>0.14630000000000001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4E-44DB-B91D-2D440AB4B6CC}"/>
            </c:ext>
          </c:extLst>
        </c:ser>
        <c:ser>
          <c:idx val="2"/>
          <c:order val="2"/>
          <c:tx>
            <c:strRef>
              <c:f>Liberación!$G$3</c:f>
              <c:strCache>
                <c:ptCount val="1"/>
                <c:pt idx="0">
                  <c:v>≥20&lt;30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Liberación!$D$44:$D$51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Liberación!$G$44:$G$51</c:f>
              <c:numCache>
                <c:formatCode>0.0</c:formatCode>
                <c:ptCount val="8"/>
                <c:pt idx="0">
                  <c:v>9.2100000000000001E-2</c:v>
                </c:pt>
                <c:pt idx="1">
                  <c:v>4.71</c:v>
                </c:pt>
                <c:pt idx="2">
                  <c:v>2.6978</c:v>
                </c:pt>
                <c:pt idx="3">
                  <c:v>5.8500000000000003E-2</c:v>
                </c:pt>
                <c:pt idx="4">
                  <c:v>1.4999999999999999E-2</c:v>
                </c:pt>
                <c:pt idx="5">
                  <c:v>0.50380000000000003</c:v>
                </c:pt>
                <c:pt idx="6">
                  <c:v>1.1469</c:v>
                </c:pt>
                <c:pt idx="7">
                  <c:v>0.1951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4E-44DB-B91D-2D440AB4B6CC}"/>
            </c:ext>
          </c:extLst>
        </c:ser>
        <c:ser>
          <c:idx val="3"/>
          <c:order val="3"/>
          <c:tx>
            <c:strRef>
              <c:f>Liberación!$H$3</c:f>
              <c:strCache>
                <c:ptCount val="1"/>
                <c:pt idx="0">
                  <c:v>≥30&lt;40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Liberación!$D$44:$D$51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Liberación!$H$44:$H$51</c:f>
              <c:numCache>
                <c:formatCode>0.0</c:formatCode>
                <c:ptCount val="8"/>
                <c:pt idx="0">
                  <c:v>0.66300000000000003</c:v>
                </c:pt>
                <c:pt idx="1">
                  <c:v>4.2328000000000001</c:v>
                </c:pt>
                <c:pt idx="2">
                  <c:v>6.7729999999999997</c:v>
                </c:pt>
                <c:pt idx="3">
                  <c:v>0.40939999999999999</c:v>
                </c:pt>
                <c:pt idx="4">
                  <c:v>3.0099999999999998E-2</c:v>
                </c:pt>
                <c:pt idx="5">
                  <c:v>0.15740000000000001</c:v>
                </c:pt>
                <c:pt idx="6">
                  <c:v>0.47849999999999998</c:v>
                </c:pt>
                <c:pt idx="7">
                  <c:v>2.4400000000000002E-2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4E-44DB-B91D-2D440AB4B6CC}"/>
            </c:ext>
          </c:extLst>
        </c:ser>
        <c:ser>
          <c:idx val="4"/>
          <c:order val="4"/>
          <c:tx>
            <c:strRef>
              <c:f>Liberación!$I$3</c:f>
              <c:strCache>
                <c:ptCount val="1"/>
                <c:pt idx="0">
                  <c:v>≥40&lt;50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Liberación!$D$44:$D$51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Liberación!$I$44:$I$51</c:f>
              <c:numCache>
                <c:formatCode>0.0</c:formatCode>
                <c:ptCount val="8"/>
                <c:pt idx="0">
                  <c:v>0.2026</c:v>
                </c:pt>
                <c:pt idx="1">
                  <c:v>2.6474000000000002</c:v>
                </c:pt>
                <c:pt idx="2">
                  <c:v>2.8788999999999998</c:v>
                </c:pt>
                <c:pt idx="3">
                  <c:v>0</c:v>
                </c:pt>
                <c:pt idx="4">
                  <c:v>7.5200000000000003E-2</c:v>
                </c:pt>
                <c:pt idx="5">
                  <c:v>0.54320000000000002</c:v>
                </c:pt>
                <c:pt idx="6">
                  <c:v>0.40810000000000002</c:v>
                </c:pt>
                <c:pt idx="7">
                  <c:v>0.58540000000000003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4E-44DB-B91D-2D440AB4B6CC}"/>
            </c:ext>
          </c:extLst>
        </c:ser>
        <c:ser>
          <c:idx val="5"/>
          <c:order val="5"/>
          <c:tx>
            <c:strRef>
              <c:f>Liberación!$J$3</c:f>
              <c:strCache>
                <c:ptCount val="1"/>
                <c:pt idx="0">
                  <c:v>≥50&lt;60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Liberación!$D$44:$D$51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Liberación!$J$44:$J$51</c:f>
              <c:numCache>
                <c:formatCode>0.0</c:formatCode>
                <c:ptCount val="8"/>
                <c:pt idx="0">
                  <c:v>2.2650999999999999</c:v>
                </c:pt>
                <c:pt idx="1">
                  <c:v>2.5085000000000002</c:v>
                </c:pt>
                <c:pt idx="2">
                  <c:v>2.2751999999999999</c:v>
                </c:pt>
                <c:pt idx="3">
                  <c:v>0</c:v>
                </c:pt>
                <c:pt idx="4">
                  <c:v>0.51119999999999999</c:v>
                </c:pt>
                <c:pt idx="5">
                  <c:v>2.1097000000000001</c:v>
                </c:pt>
                <c:pt idx="6">
                  <c:v>2.2932999999999999</c:v>
                </c:pt>
                <c:pt idx="7">
                  <c:v>1.7318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A4E-44DB-B91D-2D440AB4B6CC}"/>
            </c:ext>
          </c:extLst>
        </c:ser>
        <c:ser>
          <c:idx val="6"/>
          <c:order val="6"/>
          <c:tx>
            <c:strRef>
              <c:f>Liberación!$K$3</c:f>
              <c:strCache>
                <c:ptCount val="1"/>
                <c:pt idx="0">
                  <c:v>≥60&lt;70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Liberación!$D$44:$D$51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Liberación!$K$44:$K$51</c:f>
              <c:numCache>
                <c:formatCode>0.0</c:formatCode>
                <c:ptCount val="8"/>
                <c:pt idx="0">
                  <c:v>2.9832999999999998</c:v>
                </c:pt>
                <c:pt idx="1">
                  <c:v>10.445</c:v>
                </c:pt>
                <c:pt idx="2">
                  <c:v>4.2329999999999997</c:v>
                </c:pt>
                <c:pt idx="3">
                  <c:v>0.46779999999999999</c:v>
                </c:pt>
                <c:pt idx="4">
                  <c:v>0.90210000000000001</c:v>
                </c:pt>
                <c:pt idx="5">
                  <c:v>2.5268999999999999</c:v>
                </c:pt>
                <c:pt idx="6">
                  <c:v>1.2383999999999999</c:v>
                </c:pt>
                <c:pt idx="7">
                  <c:v>0.73170000000000002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A4E-44DB-B91D-2D440AB4B6CC}"/>
            </c:ext>
          </c:extLst>
        </c:ser>
        <c:ser>
          <c:idx val="7"/>
          <c:order val="7"/>
          <c:tx>
            <c:strRef>
              <c:f>Liberación!$L$3</c:f>
              <c:strCache>
                <c:ptCount val="1"/>
                <c:pt idx="0">
                  <c:v>≥70&lt;80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Liberación!$D$44:$D$51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Liberación!$L$44:$L$51</c:f>
              <c:numCache>
                <c:formatCode>0.0</c:formatCode>
                <c:ptCount val="8"/>
                <c:pt idx="0">
                  <c:v>2.6334</c:v>
                </c:pt>
                <c:pt idx="1">
                  <c:v>9.7614999999999998</c:v>
                </c:pt>
                <c:pt idx="2">
                  <c:v>7.0938999999999997</c:v>
                </c:pt>
                <c:pt idx="3">
                  <c:v>3.9180999999999999</c:v>
                </c:pt>
                <c:pt idx="4">
                  <c:v>1.9697</c:v>
                </c:pt>
                <c:pt idx="5">
                  <c:v>4.0141</c:v>
                </c:pt>
                <c:pt idx="6">
                  <c:v>8.4367000000000001</c:v>
                </c:pt>
                <c:pt idx="7">
                  <c:v>0.60980000000000001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A4E-44DB-B91D-2D440AB4B6CC}"/>
            </c:ext>
          </c:extLst>
        </c:ser>
        <c:ser>
          <c:idx val="8"/>
          <c:order val="8"/>
          <c:tx>
            <c:strRef>
              <c:f>Liberación!$M$3</c:f>
              <c:strCache>
                <c:ptCount val="1"/>
                <c:pt idx="0">
                  <c:v>≥80&lt;90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Liberación!$D$44:$D$51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Liberación!$M$44:$M$51</c:f>
              <c:numCache>
                <c:formatCode>0.0</c:formatCode>
                <c:ptCount val="8"/>
                <c:pt idx="0">
                  <c:v>4.8064</c:v>
                </c:pt>
                <c:pt idx="1">
                  <c:v>13.9374</c:v>
                </c:pt>
                <c:pt idx="2">
                  <c:v>8.8064999999999998</c:v>
                </c:pt>
                <c:pt idx="3">
                  <c:v>11.2865</c:v>
                </c:pt>
                <c:pt idx="4">
                  <c:v>2.7966000000000002</c:v>
                </c:pt>
                <c:pt idx="5">
                  <c:v>8.7615999999999996</c:v>
                </c:pt>
                <c:pt idx="6">
                  <c:v>10.603899999999999</c:v>
                </c:pt>
                <c:pt idx="7">
                  <c:v>1.1220000000000001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A4E-44DB-B91D-2D440AB4B6CC}"/>
            </c:ext>
          </c:extLst>
        </c:ser>
        <c:ser>
          <c:idx val="9"/>
          <c:order val="9"/>
          <c:tx>
            <c:strRef>
              <c:f>Liberación!$N$3</c:f>
              <c:strCache>
                <c:ptCount val="1"/>
                <c:pt idx="0">
                  <c:v>≥90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Liberación!$D$44:$D$51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Liberación!$N$44:$N$51</c:f>
              <c:numCache>
                <c:formatCode>0.0</c:formatCode>
                <c:ptCount val="8"/>
                <c:pt idx="0">
                  <c:v>85.746499999999997</c:v>
                </c:pt>
                <c:pt idx="1">
                  <c:v>47.822299999999998</c:v>
                </c:pt>
                <c:pt idx="2">
                  <c:v>57.382800000000003</c:v>
                </c:pt>
                <c:pt idx="3">
                  <c:v>78.304100000000005</c:v>
                </c:pt>
                <c:pt idx="4">
                  <c:v>93.534700000000001</c:v>
                </c:pt>
                <c:pt idx="5">
                  <c:v>80.225999999999999</c:v>
                </c:pt>
                <c:pt idx="6">
                  <c:v>73.846199999999996</c:v>
                </c:pt>
                <c:pt idx="7">
                  <c:v>94.097399999999993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A4E-44DB-B91D-2D440AB4B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16941008"/>
        <c:axId val="1416957808"/>
      </c:barChart>
      <c:catAx>
        <c:axId val="141694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16957808"/>
        <c:crosses val="max"/>
        <c:auto val="1"/>
        <c:lblAlgn val="ctr"/>
        <c:lblOffset val="100"/>
        <c:noMultiLvlLbl val="0"/>
      </c:catAx>
      <c:valAx>
        <c:axId val="1416957808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1694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Liberacion</a:t>
            </a:r>
            <a:r>
              <a:rPr lang="es-CL" baseline="0"/>
              <a:t> Calcopirita</a:t>
            </a:r>
            <a:endParaRPr lang="es-CL"/>
          </a:p>
        </c:rich>
      </c:tx>
      <c:layout>
        <c:manualLayout>
          <c:xMode val="edge"/>
          <c:yMode val="edge"/>
          <c:x val="0.25896522309711284"/>
          <c:y val="2.35980088483242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Liberación!$E$3</c:f>
              <c:strCache>
                <c:ptCount val="1"/>
                <c:pt idx="0">
                  <c:v>&lt;10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Liberación!$D$4:$D$11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Liberación!$E$4:$E$11</c:f>
              <c:numCache>
                <c:formatCode>0.0</c:formatCode>
                <c:ptCount val="8"/>
                <c:pt idx="0">
                  <c:v>1.7405999999999999</c:v>
                </c:pt>
                <c:pt idx="1">
                  <c:v>2.8123</c:v>
                </c:pt>
                <c:pt idx="2">
                  <c:v>8.3580000000000005</c:v>
                </c:pt>
                <c:pt idx="3">
                  <c:v>24.3017</c:v>
                </c:pt>
                <c:pt idx="4">
                  <c:v>0.27429999999999999</c:v>
                </c:pt>
                <c:pt idx="5">
                  <c:v>0.62139999999999995</c:v>
                </c:pt>
                <c:pt idx="6">
                  <c:v>4.5833000000000004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92-4CA8-9BCC-E6BADE1654CF}"/>
            </c:ext>
          </c:extLst>
        </c:ser>
        <c:ser>
          <c:idx val="1"/>
          <c:order val="1"/>
          <c:tx>
            <c:strRef>
              <c:f>Liberación!$F$3</c:f>
              <c:strCache>
                <c:ptCount val="1"/>
                <c:pt idx="0">
                  <c:v>≥10&lt;20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Liberación!$D$4:$D$11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Liberación!$F$4:$F$11</c:f>
              <c:numCache>
                <c:formatCode>0.0</c:formatCode>
                <c:ptCount val="8"/>
                <c:pt idx="0">
                  <c:v>2.4531999999999998</c:v>
                </c:pt>
                <c:pt idx="1">
                  <c:v>3.1633</c:v>
                </c:pt>
                <c:pt idx="2">
                  <c:v>9.4149999999999991</c:v>
                </c:pt>
                <c:pt idx="3">
                  <c:v>32.448799999999999</c:v>
                </c:pt>
                <c:pt idx="4">
                  <c:v>0.49769999999999998</c:v>
                </c:pt>
                <c:pt idx="5">
                  <c:v>1.6123000000000001</c:v>
                </c:pt>
                <c:pt idx="6">
                  <c:v>3.6726000000000001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92-4CA8-9BCC-E6BADE1654CF}"/>
            </c:ext>
          </c:extLst>
        </c:ser>
        <c:ser>
          <c:idx val="2"/>
          <c:order val="2"/>
          <c:tx>
            <c:strRef>
              <c:f>Liberación!$G$3</c:f>
              <c:strCache>
                <c:ptCount val="1"/>
                <c:pt idx="0">
                  <c:v>≥20&lt;30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Liberación!$D$4:$D$11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Liberación!$G$4:$G$11</c:f>
              <c:numCache>
                <c:formatCode>0.0</c:formatCode>
                <c:ptCount val="8"/>
                <c:pt idx="0">
                  <c:v>2.2256</c:v>
                </c:pt>
                <c:pt idx="1">
                  <c:v>6.0406000000000004</c:v>
                </c:pt>
                <c:pt idx="2">
                  <c:v>7.9409999999999998</c:v>
                </c:pt>
                <c:pt idx="3">
                  <c:v>2.8631000000000002</c:v>
                </c:pt>
                <c:pt idx="4">
                  <c:v>9.9500000000000005E-2</c:v>
                </c:pt>
                <c:pt idx="5">
                  <c:v>1.7669999999999999</c:v>
                </c:pt>
                <c:pt idx="6">
                  <c:v>4.5705999999999998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92-4CA8-9BCC-E6BADE1654CF}"/>
            </c:ext>
          </c:extLst>
        </c:ser>
        <c:ser>
          <c:idx val="3"/>
          <c:order val="3"/>
          <c:tx>
            <c:strRef>
              <c:f>Liberación!$H$3</c:f>
              <c:strCache>
                <c:ptCount val="1"/>
                <c:pt idx="0">
                  <c:v>≥30&lt;40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Liberación!$D$4:$D$11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Liberación!$H$4:$H$11</c:f>
              <c:numCache>
                <c:formatCode>0.0</c:formatCode>
                <c:ptCount val="8"/>
                <c:pt idx="0">
                  <c:v>0.33289999999999997</c:v>
                </c:pt>
                <c:pt idx="1">
                  <c:v>9.3704000000000001</c:v>
                </c:pt>
                <c:pt idx="2">
                  <c:v>7.5107999999999997</c:v>
                </c:pt>
                <c:pt idx="3">
                  <c:v>0</c:v>
                </c:pt>
                <c:pt idx="4">
                  <c:v>4.9301000000000004</c:v>
                </c:pt>
                <c:pt idx="5">
                  <c:v>1.1540999999999999</c:v>
                </c:pt>
                <c:pt idx="6">
                  <c:v>9.2545999999999999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92-4CA8-9BCC-E6BADE1654CF}"/>
            </c:ext>
          </c:extLst>
        </c:ser>
        <c:ser>
          <c:idx val="4"/>
          <c:order val="4"/>
          <c:tx>
            <c:strRef>
              <c:f>Liberación!$I$3</c:f>
              <c:strCache>
                <c:ptCount val="1"/>
                <c:pt idx="0">
                  <c:v>≥40&lt;50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Liberación!$D$4:$D$11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Liberación!$I$4:$I$11</c:f>
              <c:numCache>
                <c:formatCode>0.0</c:formatCode>
                <c:ptCount val="8"/>
                <c:pt idx="0">
                  <c:v>1.4423999999999999</c:v>
                </c:pt>
                <c:pt idx="1">
                  <c:v>13.0341</c:v>
                </c:pt>
                <c:pt idx="2">
                  <c:v>8.5337999999999994</c:v>
                </c:pt>
                <c:pt idx="3">
                  <c:v>0</c:v>
                </c:pt>
                <c:pt idx="4">
                  <c:v>0.92190000000000005</c:v>
                </c:pt>
                <c:pt idx="5">
                  <c:v>1.1193</c:v>
                </c:pt>
                <c:pt idx="6">
                  <c:v>4.5198999999999998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92-4CA8-9BCC-E6BADE1654CF}"/>
            </c:ext>
          </c:extLst>
        </c:ser>
        <c:ser>
          <c:idx val="5"/>
          <c:order val="5"/>
          <c:tx>
            <c:strRef>
              <c:f>Liberación!$J$3</c:f>
              <c:strCache>
                <c:ptCount val="1"/>
                <c:pt idx="0">
                  <c:v>≥50&lt;60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Liberación!$D$4:$D$11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Liberación!$J$4:$J$11</c:f>
              <c:numCache>
                <c:formatCode>0.0</c:formatCode>
                <c:ptCount val="8"/>
                <c:pt idx="0">
                  <c:v>3.1267999999999998</c:v>
                </c:pt>
                <c:pt idx="1">
                  <c:v>11.7506</c:v>
                </c:pt>
                <c:pt idx="2">
                  <c:v>5.8776999999999999</c:v>
                </c:pt>
                <c:pt idx="3">
                  <c:v>0</c:v>
                </c:pt>
                <c:pt idx="4">
                  <c:v>1.0215000000000001</c:v>
                </c:pt>
                <c:pt idx="5">
                  <c:v>3.4496000000000002</c:v>
                </c:pt>
                <c:pt idx="6">
                  <c:v>3.6152000000000002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992-4CA8-9BCC-E6BADE1654CF}"/>
            </c:ext>
          </c:extLst>
        </c:ser>
        <c:ser>
          <c:idx val="6"/>
          <c:order val="6"/>
          <c:tx>
            <c:strRef>
              <c:f>Liberación!$K$3</c:f>
              <c:strCache>
                <c:ptCount val="1"/>
                <c:pt idx="0">
                  <c:v>≥60&lt;70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Liberación!$D$4:$D$11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Liberación!$K$4:$K$11</c:f>
              <c:numCache>
                <c:formatCode>0.0</c:formatCode>
                <c:ptCount val="8"/>
                <c:pt idx="0">
                  <c:v>5.7355</c:v>
                </c:pt>
                <c:pt idx="1">
                  <c:v>7.7317</c:v>
                </c:pt>
                <c:pt idx="2">
                  <c:v>3.3435999999999999</c:v>
                </c:pt>
                <c:pt idx="3">
                  <c:v>0</c:v>
                </c:pt>
                <c:pt idx="4">
                  <c:v>1.3935</c:v>
                </c:pt>
                <c:pt idx="5">
                  <c:v>4.7892000000000001</c:v>
                </c:pt>
                <c:pt idx="6">
                  <c:v>3.7589999999999999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92-4CA8-9BCC-E6BADE1654CF}"/>
            </c:ext>
          </c:extLst>
        </c:ser>
        <c:ser>
          <c:idx val="7"/>
          <c:order val="7"/>
          <c:tx>
            <c:strRef>
              <c:f>Liberación!$L$3</c:f>
              <c:strCache>
                <c:ptCount val="1"/>
                <c:pt idx="0">
                  <c:v>≥70&lt;80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Liberación!$D$4:$D$11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Liberación!$L$4:$L$11</c:f>
              <c:numCache>
                <c:formatCode>0.0</c:formatCode>
                <c:ptCount val="8"/>
                <c:pt idx="0">
                  <c:v>6.3381999999999996</c:v>
                </c:pt>
                <c:pt idx="1">
                  <c:v>4.7061999999999999</c:v>
                </c:pt>
                <c:pt idx="2">
                  <c:v>6.8227000000000002</c:v>
                </c:pt>
                <c:pt idx="3">
                  <c:v>0</c:v>
                </c:pt>
                <c:pt idx="4">
                  <c:v>2.3639999999999999</c:v>
                </c:pt>
                <c:pt idx="5">
                  <c:v>5.6584000000000003</c:v>
                </c:pt>
                <c:pt idx="6">
                  <c:v>10.811999999999999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992-4CA8-9BCC-E6BADE1654CF}"/>
            </c:ext>
          </c:extLst>
        </c:ser>
        <c:ser>
          <c:idx val="8"/>
          <c:order val="8"/>
          <c:tx>
            <c:strRef>
              <c:f>Liberación!$M$3</c:f>
              <c:strCache>
                <c:ptCount val="1"/>
                <c:pt idx="0">
                  <c:v>≥80&lt;90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Liberación!$D$4:$D$11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Liberación!$M$4:$M$11</c:f>
              <c:numCache>
                <c:formatCode>0.0</c:formatCode>
                <c:ptCount val="8"/>
                <c:pt idx="0">
                  <c:v>0.504</c:v>
                </c:pt>
                <c:pt idx="1">
                  <c:v>6.0815000000000001</c:v>
                </c:pt>
                <c:pt idx="2">
                  <c:v>4.6338999999999997</c:v>
                </c:pt>
                <c:pt idx="3">
                  <c:v>0</c:v>
                </c:pt>
                <c:pt idx="4">
                  <c:v>3.3647999999999998</c:v>
                </c:pt>
                <c:pt idx="5">
                  <c:v>2.694</c:v>
                </c:pt>
                <c:pt idx="6">
                  <c:v>3.4695999999999998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992-4CA8-9BCC-E6BADE1654CF}"/>
            </c:ext>
          </c:extLst>
        </c:ser>
        <c:ser>
          <c:idx val="9"/>
          <c:order val="9"/>
          <c:tx>
            <c:strRef>
              <c:f>Liberación!$N$3</c:f>
              <c:strCache>
                <c:ptCount val="1"/>
                <c:pt idx="0">
                  <c:v>≥90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Liberación!$D$4:$D$11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Liberación!$N$4:$N$11</c:f>
              <c:numCache>
                <c:formatCode>0.0</c:formatCode>
                <c:ptCount val="8"/>
                <c:pt idx="0">
                  <c:v>76.100899999999996</c:v>
                </c:pt>
                <c:pt idx="1">
                  <c:v>35.3093</c:v>
                </c:pt>
                <c:pt idx="2">
                  <c:v>37.563499999999998</c:v>
                </c:pt>
                <c:pt idx="3">
                  <c:v>40.386400000000002</c:v>
                </c:pt>
                <c:pt idx="4">
                  <c:v>85.132599999999996</c:v>
                </c:pt>
                <c:pt idx="5">
                  <c:v>77.134799999999998</c:v>
                </c:pt>
                <c:pt idx="6">
                  <c:v>51.743099999999998</c:v>
                </c:pt>
                <c:pt idx="7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992-4CA8-9BCC-E6BADE165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16941008"/>
        <c:axId val="1416957808"/>
      </c:barChart>
      <c:catAx>
        <c:axId val="141694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16957808"/>
        <c:crosses val="max"/>
        <c:auto val="1"/>
        <c:lblAlgn val="ctr"/>
        <c:lblOffset val="100"/>
        <c:noMultiLvlLbl val="0"/>
      </c:catAx>
      <c:valAx>
        <c:axId val="1416957808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1694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Liberacion Covelina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Liberación!$E$3</c:f>
              <c:strCache>
                <c:ptCount val="1"/>
                <c:pt idx="0">
                  <c:v>&lt;10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Liberación!$D$28:$D$35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Liberación!$E$28:$E$35</c:f>
              <c:numCache>
                <c:formatCode>0.0</c:formatCode>
                <c:ptCount val="8"/>
                <c:pt idx="0">
                  <c:v>0</c:v>
                </c:pt>
                <c:pt idx="1">
                  <c:v>8.5618999999999996</c:v>
                </c:pt>
                <c:pt idx="2">
                  <c:v>9.3150999999999993</c:v>
                </c:pt>
                <c:pt idx="3">
                  <c:v>0</c:v>
                </c:pt>
                <c:pt idx="4">
                  <c:v>0</c:v>
                </c:pt>
                <c:pt idx="5">
                  <c:v>1.4484999999999999</c:v>
                </c:pt>
                <c:pt idx="6">
                  <c:v>2.9668000000000001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BF-42BF-B14A-D8DCD7E27293}"/>
            </c:ext>
          </c:extLst>
        </c:ser>
        <c:ser>
          <c:idx val="1"/>
          <c:order val="1"/>
          <c:tx>
            <c:strRef>
              <c:f>Liberación!$F$3</c:f>
              <c:strCache>
                <c:ptCount val="1"/>
                <c:pt idx="0">
                  <c:v>≥10&lt;20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Liberación!$D$28:$D$35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Liberación!$F$28:$F$35</c:f>
              <c:numCache>
                <c:formatCode>0.0</c:formatCode>
                <c:ptCount val="8"/>
                <c:pt idx="0">
                  <c:v>6.6351000000000004</c:v>
                </c:pt>
                <c:pt idx="1">
                  <c:v>3.99</c:v>
                </c:pt>
                <c:pt idx="2">
                  <c:v>25.205500000000001</c:v>
                </c:pt>
                <c:pt idx="3">
                  <c:v>75</c:v>
                </c:pt>
                <c:pt idx="4">
                  <c:v>3.4782999999999999</c:v>
                </c:pt>
                <c:pt idx="5">
                  <c:v>3.3262</c:v>
                </c:pt>
                <c:pt idx="6">
                  <c:v>14.485200000000001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BF-42BF-B14A-D8DCD7E27293}"/>
            </c:ext>
          </c:extLst>
        </c:ser>
        <c:ser>
          <c:idx val="2"/>
          <c:order val="2"/>
          <c:tx>
            <c:strRef>
              <c:f>Liberación!$G$3</c:f>
              <c:strCache>
                <c:ptCount val="1"/>
                <c:pt idx="0">
                  <c:v>≥20&lt;30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Liberación!$D$28:$D$35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Liberación!$G$28:$G$35</c:f>
              <c:numCache>
                <c:formatCode>0.0</c:formatCode>
                <c:ptCount val="8"/>
                <c:pt idx="0">
                  <c:v>5.4501999999999997</c:v>
                </c:pt>
                <c:pt idx="1">
                  <c:v>5.2369000000000003</c:v>
                </c:pt>
                <c:pt idx="2">
                  <c:v>19.452100000000002</c:v>
                </c:pt>
                <c:pt idx="3">
                  <c:v>0</c:v>
                </c:pt>
                <c:pt idx="4">
                  <c:v>0</c:v>
                </c:pt>
                <c:pt idx="5">
                  <c:v>3.97</c:v>
                </c:pt>
                <c:pt idx="6">
                  <c:v>3.1414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BF-42BF-B14A-D8DCD7E27293}"/>
            </c:ext>
          </c:extLst>
        </c:ser>
        <c:ser>
          <c:idx val="3"/>
          <c:order val="3"/>
          <c:tx>
            <c:strRef>
              <c:f>Liberación!$H$3</c:f>
              <c:strCache>
                <c:ptCount val="1"/>
                <c:pt idx="0">
                  <c:v>≥30&lt;40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Liberación!$D$28:$D$35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Liberación!$H$28:$H$35</c:f>
              <c:numCache>
                <c:formatCode>0.0</c:formatCode>
                <c:ptCount val="8"/>
                <c:pt idx="0">
                  <c:v>1.1848000000000001</c:v>
                </c:pt>
                <c:pt idx="1">
                  <c:v>1.4963</c:v>
                </c:pt>
                <c:pt idx="2">
                  <c:v>0</c:v>
                </c:pt>
                <c:pt idx="3">
                  <c:v>0</c:v>
                </c:pt>
                <c:pt idx="4">
                  <c:v>0.57969999999999999</c:v>
                </c:pt>
                <c:pt idx="5">
                  <c:v>6.0621999999999998</c:v>
                </c:pt>
                <c:pt idx="6">
                  <c:v>1.9197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BF-42BF-B14A-D8DCD7E27293}"/>
            </c:ext>
          </c:extLst>
        </c:ser>
        <c:ser>
          <c:idx val="4"/>
          <c:order val="4"/>
          <c:tx>
            <c:strRef>
              <c:f>Liberación!$I$3</c:f>
              <c:strCache>
                <c:ptCount val="1"/>
                <c:pt idx="0">
                  <c:v>≥40&lt;50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Liberación!$D$28:$D$35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Liberación!$I$28:$I$35</c:f>
              <c:numCache>
                <c:formatCode>0.0</c:formatCode>
                <c:ptCount val="8"/>
                <c:pt idx="0">
                  <c:v>1.8956999999999999</c:v>
                </c:pt>
                <c:pt idx="1">
                  <c:v>1.5793999999999999</c:v>
                </c:pt>
                <c:pt idx="2">
                  <c:v>13.4247</c:v>
                </c:pt>
                <c:pt idx="3">
                  <c:v>0</c:v>
                </c:pt>
                <c:pt idx="4">
                  <c:v>0</c:v>
                </c:pt>
                <c:pt idx="5">
                  <c:v>2.1996000000000002</c:v>
                </c:pt>
                <c:pt idx="6">
                  <c:v>5.9337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BF-42BF-B14A-D8DCD7E27293}"/>
            </c:ext>
          </c:extLst>
        </c:ser>
        <c:ser>
          <c:idx val="5"/>
          <c:order val="5"/>
          <c:tx>
            <c:strRef>
              <c:f>Liberación!$J$3</c:f>
              <c:strCache>
                <c:ptCount val="1"/>
                <c:pt idx="0">
                  <c:v>≥50&lt;60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Liberación!$D$28:$D$35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Liberación!$J$28:$J$35</c:f>
              <c:numCache>
                <c:formatCode>0.0</c:formatCode>
                <c:ptCount val="8"/>
                <c:pt idx="0">
                  <c:v>0.47389999999999999</c:v>
                </c:pt>
                <c:pt idx="1">
                  <c:v>5.2369000000000003</c:v>
                </c:pt>
                <c:pt idx="2">
                  <c:v>1.2329000000000001</c:v>
                </c:pt>
                <c:pt idx="3">
                  <c:v>0</c:v>
                </c:pt>
                <c:pt idx="4">
                  <c:v>3.7681</c:v>
                </c:pt>
                <c:pt idx="5">
                  <c:v>4.0236000000000001</c:v>
                </c:pt>
                <c:pt idx="6">
                  <c:v>9.7730999999999995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8BF-42BF-B14A-D8DCD7E27293}"/>
            </c:ext>
          </c:extLst>
        </c:ser>
        <c:ser>
          <c:idx val="6"/>
          <c:order val="6"/>
          <c:tx>
            <c:strRef>
              <c:f>Liberación!$K$3</c:f>
              <c:strCache>
                <c:ptCount val="1"/>
                <c:pt idx="0">
                  <c:v>≥60&lt;70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Liberación!$D$28:$D$35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Liberación!$K$28:$K$35</c:f>
              <c:numCache>
                <c:formatCode>0.0</c:formatCode>
                <c:ptCount val="8"/>
                <c:pt idx="0">
                  <c:v>2.6065999999999998</c:v>
                </c:pt>
                <c:pt idx="1">
                  <c:v>1.8288</c:v>
                </c:pt>
                <c:pt idx="2">
                  <c:v>0</c:v>
                </c:pt>
                <c:pt idx="3">
                  <c:v>0</c:v>
                </c:pt>
                <c:pt idx="4">
                  <c:v>2.8986000000000001</c:v>
                </c:pt>
                <c:pt idx="5">
                  <c:v>2.3069000000000002</c:v>
                </c:pt>
                <c:pt idx="6">
                  <c:v>4.8865999999999996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8BF-42BF-B14A-D8DCD7E27293}"/>
            </c:ext>
          </c:extLst>
        </c:ser>
        <c:ser>
          <c:idx val="7"/>
          <c:order val="7"/>
          <c:tx>
            <c:strRef>
              <c:f>Liberación!$L$3</c:f>
              <c:strCache>
                <c:ptCount val="1"/>
                <c:pt idx="0">
                  <c:v>≥70&lt;80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Liberación!$D$28:$D$35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Liberación!$L$28:$L$35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6.9863</c:v>
                </c:pt>
                <c:pt idx="3">
                  <c:v>0</c:v>
                </c:pt>
                <c:pt idx="4">
                  <c:v>0</c:v>
                </c:pt>
                <c:pt idx="5">
                  <c:v>4.7210000000000001</c:v>
                </c:pt>
                <c:pt idx="6">
                  <c:v>0.87260000000000004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8BF-42BF-B14A-D8DCD7E27293}"/>
            </c:ext>
          </c:extLst>
        </c:ser>
        <c:ser>
          <c:idx val="8"/>
          <c:order val="8"/>
          <c:tx>
            <c:strRef>
              <c:f>Liberación!$M$3</c:f>
              <c:strCache>
                <c:ptCount val="1"/>
                <c:pt idx="0">
                  <c:v>≥80&lt;90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Liberación!$D$28:$D$35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Liberación!$M$28:$M$35</c:f>
              <c:numCache>
                <c:formatCode>0.0</c:formatCode>
                <c:ptCount val="8"/>
                <c:pt idx="0">
                  <c:v>4.9763000000000002</c:v>
                </c:pt>
                <c:pt idx="1">
                  <c:v>0</c:v>
                </c:pt>
                <c:pt idx="2">
                  <c:v>6.4383999999999997</c:v>
                </c:pt>
                <c:pt idx="3">
                  <c:v>0</c:v>
                </c:pt>
                <c:pt idx="4">
                  <c:v>0</c:v>
                </c:pt>
                <c:pt idx="5">
                  <c:v>13.787599999999999</c:v>
                </c:pt>
                <c:pt idx="6">
                  <c:v>2.7923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8BF-42BF-B14A-D8DCD7E27293}"/>
            </c:ext>
          </c:extLst>
        </c:ser>
        <c:ser>
          <c:idx val="9"/>
          <c:order val="9"/>
          <c:tx>
            <c:strRef>
              <c:f>Liberación!$N$3</c:f>
              <c:strCache>
                <c:ptCount val="1"/>
                <c:pt idx="0">
                  <c:v>≥90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Liberación!$D$28:$D$35</c:f>
              <c:strCache>
                <c:ptCount val="8"/>
                <c:pt idx="0">
                  <c:v>Alim 1°CL</c:v>
                </c:pt>
                <c:pt idx="1">
                  <c:v>Conc 1°CL</c:v>
                </c:pt>
                <c:pt idx="2">
                  <c:v>Conc CL SCV</c:v>
                </c:pt>
                <c:pt idx="3">
                  <c:v>Rel SCV</c:v>
                </c:pt>
                <c:pt idx="4">
                  <c:v>Alim 1°CL</c:v>
                </c:pt>
                <c:pt idx="5">
                  <c:v>Conc 1°CL</c:v>
                </c:pt>
                <c:pt idx="6">
                  <c:v>Conc CL SCV</c:v>
                </c:pt>
                <c:pt idx="7">
                  <c:v>Rel SCV</c:v>
                </c:pt>
              </c:strCache>
            </c:strRef>
          </c:cat>
          <c:val>
            <c:numRef>
              <c:f>Liberación!$N$28:$N$35</c:f>
              <c:numCache>
                <c:formatCode>0.0</c:formatCode>
                <c:ptCount val="8"/>
                <c:pt idx="0">
                  <c:v>76.777299999999997</c:v>
                </c:pt>
                <c:pt idx="1">
                  <c:v>72.069800000000001</c:v>
                </c:pt>
                <c:pt idx="2">
                  <c:v>17.9452</c:v>
                </c:pt>
                <c:pt idx="3">
                  <c:v>25</c:v>
                </c:pt>
                <c:pt idx="4">
                  <c:v>89.275400000000005</c:v>
                </c:pt>
                <c:pt idx="5">
                  <c:v>58.154499999999999</c:v>
                </c:pt>
                <c:pt idx="6">
                  <c:v>53.2286</c:v>
                </c:pt>
                <c:pt idx="7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8BF-42BF-B14A-D8DCD7E27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16941008"/>
        <c:axId val="1416957808"/>
      </c:barChart>
      <c:catAx>
        <c:axId val="141694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16957808"/>
        <c:crosses val="max"/>
        <c:auto val="1"/>
        <c:lblAlgn val="ctr"/>
        <c:lblOffset val="100"/>
        <c:noMultiLvlLbl val="0"/>
      </c:catAx>
      <c:valAx>
        <c:axId val="1416957808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1694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ALIMENTACION 1° CLEANER NOCHE 01-09-25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'Asociacion Mine'!$AJ$2</c:f>
              <c:strCache>
                <c:ptCount val="1"/>
                <c:pt idx="0">
                  <c:v>Partículas libres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'Asociacion Mine'!$AK$1:$AO$1</c:f>
              <c:strCache>
                <c:ptCount val="5"/>
                <c:pt idx="0">
                  <c:v>Bornita</c:v>
                </c:pt>
                <c:pt idx="1">
                  <c:v>Calcosina/digenita</c:v>
                </c:pt>
                <c:pt idx="2">
                  <c:v>Calcopirita</c:v>
                </c:pt>
                <c:pt idx="3">
                  <c:v>Pirita</c:v>
                </c:pt>
                <c:pt idx="4">
                  <c:v>Covelina</c:v>
                </c:pt>
              </c:strCache>
            </c:strRef>
          </c:cat>
          <c:val>
            <c:numRef>
              <c:f>'Asociacion Mine'!$AK$2:$AO$2</c:f>
              <c:numCache>
                <c:formatCode>General</c:formatCode>
                <c:ptCount val="5"/>
                <c:pt idx="0">
                  <c:v>55.84</c:v>
                </c:pt>
                <c:pt idx="1">
                  <c:v>83.77</c:v>
                </c:pt>
                <c:pt idx="2">
                  <c:v>71.790000000000006</c:v>
                </c:pt>
                <c:pt idx="3">
                  <c:v>76.150000000000006</c:v>
                </c:pt>
                <c:pt idx="4">
                  <c:v>62.32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FD-43BD-AFC0-04B7A3EB5A41}"/>
            </c:ext>
          </c:extLst>
        </c:ser>
        <c:ser>
          <c:idx val="1"/>
          <c:order val="1"/>
          <c:tx>
            <c:strRef>
              <c:f>'Asociacion Mine'!$AJ$3</c:f>
              <c:strCache>
                <c:ptCount val="1"/>
                <c:pt idx="0">
                  <c:v>Partículas binarias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'Asociacion Mine'!$AK$1:$AO$1</c:f>
              <c:strCache>
                <c:ptCount val="5"/>
                <c:pt idx="0">
                  <c:v>Bornita</c:v>
                </c:pt>
                <c:pt idx="1">
                  <c:v>Calcosina/digenita</c:v>
                </c:pt>
                <c:pt idx="2">
                  <c:v>Calcopirita</c:v>
                </c:pt>
                <c:pt idx="3">
                  <c:v>Pirita</c:v>
                </c:pt>
                <c:pt idx="4">
                  <c:v>Covelina</c:v>
                </c:pt>
              </c:strCache>
            </c:strRef>
          </c:cat>
          <c:val>
            <c:numRef>
              <c:f>'Asociacion Mine'!$AK$3:$AO$3</c:f>
              <c:numCache>
                <c:formatCode>General</c:formatCode>
                <c:ptCount val="5"/>
                <c:pt idx="0">
                  <c:v>18.52</c:v>
                </c:pt>
                <c:pt idx="1">
                  <c:v>11.89</c:v>
                </c:pt>
                <c:pt idx="2">
                  <c:v>20.27</c:v>
                </c:pt>
                <c:pt idx="3">
                  <c:v>20.420000000000002</c:v>
                </c:pt>
                <c:pt idx="4">
                  <c:v>31.99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FD-43BD-AFC0-04B7A3EB5A41}"/>
            </c:ext>
          </c:extLst>
        </c:ser>
        <c:ser>
          <c:idx val="2"/>
          <c:order val="2"/>
          <c:tx>
            <c:strRef>
              <c:f>'Asociacion Mine'!$AJ$4</c:f>
              <c:strCache>
                <c:ptCount val="1"/>
                <c:pt idx="0">
                  <c:v>Partículas complejas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'Asociacion Mine'!$AK$1:$AO$1</c:f>
              <c:strCache>
                <c:ptCount val="5"/>
                <c:pt idx="0">
                  <c:v>Bornita</c:v>
                </c:pt>
                <c:pt idx="1">
                  <c:v>Calcosina/digenita</c:v>
                </c:pt>
                <c:pt idx="2">
                  <c:v>Calcopirita</c:v>
                </c:pt>
                <c:pt idx="3">
                  <c:v>Pirita</c:v>
                </c:pt>
                <c:pt idx="4">
                  <c:v>Covelina</c:v>
                </c:pt>
              </c:strCache>
            </c:strRef>
          </c:cat>
          <c:val>
            <c:numRef>
              <c:f>'Asociacion Mine'!$AK$4:$AO$4</c:f>
              <c:numCache>
                <c:formatCode>General</c:formatCode>
                <c:ptCount val="5"/>
                <c:pt idx="0">
                  <c:v>25.65</c:v>
                </c:pt>
                <c:pt idx="1">
                  <c:v>4.34</c:v>
                </c:pt>
                <c:pt idx="2">
                  <c:v>7.93</c:v>
                </c:pt>
                <c:pt idx="3">
                  <c:v>3.43</c:v>
                </c:pt>
                <c:pt idx="4">
                  <c:v>5.69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FD-43BD-AFC0-04B7A3EB5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5605376"/>
        <c:axId val="915606816"/>
      </c:barChart>
      <c:catAx>
        <c:axId val="91560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15606816"/>
        <c:crosses val="autoZero"/>
        <c:auto val="1"/>
        <c:lblAlgn val="ctr"/>
        <c:lblOffset val="100"/>
        <c:noMultiLvlLbl val="0"/>
      </c:catAx>
      <c:valAx>
        <c:axId val="91560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1560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CONCENTRADO 1° CLEANER NOCHE 01-09-25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'Asociacion Mine'!$AJ$25</c:f>
              <c:strCache>
                <c:ptCount val="1"/>
                <c:pt idx="0">
                  <c:v>Partículas libres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'Asociacion Mine'!$AK$1:$AO$1</c:f>
              <c:strCache>
                <c:ptCount val="5"/>
                <c:pt idx="0">
                  <c:v>Bornita</c:v>
                </c:pt>
                <c:pt idx="1">
                  <c:v>Calcosina/digenita</c:v>
                </c:pt>
                <c:pt idx="2">
                  <c:v>Calcopirita</c:v>
                </c:pt>
                <c:pt idx="3">
                  <c:v>Pirita</c:v>
                </c:pt>
                <c:pt idx="4">
                  <c:v>Covelina</c:v>
                </c:pt>
              </c:strCache>
            </c:strRef>
          </c:cat>
          <c:val>
            <c:numRef>
              <c:f>'Asociacion Mine'!$AK$25:$AO$25</c:f>
              <c:numCache>
                <c:formatCode>General</c:formatCode>
                <c:ptCount val="5"/>
                <c:pt idx="0">
                  <c:v>44.33</c:v>
                </c:pt>
                <c:pt idx="1">
                  <c:v>41.31</c:v>
                </c:pt>
                <c:pt idx="2">
                  <c:v>34.700000000000003</c:v>
                </c:pt>
                <c:pt idx="3">
                  <c:v>20.04</c:v>
                </c:pt>
                <c:pt idx="4">
                  <c:v>59.02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D5-4471-B4CB-C43FDACAEC04}"/>
            </c:ext>
          </c:extLst>
        </c:ser>
        <c:ser>
          <c:idx val="1"/>
          <c:order val="1"/>
          <c:tx>
            <c:strRef>
              <c:f>'Asociacion Mine'!$AJ$26</c:f>
              <c:strCache>
                <c:ptCount val="1"/>
                <c:pt idx="0">
                  <c:v>Partículas binarias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'Asociacion Mine'!$AK$1:$AO$1</c:f>
              <c:strCache>
                <c:ptCount val="5"/>
                <c:pt idx="0">
                  <c:v>Bornita</c:v>
                </c:pt>
                <c:pt idx="1">
                  <c:v>Calcosina/digenita</c:v>
                </c:pt>
                <c:pt idx="2">
                  <c:v>Calcopirita</c:v>
                </c:pt>
                <c:pt idx="3">
                  <c:v>Pirita</c:v>
                </c:pt>
                <c:pt idx="4">
                  <c:v>Covelina</c:v>
                </c:pt>
              </c:strCache>
            </c:strRef>
          </c:cat>
          <c:val>
            <c:numRef>
              <c:f>'Asociacion Mine'!$AK$26:$AO$26</c:f>
              <c:numCache>
                <c:formatCode>General</c:formatCode>
                <c:ptCount val="5"/>
                <c:pt idx="0">
                  <c:v>12.81</c:v>
                </c:pt>
                <c:pt idx="1">
                  <c:v>38.67</c:v>
                </c:pt>
                <c:pt idx="2">
                  <c:v>30.51</c:v>
                </c:pt>
                <c:pt idx="3">
                  <c:v>26.33</c:v>
                </c:pt>
                <c:pt idx="4">
                  <c:v>11.47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D5-4471-B4CB-C43FDACAEC04}"/>
            </c:ext>
          </c:extLst>
        </c:ser>
        <c:ser>
          <c:idx val="2"/>
          <c:order val="2"/>
          <c:tx>
            <c:strRef>
              <c:f>'Asociacion Mine'!$AJ$27</c:f>
              <c:strCache>
                <c:ptCount val="1"/>
                <c:pt idx="0">
                  <c:v>Partículas complejas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'Asociacion Mine'!$AK$1:$AO$1</c:f>
              <c:strCache>
                <c:ptCount val="5"/>
                <c:pt idx="0">
                  <c:v>Bornita</c:v>
                </c:pt>
                <c:pt idx="1">
                  <c:v>Calcosina/digenita</c:v>
                </c:pt>
                <c:pt idx="2">
                  <c:v>Calcopirita</c:v>
                </c:pt>
                <c:pt idx="3">
                  <c:v>Pirita</c:v>
                </c:pt>
                <c:pt idx="4">
                  <c:v>Covelina</c:v>
                </c:pt>
              </c:strCache>
            </c:strRef>
          </c:cat>
          <c:val>
            <c:numRef>
              <c:f>'Asociacion Mine'!$AK$27:$AO$27</c:f>
              <c:numCache>
                <c:formatCode>General</c:formatCode>
                <c:ptCount val="5"/>
                <c:pt idx="0">
                  <c:v>42.86</c:v>
                </c:pt>
                <c:pt idx="1">
                  <c:v>20.02</c:v>
                </c:pt>
                <c:pt idx="2">
                  <c:v>34.79</c:v>
                </c:pt>
                <c:pt idx="3">
                  <c:v>53.64</c:v>
                </c:pt>
                <c:pt idx="4">
                  <c:v>29.51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D5-4471-B4CB-C43FDACAE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5605376"/>
        <c:axId val="915606816"/>
      </c:barChart>
      <c:catAx>
        <c:axId val="91560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15606816"/>
        <c:crosses val="autoZero"/>
        <c:auto val="1"/>
        <c:lblAlgn val="ctr"/>
        <c:lblOffset val="100"/>
        <c:noMultiLvlLbl val="0"/>
      </c:catAx>
      <c:valAx>
        <c:axId val="91560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1560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CONCENTRADO CL SCV NOCHE 01-09-25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'Asociacion Mine'!$AJ$47</c:f>
              <c:strCache>
                <c:ptCount val="1"/>
                <c:pt idx="0">
                  <c:v>Partículas libres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'Asociacion Mine'!$AK$1:$AO$1</c:f>
              <c:strCache>
                <c:ptCount val="5"/>
                <c:pt idx="0">
                  <c:v>Bornita</c:v>
                </c:pt>
                <c:pt idx="1">
                  <c:v>Calcosina/digenita</c:v>
                </c:pt>
                <c:pt idx="2">
                  <c:v>Calcopirita</c:v>
                </c:pt>
                <c:pt idx="3">
                  <c:v>Pirita</c:v>
                </c:pt>
                <c:pt idx="4">
                  <c:v>Covelina</c:v>
                </c:pt>
              </c:strCache>
            </c:strRef>
          </c:cat>
          <c:val>
            <c:numRef>
              <c:f>'Asociacion Mine'!$AK$47:$AO$47</c:f>
              <c:numCache>
                <c:formatCode>General</c:formatCode>
                <c:ptCount val="5"/>
                <c:pt idx="0">
                  <c:v>37.14</c:v>
                </c:pt>
                <c:pt idx="1">
                  <c:v>24.44</c:v>
                </c:pt>
                <c:pt idx="2">
                  <c:v>34.32</c:v>
                </c:pt>
                <c:pt idx="3">
                  <c:v>40.78</c:v>
                </c:pt>
                <c:pt idx="4">
                  <c:v>17.95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C8-4B83-8A71-5833486EF7E8}"/>
            </c:ext>
          </c:extLst>
        </c:ser>
        <c:ser>
          <c:idx val="1"/>
          <c:order val="1"/>
          <c:tx>
            <c:strRef>
              <c:f>'Asociacion Mine'!$AJ$48</c:f>
              <c:strCache>
                <c:ptCount val="1"/>
                <c:pt idx="0">
                  <c:v>Partículas binarias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'Asociacion Mine'!$AK$1:$AO$1</c:f>
              <c:strCache>
                <c:ptCount val="5"/>
                <c:pt idx="0">
                  <c:v>Bornita</c:v>
                </c:pt>
                <c:pt idx="1">
                  <c:v>Calcosina/digenita</c:v>
                </c:pt>
                <c:pt idx="2">
                  <c:v>Calcopirita</c:v>
                </c:pt>
                <c:pt idx="3">
                  <c:v>Pirita</c:v>
                </c:pt>
                <c:pt idx="4">
                  <c:v>Covelina</c:v>
                </c:pt>
              </c:strCache>
            </c:strRef>
          </c:cat>
          <c:val>
            <c:numRef>
              <c:f>'Asociacion Mine'!$AK$48:$AO$48</c:f>
              <c:numCache>
                <c:formatCode>General</c:formatCode>
                <c:ptCount val="5"/>
                <c:pt idx="0">
                  <c:v>14.97</c:v>
                </c:pt>
                <c:pt idx="1">
                  <c:v>4.62</c:v>
                </c:pt>
                <c:pt idx="2">
                  <c:v>17.09</c:v>
                </c:pt>
                <c:pt idx="3">
                  <c:v>17.010000000000002</c:v>
                </c:pt>
                <c:pt idx="4">
                  <c:v>11.1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C8-4B83-8A71-5833486EF7E8}"/>
            </c:ext>
          </c:extLst>
        </c:ser>
        <c:ser>
          <c:idx val="2"/>
          <c:order val="2"/>
          <c:tx>
            <c:strRef>
              <c:f>'Asociacion Mine'!$AJ$49</c:f>
              <c:strCache>
                <c:ptCount val="1"/>
                <c:pt idx="0">
                  <c:v>Partículas complejas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'Asociacion Mine'!$AK$1:$AO$1</c:f>
              <c:strCache>
                <c:ptCount val="5"/>
                <c:pt idx="0">
                  <c:v>Bornita</c:v>
                </c:pt>
                <c:pt idx="1">
                  <c:v>Calcosina/digenita</c:v>
                </c:pt>
                <c:pt idx="2">
                  <c:v>Calcopirita</c:v>
                </c:pt>
                <c:pt idx="3">
                  <c:v>Pirita</c:v>
                </c:pt>
                <c:pt idx="4">
                  <c:v>Covelina</c:v>
                </c:pt>
              </c:strCache>
            </c:strRef>
          </c:cat>
          <c:val>
            <c:numRef>
              <c:f>'Asociacion Mine'!$AK$49:$AO$49</c:f>
              <c:numCache>
                <c:formatCode>General</c:formatCode>
                <c:ptCount val="5"/>
                <c:pt idx="0">
                  <c:v>47.89</c:v>
                </c:pt>
                <c:pt idx="1">
                  <c:v>70.95</c:v>
                </c:pt>
                <c:pt idx="2">
                  <c:v>48.59</c:v>
                </c:pt>
                <c:pt idx="3">
                  <c:v>42.21</c:v>
                </c:pt>
                <c:pt idx="4">
                  <c:v>70.959999999999994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C8-4B83-8A71-5833486EF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5605376"/>
        <c:axId val="915606816"/>
      </c:barChart>
      <c:catAx>
        <c:axId val="91560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15606816"/>
        <c:crosses val="autoZero"/>
        <c:auto val="1"/>
        <c:lblAlgn val="ctr"/>
        <c:lblOffset val="100"/>
        <c:noMultiLvlLbl val="0"/>
      </c:catAx>
      <c:valAx>
        <c:axId val="91560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1560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RELAVE</a:t>
            </a:r>
            <a:r>
              <a:rPr lang="es-CL" baseline="0"/>
              <a:t> </a:t>
            </a:r>
            <a:r>
              <a:rPr lang="es-CL"/>
              <a:t>SCV NOCHE 01-09-25</a:t>
            </a:r>
          </a:p>
        </c:rich>
      </c:tx>
      <c:layout>
        <c:manualLayout>
          <c:xMode val="edge"/>
          <c:yMode val="edge"/>
          <c:x val="0.24977777777777777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'Asociacion Mine'!$AJ$70</c:f>
              <c:strCache>
                <c:ptCount val="1"/>
                <c:pt idx="0">
                  <c:v>Partículas libres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'Asociacion Mine'!$AK$1:$AO$1</c:f>
              <c:strCache>
                <c:ptCount val="5"/>
                <c:pt idx="0">
                  <c:v>Bornita</c:v>
                </c:pt>
                <c:pt idx="1">
                  <c:v>Calcosina/digenita</c:v>
                </c:pt>
                <c:pt idx="2">
                  <c:v>Calcopirita</c:v>
                </c:pt>
                <c:pt idx="3">
                  <c:v>Pirita</c:v>
                </c:pt>
                <c:pt idx="4">
                  <c:v>Covelina</c:v>
                </c:pt>
              </c:strCache>
            </c:strRef>
          </c:cat>
          <c:val>
            <c:numRef>
              <c:f>'Asociacion Mine'!$AK$70:$AO$70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40.39</c:v>
                </c:pt>
                <c:pt idx="3">
                  <c:v>41.81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AD-40FD-8D2F-784B723D7B31}"/>
            </c:ext>
          </c:extLst>
        </c:ser>
        <c:ser>
          <c:idx val="1"/>
          <c:order val="1"/>
          <c:tx>
            <c:strRef>
              <c:f>'Asociacion Mine'!$AJ$71</c:f>
              <c:strCache>
                <c:ptCount val="1"/>
                <c:pt idx="0">
                  <c:v>Partículas binarias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'Asociacion Mine'!$AK$1:$AO$1</c:f>
              <c:strCache>
                <c:ptCount val="5"/>
                <c:pt idx="0">
                  <c:v>Bornita</c:v>
                </c:pt>
                <c:pt idx="1">
                  <c:v>Calcosina/digenita</c:v>
                </c:pt>
                <c:pt idx="2">
                  <c:v>Calcopirita</c:v>
                </c:pt>
                <c:pt idx="3">
                  <c:v>Pirita</c:v>
                </c:pt>
                <c:pt idx="4">
                  <c:v>Covelina</c:v>
                </c:pt>
              </c:strCache>
            </c:strRef>
          </c:cat>
          <c:val>
            <c:numRef>
              <c:f>'Asociacion Mine'!$AK$71:$AO$71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32.450000000000003</c:v>
                </c:pt>
                <c:pt idx="3">
                  <c:v>11.05</c:v>
                </c:pt>
                <c:pt idx="4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AD-40FD-8D2F-784B723D7B31}"/>
            </c:ext>
          </c:extLst>
        </c:ser>
        <c:ser>
          <c:idx val="2"/>
          <c:order val="2"/>
          <c:tx>
            <c:strRef>
              <c:f>'Asociacion Mine'!$AJ$72</c:f>
              <c:strCache>
                <c:ptCount val="1"/>
                <c:pt idx="0">
                  <c:v>Partículas complejas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'Asociacion Mine'!$AK$1:$AO$1</c:f>
              <c:strCache>
                <c:ptCount val="5"/>
                <c:pt idx="0">
                  <c:v>Bornita</c:v>
                </c:pt>
                <c:pt idx="1">
                  <c:v>Calcosina/digenita</c:v>
                </c:pt>
                <c:pt idx="2">
                  <c:v>Calcopirita</c:v>
                </c:pt>
                <c:pt idx="3">
                  <c:v>Pirita</c:v>
                </c:pt>
                <c:pt idx="4">
                  <c:v>Covelina</c:v>
                </c:pt>
              </c:strCache>
            </c:strRef>
          </c:cat>
          <c:val>
            <c:numRef>
              <c:f>'Asociacion Mine'!$AK$72:$AO$72</c:f>
              <c:numCache>
                <c:formatCode>General</c:formatCode>
                <c:ptCount val="5"/>
                <c:pt idx="0">
                  <c:v>100</c:v>
                </c:pt>
                <c:pt idx="1">
                  <c:v>0</c:v>
                </c:pt>
                <c:pt idx="2">
                  <c:v>27.16</c:v>
                </c:pt>
                <c:pt idx="3">
                  <c:v>47.13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AD-40FD-8D2F-784B723D7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5605376"/>
        <c:axId val="915606816"/>
      </c:barChart>
      <c:catAx>
        <c:axId val="91560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15606816"/>
        <c:crosses val="autoZero"/>
        <c:auto val="1"/>
        <c:lblAlgn val="ctr"/>
        <c:lblOffset val="100"/>
        <c:noMultiLvlLbl val="0"/>
      </c:catAx>
      <c:valAx>
        <c:axId val="91560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1560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ALIMENTACION 1° CLEANER DIA 22-09-25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'Asociacion Mine'!$AJ$91</c:f>
              <c:strCache>
                <c:ptCount val="1"/>
                <c:pt idx="0">
                  <c:v>Partículas libres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'Asociacion Mine'!$AK$1:$AO$1</c:f>
              <c:strCache>
                <c:ptCount val="5"/>
                <c:pt idx="0">
                  <c:v>Bornita</c:v>
                </c:pt>
                <c:pt idx="1">
                  <c:v>Calcosina/digenita</c:v>
                </c:pt>
                <c:pt idx="2">
                  <c:v>Calcopirita</c:v>
                </c:pt>
                <c:pt idx="3">
                  <c:v>Pirita</c:v>
                </c:pt>
                <c:pt idx="4">
                  <c:v>Covelina</c:v>
                </c:pt>
              </c:strCache>
            </c:strRef>
          </c:cat>
          <c:val>
            <c:numRef>
              <c:f>'Asociacion Mine'!$AK$91:$AO$91</c:f>
              <c:numCache>
                <c:formatCode>General</c:formatCode>
                <c:ptCount val="5"/>
                <c:pt idx="0">
                  <c:v>67.709999999999994</c:v>
                </c:pt>
                <c:pt idx="1">
                  <c:v>90.51</c:v>
                </c:pt>
                <c:pt idx="2">
                  <c:v>82.36</c:v>
                </c:pt>
                <c:pt idx="3">
                  <c:v>87.05</c:v>
                </c:pt>
                <c:pt idx="4">
                  <c:v>85.22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4F-45EE-B447-3836751910FD}"/>
            </c:ext>
          </c:extLst>
        </c:ser>
        <c:ser>
          <c:idx val="1"/>
          <c:order val="1"/>
          <c:tx>
            <c:strRef>
              <c:f>'Asociacion Mine'!$AJ$92</c:f>
              <c:strCache>
                <c:ptCount val="1"/>
                <c:pt idx="0">
                  <c:v>Partículas binarias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'Asociacion Mine'!$AK$1:$AO$1</c:f>
              <c:strCache>
                <c:ptCount val="5"/>
                <c:pt idx="0">
                  <c:v>Bornita</c:v>
                </c:pt>
                <c:pt idx="1">
                  <c:v>Calcosina/digenita</c:v>
                </c:pt>
                <c:pt idx="2">
                  <c:v>Calcopirita</c:v>
                </c:pt>
                <c:pt idx="3">
                  <c:v>Pirita</c:v>
                </c:pt>
                <c:pt idx="4">
                  <c:v>Covelina</c:v>
                </c:pt>
              </c:strCache>
            </c:strRef>
          </c:cat>
          <c:val>
            <c:numRef>
              <c:f>'Asociacion Mine'!$AK$92:$AO$92</c:f>
              <c:numCache>
                <c:formatCode>General</c:formatCode>
                <c:ptCount val="5"/>
                <c:pt idx="0">
                  <c:v>4.3899999999999997</c:v>
                </c:pt>
                <c:pt idx="1">
                  <c:v>9.2799999999999994</c:v>
                </c:pt>
                <c:pt idx="2">
                  <c:v>12.38</c:v>
                </c:pt>
                <c:pt idx="3">
                  <c:v>12.09</c:v>
                </c:pt>
                <c:pt idx="4">
                  <c:v>12.17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4F-45EE-B447-3836751910FD}"/>
            </c:ext>
          </c:extLst>
        </c:ser>
        <c:ser>
          <c:idx val="2"/>
          <c:order val="2"/>
          <c:tx>
            <c:strRef>
              <c:f>'Asociacion Mine'!$AJ$93</c:f>
              <c:strCache>
                <c:ptCount val="1"/>
                <c:pt idx="0">
                  <c:v>Partículas complejas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'Asociacion Mine'!$AK$1:$AO$1</c:f>
              <c:strCache>
                <c:ptCount val="5"/>
                <c:pt idx="0">
                  <c:v>Bornita</c:v>
                </c:pt>
                <c:pt idx="1">
                  <c:v>Calcosina/digenita</c:v>
                </c:pt>
                <c:pt idx="2">
                  <c:v>Calcopirita</c:v>
                </c:pt>
                <c:pt idx="3">
                  <c:v>Pirita</c:v>
                </c:pt>
                <c:pt idx="4">
                  <c:v>Covelina</c:v>
                </c:pt>
              </c:strCache>
            </c:strRef>
          </c:cat>
          <c:val>
            <c:numRef>
              <c:f>'Asociacion Mine'!$AK$93:$AO$93</c:f>
              <c:numCache>
                <c:formatCode>General</c:formatCode>
                <c:ptCount val="5"/>
                <c:pt idx="0">
                  <c:v>27.9</c:v>
                </c:pt>
                <c:pt idx="1">
                  <c:v>0.21</c:v>
                </c:pt>
                <c:pt idx="2">
                  <c:v>5.25</c:v>
                </c:pt>
                <c:pt idx="3">
                  <c:v>0.86</c:v>
                </c:pt>
                <c:pt idx="4">
                  <c:v>2.61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4F-45EE-B447-383675191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5605376"/>
        <c:axId val="915606816"/>
      </c:barChart>
      <c:catAx>
        <c:axId val="91560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15606816"/>
        <c:crosses val="autoZero"/>
        <c:auto val="1"/>
        <c:lblAlgn val="ctr"/>
        <c:lblOffset val="100"/>
        <c:noMultiLvlLbl val="0"/>
      </c:catAx>
      <c:valAx>
        <c:axId val="91560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1560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CONCENTRADO 1° CLEANER DIA 22-09-25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'Asociacion Mine'!$AJ$114</c:f>
              <c:strCache>
                <c:ptCount val="1"/>
                <c:pt idx="0">
                  <c:v>Partículas libres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'Asociacion Mine'!$AK$1:$AO$1</c:f>
              <c:strCache>
                <c:ptCount val="5"/>
                <c:pt idx="0">
                  <c:v>Bornita</c:v>
                </c:pt>
                <c:pt idx="1">
                  <c:v>Calcosina/digenita</c:v>
                </c:pt>
                <c:pt idx="2">
                  <c:v>Calcopirita</c:v>
                </c:pt>
                <c:pt idx="3">
                  <c:v>Pirita</c:v>
                </c:pt>
                <c:pt idx="4">
                  <c:v>Covelina</c:v>
                </c:pt>
              </c:strCache>
            </c:strRef>
          </c:cat>
          <c:val>
            <c:numRef>
              <c:f>'Asociacion Mine'!$AK$114:$AO$114</c:f>
              <c:numCache>
                <c:formatCode>General</c:formatCode>
                <c:ptCount val="5"/>
                <c:pt idx="0">
                  <c:v>39.450000000000003</c:v>
                </c:pt>
                <c:pt idx="1">
                  <c:v>58.89</c:v>
                </c:pt>
                <c:pt idx="2">
                  <c:v>76.47</c:v>
                </c:pt>
                <c:pt idx="3">
                  <c:v>68.25</c:v>
                </c:pt>
                <c:pt idx="4">
                  <c:v>56.01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2B-42ED-A8C6-00259399037A}"/>
            </c:ext>
          </c:extLst>
        </c:ser>
        <c:ser>
          <c:idx val="1"/>
          <c:order val="1"/>
          <c:tx>
            <c:strRef>
              <c:f>'Asociacion Mine'!$AJ$115</c:f>
              <c:strCache>
                <c:ptCount val="1"/>
                <c:pt idx="0">
                  <c:v>Partículas binarias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'Asociacion Mine'!$AK$1:$AO$1</c:f>
              <c:strCache>
                <c:ptCount val="5"/>
                <c:pt idx="0">
                  <c:v>Bornita</c:v>
                </c:pt>
                <c:pt idx="1">
                  <c:v>Calcosina/digenita</c:v>
                </c:pt>
                <c:pt idx="2">
                  <c:v>Calcopirita</c:v>
                </c:pt>
                <c:pt idx="3">
                  <c:v>Pirita</c:v>
                </c:pt>
                <c:pt idx="4">
                  <c:v>Covelina</c:v>
                </c:pt>
              </c:strCache>
            </c:strRef>
          </c:cat>
          <c:val>
            <c:numRef>
              <c:f>'Asociacion Mine'!$AK$115:$AO$115</c:f>
              <c:numCache>
                <c:formatCode>General</c:formatCode>
                <c:ptCount val="5"/>
                <c:pt idx="0">
                  <c:v>34.39</c:v>
                </c:pt>
                <c:pt idx="1">
                  <c:v>27.14</c:v>
                </c:pt>
                <c:pt idx="2">
                  <c:v>15.26</c:v>
                </c:pt>
                <c:pt idx="3">
                  <c:v>24.15</c:v>
                </c:pt>
                <c:pt idx="4">
                  <c:v>22.16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2B-42ED-A8C6-00259399037A}"/>
            </c:ext>
          </c:extLst>
        </c:ser>
        <c:ser>
          <c:idx val="2"/>
          <c:order val="2"/>
          <c:tx>
            <c:strRef>
              <c:f>'Asociacion Mine'!$AJ$116</c:f>
              <c:strCache>
                <c:ptCount val="1"/>
                <c:pt idx="0">
                  <c:v>Partículas complejas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'Asociacion Mine'!$AK$1:$AO$1</c:f>
              <c:strCache>
                <c:ptCount val="5"/>
                <c:pt idx="0">
                  <c:v>Bornita</c:v>
                </c:pt>
                <c:pt idx="1">
                  <c:v>Calcosina/digenita</c:v>
                </c:pt>
                <c:pt idx="2">
                  <c:v>Calcopirita</c:v>
                </c:pt>
                <c:pt idx="3">
                  <c:v>Pirita</c:v>
                </c:pt>
                <c:pt idx="4">
                  <c:v>Covelina</c:v>
                </c:pt>
              </c:strCache>
            </c:strRef>
          </c:cat>
          <c:val>
            <c:numRef>
              <c:f>'Asociacion Mine'!$AK$116:$AO$116</c:f>
              <c:numCache>
                <c:formatCode>General</c:formatCode>
                <c:ptCount val="5"/>
                <c:pt idx="0">
                  <c:v>26.17</c:v>
                </c:pt>
                <c:pt idx="1">
                  <c:v>13.97</c:v>
                </c:pt>
                <c:pt idx="2">
                  <c:v>8.27</c:v>
                </c:pt>
                <c:pt idx="3">
                  <c:v>7.6</c:v>
                </c:pt>
                <c:pt idx="4">
                  <c:v>21.83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2B-42ED-A8C6-0025939903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5605376"/>
        <c:axId val="915606816"/>
      </c:barChart>
      <c:catAx>
        <c:axId val="91560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15606816"/>
        <c:crosses val="autoZero"/>
        <c:auto val="1"/>
        <c:lblAlgn val="ctr"/>
        <c:lblOffset val="100"/>
        <c:noMultiLvlLbl val="0"/>
      </c:catAx>
      <c:valAx>
        <c:axId val="91560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1560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CONCENTRADO CL SCV DIA 22-09-25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'Asociacion Mine'!$AJ$138</c:f>
              <c:strCache>
                <c:ptCount val="1"/>
                <c:pt idx="0">
                  <c:v>Partículas libres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'Asociacion Mine'!$AK$1:$AO$1</c:f>
              <c:strCache>
                <c:ptCount val="5"/>
                <c:pt idx="0">
                  <c:v>Bornita</c:v>
                </c:pt>
                <c:pt idx="1">
                  <c:v>Calcosina/digenita</c:v>
                </c:pt>
                <c:pt idx="2">
                  <c:v>Calcopirita</c:v>
                </c:pt>
                <c:pt idx="3">
                  <c:v>Pirita</c:v>
                </c:pt>
                <c:pt idx="4">
                  <c:v>Covelina</c:v>
                </c:pt>
              </c:strCache>
            </c:strRef>
          </c:cat>
          <c:val>
            <c:numRef>
              <c:f>'Asociacion Mine'!$AK$138:$AO$138</c:f>
              <c:numCache>
                <c:formatCode>General</c:formatCode>
                <c:ptCount val="5"/>
                <c:pt idx="0">
                  <c:v>47.69</c:v>
                </c:pt>
                <c:pt idx="1">
                  <c:v>45.53</c:v>
                </c:pt>
                <c:pt idx="2">
                  <c:v>49.87</c:v>
                </c:pt>
                <c:pt idx="3">
                  <c:v>60.25</c:v>
                </c:pt>
                <c:pt idx="4">
                  <c:v>40.31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6D-45A3-BA27-6CDD84BD2026}"/>
            </c:ext>
          </c:extLst>
        </c:ser>
        <c:ser>
          <c:idx val="1"/>
          <c:order val="1"/>
          <c:tx>
            <c:strRef>
              <c:f>'Asociacion Mine'!$AJ$139</c:f>
              <c:strCache>
                <c:ptCount val="1"/>
                <c:pt idx="0">
                  <c:v>Partículas binarias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'Asociacion Mine'!$AK$1:$AO$1</c:f>
              <c:strCache>
                <c:ptCount val="5"/>
                <c:pt idx="0">
                  <c:v>Bornita</c:v>
                </c:pt>
                <c:pt idx="1">
                  <c:v>Calcosina/digenita</c:v>
                </c:pt>
                <c:pt idx="2">
                  <c:v>Calcopirita</c:v>
                </c:pt>
                <c:pt idx="3">
                  <c:v>Pirita</c:v>
                </c:pt>
                <c:pt idx="4">
                  <c:v>Covelina</c:v>
                </c:pt>
              </c:strCache>
            </c:strRef>
          </c:cat>
          <c:val>
            <c:numRef>
              <c:f>'Asociacion Mine'!$AK$139:$AO$139</c:f>
              <c:numCache>
                <c:formatCode>General</c:formatCode>
                <c:ptCount val="5"/>
                <c:pt idx="0">
                  <c:v>24.42</c:v>
                </c:pt>
                <c:pt idx="1">
                  <c:v>15.87</c:v>
                </c:pt>
                <c:pt idx="2">
                  <c:v>24.87</c:v>
                </c:pt>
                <c:pt idx="3">
                  <c:v>24.67</c:v>
                </c:pt>
                <c:pt idx="4">
                  <c:v>28.27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6D-45A3-BA27-6CDD84BD2026}"/>
            </c:ext>
          </c:extLst>
        </c:ser>
        <c:ser>
          <c:idx val="2"/>
          <c:order val="2"/>
          <c:tx>
            <c:strRef>
              <c:f>'Asociacion Mine'!$AJ$140</c:f>
              <c:strCache>
                <c:ptCount val="1"/>
                <c:pt idx="0">
                  <c:v>Partículas complejas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'Asociacion Mine'!$AK$1:$AO$1</c:f>
              <c:strCache>
                <c:ptCount val="5"/>
                <c:pt idx="0">
                  <c:v>Bornita</c:v>
                </c:pt>
                <c:pt idx="1">
                  <c:v>Calcosina/digenita</c:v>
                </c:pt>
                <c:pt idx="2">
                  <c:v>Calcopirita</c:v>
                </c:pt>
                <c:pt idx="3">
                  <c:v>Pirita</c:v>
                </c:pt>
                <c:pt idx="4">
                  <c:v>Covelina</c:v>
                </c:pt>
              </c:strCache>
            </c:strRef>
          </c:cat>
          <c:val>
            <c:numRef>
              <c:f>'Asociacion Mine'!$AK$140:$AO$140</c:f>
              <c:numCache>
                <c:formatCode>General</c:formatCode>
                <c:ptCount val="5"/>
                <c:pt idx="0">
                  <c:v>27.9</c:v>
                </c:pt>
                <c:pt idx="1">
                  <c:v>38.590000000000003</c:v>
                </c:pt>
                <c:pt idx="2">
                  <c:v>25.26</c:v>
                </c:pt>
                <c:pt idx="3">
                  <c:v>15.08</c:v>
                </c:pt>
                <c:pt idx="4">
                  <c:v>31.41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6D-45A3-BA27-6CDD84BD2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5605376"/>
        <c:axId val="915606816"/>
      </c:barChart>
      <c:catAx>
        <c:axId val="91560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15606816"/>
        <c:crosses val="autoZero"/>
        <c:auto val="1"/>
        <c:lblAlgn val="ctr"/>
        <c:lblOffset val="100"/>
        <c:noMultiLvlLbl val="0"/>
      </c:catAx>
      <c:valAx>
        <c:axId val="91560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1560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RELAVE</a:t>
            </a:r>
            <a:r>
              <a:rPr lang="es-CL" baseline="0"/>
              <a:t> </a:t>
            </a:r>
            <a:r>
              <a:rPr lang="es-CL"/>
              <a:t>SCV DIA 22-09-25</a:t>
            </a:r>
          </a:p>
        </c:rich>
      </c:tx>
      <c:layout>
        <c:manualLayout>
          <c:xMode val="edge"/>
          <c:yMode val="edge"/>
          <c:x val="0.24977777777777777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'Asociacion Mine'!$AJ$164</c:f>
              <c:strCache>
                <c:ptCount val="1"/>
                <c:pt idx="0">
                  <c:v>Partículas libres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'Asociacion Mine'!$AK$1:$AO$1</c:f>
              <c:strCache>
                <c:ptCount val="5"/>
                <c:pt idx="0">
                  <c:v>Bornita</c:v>
                </c:pt>
                <c:pt idx="1">
                  <c:v>Calcosina/digenita</c:v>
                </c:pt>
                <c:pt idx="2">
                  <c:v>Calcopirita</c:v>
                </c:pt>
                <c:pt idx="3">
                  <c:v>Pirita</c:v>
                </c:pt>
                <c:pt idx="4">
                  <c:v>Covelina</c:v>
                </c:pt>
              </c:strCache>
            </c:strRef>
          </c:cat>
          <c:val>
            <c:numRef>
              <c:f>'Asociacion Mine'!$AK$164:$AO$164</c:f>
              <c:numCache>
                <c:formatCode>General</c:formatCode>
                <c:ptCount val="5"/>
                <c:pt idx="0">
                  <c:v>4.18</c:v>
                </c:pt>
                <c:pt idx="1">
                  <c:v>0</c:v>
                </c:pt>
                <c:pt idx="2">
                  <c:v>100</c:v>
                </c:pt>
                <c:pt idx="3">
                  <c:v>94.1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86-456A-8665-951F7CFB6336}"/>
            </c:ext>
          </c:extLst>
        </c:ser>
        <c:ser>
          <c:idx val="1"/>
          <c:order val="1"/>
          <c:tx>
            <c:strRef>
              <c:f>'Asociacion Mine'!$AJ$165</c:f>
              <c:strCache>
                <c:ptCount val="1"/>
                <c:pt idx="0">
                  <c:v>Partículas binarias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'Asociacion Mine'!$AK$1:$AO$1</c:f>
              <c:strCache>
                <c:ptCount val="5"/>
                <c:pt idx="0">
                  <c:v>Bornita</c:v>
                </c:pt>
                <c:pt idx="1">
                  <c:v>Calcosina/digenita</c:v>
                </c:pt>
                <c:pt idx="2">
                  <c:v>Calcopirita</c:v>
                </c:pt>
                <c:pt idx="3">
                  <c:v>Pirita</c:v>
                </c:pt>
                <c:pt idx="4">
                  <c:v>Covelina</c:v>
                </c:pt>
              </c:strCache>
            </c:strRef>
          </c:cat>
          <c:val>
            <c:numRef>
              <c:f>'Asociacion Mine'!$AK$165:$AO$165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3.49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86-456A-8665-951F7CFB6336}"/>
            </c:ext>
          </c:extLst>
        </c:ser>
        <c:ser>
          <c:idx val="2"/>
          <c:order val="2"/>
          <c:tx>
            <c:strRef>
              <c:f>'Asociacion Mine'!$AJ$166</c:f>
              <c:strCache>
                <c:ptCount val="1"/>
                <c:pt idx="0">
                  <c:v>Partículas complejas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'Asociacion Mine'!$AK$1:$AO$1</c:f>
              <c:strCache>
                <c:ptCount val="5"/>
                <c:pt idx="0">
                  <c:v>Bornita</c:v>
                </c:pt>
                <c:pt idx="1">
                  <c:v>Calcosina/digenita</c:v>
                </c:pt>
                <c:pt idx="2">
                  <c:v>Calcopirita</c:v>
                </c:pt>
                <c:pt idx="3">
                  <c:v>Pirita</c:v>
                </c:pt>
                <c:pt idx="4">
                  <c:v>Covelina</c:v>
                </c:pt>
              </c:strCache>
            </c:strRef>
          </c:cat>
          <c:val>
            <c:numRef>
              <c:f>'Asociacion Mine'!$AK$166:$AO$166</c:f>
              <c:numCache>
                <c:formatCode>General</c:formatCode>
                <c:ptCount val="5"/>
                <c:pt idx="0">
                  <c:v>95.82</c:v>
                </c:pt>
                <c:pt idx="1">
                  <c:v>0</c:v>
                </c:pt>
                <c:pt idx="2">
                  <c:v>0</c:v>
                </c:pt>
                <c:pt idx="3">
                  <c:v>2.41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86-456A-8665-951F7CFB6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5605376"/>
        <c:axId val="915606816"/>
      </c:barChart>
      <c:catAx>
        <c:axId val="91560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15606816"/>
        <c:crosses val="autoZero"/>
        <c:auto val="1"/>
        <c:lblAlgn val="ctr"/>
        <c:lblOffset val="100"/>
        <c:noMultiLvlLbl val="0"/>
      </c:catAx>
      <c:valAx>
        <c:axId val="91560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1560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Mineralogia</a:t>
            </a:r>
            <a:r>
              <a:rPr lang="es-CL" baseline="0"/>
              <a:t> Modal 26-08-25 &amp; 07-08-25 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7.2909368988334472E-2"/>
          <c:y val="8.1832195406494057E-2"/>
          <c:w val="0.89064859054121459"/>
          <c:h val="0.65355274951951903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'Mine Modal Ro'!$B$5</c:f>
              <c:strCache>
                <c:ptCount val="1"/>
                <c:pt idx="0">
                  <c:v>Cuarzo</c:v>
                </c:pt>
              </c:strCache>
            </c:strRef>
          </c:tx>
          <c:spPr>
            <a:solidFill>
              <a:srgbClr val="C8C6AE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'Mine Modal Ro'!$C$2:$H$4</c:f>
              <c:multiLvlStrCache>
                <c:ptCount val="6"/>
                <c:lvl>
                  <c:pt idx="0">
                    <c:v>Alim Ro </c:v>
                  </c:pt>
                  <c:pt idx="1">
                    <c:v>Rel Ro</c:v>
                  </c:pt>
                  <c:pt idx="2">
                    <c:v>Conc Ro </c:v>
                  </c:pt>
                  <c:pt idx="3">
                    <c:v>Alim Ro </c:v>
                  </c:pt>
                  <c:pt idx="4">
                    <c:v>Rel Ro</c:v>
                  </c:pt>
                  <c:pt idx="5">
                    <c:v>Conc Ro </c:v>
                  </c:pt>
                </c:lvl>
                <c:lvl>
                  <c:pt idx="0">
                    <c:v>Dia 26-08-25</c:v>
                  </c:pt>
                  <c:pt idx="1">
                    <c:v>Dia 26-08-25</c:v>
                  </c:pt>
                  <c:pt idx="2">
                    <c:v>Dia 26-08-25</c:v>
                  </c:pt>
                  <c:pt idx="3">
                    <c:v>Noche 07-08-25</c:v>
                  </c:pt>
                  <c:pt idx="4">
                    <c:v>Noche 07-08-25</c:v>
                  </c:pt>
                  <c:pt idx="5">
                    <c:v>Noche 07-08-25</c:v>
                  </c:pt>
                </c:lvl>
              </c:multiLvlStrCache>
            </c:multiLvlStrRef>
          </c:cat>
          <c:val>
            <c:numRef>
              <c:f>'Mine Modal Ro'!$C$5:$H$5</c:f>
              <c:numCache>
                <c:formatCode>General</c:formatCode>
                <c:ptCount val="6"/>
                <c:pt idx="0">
                  <c:v>53.521999999999998</c:v>
                </c:pt>
                <c:pt idx="1">
                  <c:v>58.195</c:v>
                </c:pt>
                <c:pt idx="2">
                  <c:v>30.236999999999998</c:v>
                </c:pt>
                <c:pt idx="3">
                  <c:v>53.857999999999997</c:v>
                </c:pt>
                <c:pt idx="4">
                  <c:v>54.771000000000001</c:v>
                </c:pt>
                <c:pt idx="5">
                  <c:v>27.451000000000001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B7-46D6-BBAD-6DCDCB9F1741}"/>
            </c:ext>
          </c:extLst>
        </c:ser>
        <c:ser>
          <c:idx val="1"/>
          <c:order val="1"/>
          <c:tx>
            <c:strRef>
              <c:f>'Mine Modal Ro'!$B$6</c:f>
              <c:strCache>
                <c:ptCount val="1"/>
                <c:pt idx="0">
                  <c:v>Muscovita/illita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'Mine Modal Ro'!$C$2:$H$4</c:f>
              <c:multiLvlStrCache>
                <c:ptCount val="6"/>
                <c:lvl>
                  <c:pt idx="0">
                    <c:v>Alim Ro </c:v>
                  </c:pt>
                  <c:pt idx="1">
                    <c:v>Rel Ro</c:v>
                  </c:pt>
                  <c:pt idx="2">
                    <c:v>Conc Ro </c:v>
                  </c:pt>
                  <c:pt idx="3">
                    <c:v>Alim Ro </c:v>
                  </c:pt>
                  <c:pt idx="4">
                    <c:v>Rel Ro</c:v>
                  </c:pt>
                  <c:pt idx="5">
                    <c:v>Conc Ro </c:v>
                  </c:pt>
                </c:lvl>
                <c:lvl>
                  <c:pt idx="0">
                    <c:v>Dia 26-08-25</c:v>
                  </c:pt>
                  <c:pt idx="1">
                    <c:v>Dia 26-08-25</c:v>
                  </c:pt>
                  <c:pt idx="2">
                    <c:v>Dia 26-08-25</c:v>
                  </c:pt>
                  <c:pt idx="3">
                    <c:v>Noche 07-08-25</c:v>
                  </c:pt>
                  <c:pt idx="4">
                    <c:v>Noche 07-08-25</c:v>
                  </c:pt>
                  <c:pt idx="5">
                    <c:v>Noche 07-08-25</c:v>
                  </c:pt>
                </c:lvl>
              </c:multiLvlStrCache>
            </c:multiLvlStrRef>
          </c:cat>
          <c:val>
            <c:numRef>
              <c:f>'Mine Modal Ro'!$C$6:$H$6</c:f>
              <c:numCache>
                <c:formatCode>General</c:formatCode>
                <c:ptCount val="6"/>
                <c:pt idx="0">
                  <c:v>32.192</c:v>
                </c:pt>
                <c:pt idx="1">
                  <c:v>31.292000000000002</c:v>
                </c:pt>
                <c:pt idx="2">
                  <c:v>36.170999999999999</c:v>
                </c:pt>
                <c:pt idx="3">
                  <c:v>31.190999999999999</c:v>
                </c:pt>
                <c:pt idx="4">
                  <c:v>32.856999999999999</c:v>
                </c:pt>
                <c:pt idx="5">
                  <c:v>36.863999999999997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B7-46D6-BBAD-6DCDCB9F1741}"/>
            </c:ext>
          </c:extLst>
        </c:ser>
        <c:ser>
          <c:idx val="2"/>
          <c:order val="2"/>
          <c:tx>
            <c:strRef>
              <c:f>'Mine Modal Ro'!$B$7</c:f>
              <c:strCache>
                <c:ptCount val="1"/>
                <c:pt idx="0">
                  <c:v>Pirita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'Mine Modal Ro'!$C$2:$H$4</c:f>
              <c:multiLvlStrCache>
                <c:ptCount val="6"/>
                <c:lvl>
                  <c:pt idx="0">
                    <c:v>Alim Ro </c:v>
                  </c:pt>
                  <c:pt idx="1">
                    <c:v>Rel Ro</c:v>
                  </c:pt>
                  <c:pt idx="2">
                    <c:v>Conc Ro </c:v>
                  </c:pt>
                  <c:pt idx="3">
                    <c:v>Alim Ro </c:v>
                  </c:pt>
                  <c:pt idx="4">
                    <c:v>Rel Ro</c:v>
                  </c:pt>
                  <c:pt idx="5">
                    <c:v>Conc Ro </c:v>
                  </c:pt>
                </c:lvl>
                <c:lvl>
                  <c:pt idx="0">
                    <c:v>Dia 26-08-25</c:v>
                  </c:pt>
                  <c:pt idx="1">
                    <c:v>Dia 26-08-25</c:v>
                  </c:pt>
                  <c:pt idx="2">
                    <c:v>Dia 26-08-25</c:v>
                  </c:pt>
                  <c:pt idx="3">
                    <c:v>Noche 07-08-25</c:v>
                  </c:pt>
                  <c:pt idx="4">
                    <c:v>Noche 07-08-25</c:v>
                  </c:pt>
                  <c:pt idx="5">
                    <c:v>Noche 07-08-25</c:v>
                  </c:pt>
                </c:lvl>
              </c:multiLvlStrCache>
            </c:multiLvlStrRef>
          </c:cat>
          <c:val>
            <c:numRef>
              <c:f>'Mine Modal Ro'!$C$7:$H$7</c:f>
              <c:numCache>
                <c:formatCode>General</c:formatCode>
                <c:ptCount val="6"/>
                <c:pt idx="0">
                  <c:v>3.548</c:v>
                </c:pt>
                <c:pt idx="1">
                  <c:v>0.502</c:v>
                </c:pt>
                <c:pt idx="2">
                  <c:v>16.858000000000001</c:v>
                </c:pt>
                <c:pt idx="3">
                  <c:v>3.8039999999999998</c:v>
                </c:pt>
                <c:pt idx="4">
                  <c:v>3.149</c:v>
                </c:pt>
                <c:pt idx="5">
                  <c:v>12.324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B7-46D6-BBAD-6DCDCB9F1741}"/>
            </c:ext>
          </c:extLst>
        </c:ser>
        <c:ser>
          <c:idx val="3"/>
          <c:order val="3"/>
          <c:tx>
            <c:strRef>
              <c:f>'Mine Modal Ro'!$B$8</c:f>
              <c:strCache>
                <c:ptCount val="1"/>
                <c:pt idx="0">
                  <c:v>Plagioclasa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728-433B-BEEE-FFEC5B8F49FE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'Mine Modal Ro'!$C$2:$H$4</c:f>
              <c:multiLvlStrCache>
                <c:ptCount val="6"/>
                <c:lvl>
                  <c:pt idx="0">
                    <c:v>Alim Ro </c:v>
                  </c:pt>
                  <c:pt idx="1">
                    <c:v>Rel Ro</c:v>
                  </c:pt>
                  <c:pt idx="2">
                    <c:v>Conc Ro </c:v>
                  </c:pt>
                  <c:pt idx="3">
                    <c:v>Alim Ro </c:v>
                  </c:pt>
                  <c:pt idx="4">
                    <c:v>Rel Ro</c:v>
                  </c:pt>
                  <c:pt idx="5">
                    <c:v>Conc Ro </c:v>
                  </c:pt>
                </c:lvl>
                <c:lvl>
                  <c:pt idx="0">
                    <c:v>Dia 26-08-25</c:v>
                  </c:pt>
                  <c:pt idx="1">
                    <c:v>Dia 26-08-25</c:v>
                  </c:pt>
                  <c:pt idx="2">
                    <c:v>Dia 26-08-25</c:v>
                  </c:pt>
                  <c:pt idx="3">
                    <c:v>Noche 07-08-25</c:v>
                  </c:pt>
                  <c:pt idx="4">
                    <c:v>Noche 07-08-25</c:v>
                  </c:pt>
                  <c:pt idx="5">
                    <c:v>Noche 07-08-25</c:v>
                  </c:pt>
                </c:lvl>
              </c:multiLvlStrCache>
            </c:multiLvlStrRef>
          </c:cat>
          <c:val>
            <c:numRef>
              <c:f>'Mine Modal Ro'!$C$8:$H$8</c:f>
              <c:numCache>
                <c:formatCode>General</c:formatCode>
                <c:ptCount val="6"/>
                <c:pt idx="0">
                  <c:v>5.0389999999999997</c:v>
                </c:pt>
                <c:pt idx="1">
                  <c:v>5.22</c:v>
                </c:pt>
                <c:pt idx="2">
                  <c:v>3.5019999999999998</c:v>
                </c:pt>
                <c:pt idx="3">
                  <c:v>4.9660000000000002</c:v>
                </c:pt>
                <c:pt idx="4">
                  <c:v>4.2649999999999997</c:v>
                </c:pt>
                <c:pt idx="5">
                  <c:v>2.5790000000000002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B7-46D6-BBAD-6DCDCB9F1741}"/>
            </c:ext>
          </c:extLst>
        </c:ser>
        <c:ser>
          <c:idx val="4"/>
          <c:order val="4"/>
          <c:tx>
            <c:strRef>
              <c:f>'Mine Modal Ro'!$B$9</c:f>
              <c:strCache>
                <c:ptCount val="1"/>
                <c:pt idx="0">
                  <c:v>Calcopirita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'Mine Modal Ro'!$C$2:$H$4</c:f>
              <c:multiLvlStrCache>
                <c:ptCount val="6"/>
                <c:lvl>
                  <c:pt idx="0">
                    <c:v>Alim Ro </c:v>
                  </c:pt>
                  <c:pt idx="1">
                    <c:v>Rel Ro</c:v>
                  </c:pt>
                  <c:pt idx="2">
                    <c:v>Conc Ro </c:v>
                  </c:pt>
                  <c:pt idx="3">
                    <c:v>Alim Ro </c:v>
                  </c:pt>
                  <c:pt idx="4">
                    <c:v>Rel Ro</c:v>
                  </c:pt>
                  <c:pt idx="5">
                    <c:v>Conc Ro </c:v>
                  </c:pt>
                </c:lvl>
                <c:lvl>
                  <c:pt idx="0">
                    <c:v>Dia 26-08-25</c:v>
                  </c:pt>
                  <c:pt idx="1">
                    <c:v>Dia 26-08-25</c:v>
                  </c:pt>
                  <c:pt idx="2">
                    <c:v>Dia 26-08-25</c:v>
                  </c:pt>
                  <c:pt idx="3">
                    <c:v>Noche 07-08-25</c:v>
                  </c:pt>
                  <c:pt idx="4">
                    <c:v>Noche 07-08-25</c:v>
                  </c:pt>
                  <c:pt idx="5">
                    <c:v>Noche 07-08-25</c:v>
                  </c:pt>
                </c:lvl>
              </c:multiLvlStrCache>
            </c:multiLvlStrRef>
          </c:cat>
          <c:val>
            <c:numRef>
              <c:f>'Mine Modal Ro'!$C$9:$H$9</c:f>
              <c:numCache>
                <c:formatCode>General</c:formatCode>
                <c:ptCount val="6"/>
                <c:pt idx="0">
                  <c:v>0.79300000000000004</c:v>
                </c:pt>
                <c:pt idx="1">
                  <c:v>0.17299999999999999</c:v>
                </c:pt>
                <c:pt idx="2">
                  <c:v>6.6680000000000001</c:v>
                </c:pt>
                <c:pt idx="3">
                  <c:v>0.91300000000000003</c:v>
                </c:pt>
                <c:pt idx="4">
                  <c:v>0.378</c:v>
                </c:pt>
                <c:pt idx="5">
                  <c:v>12.355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BB7-46D6-BBAD-6DCDCB9F1741}"/>
            </c:ext>
          </c:extLst>
        </c:ser>
        <c:ser>
          <c:idx val="5"/>
          <c:order val="5"/>
          <c:tx>
            <c:strRef>
              <c:f>'Mine Modal Ro'!$B$10</c:f>
              <c:strCache>
                <c:ptCount val="1"/>
                <c:pt idx="0">
                  <c:v>Clorita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'Mine Modal Ro'!$C$2:$H$4</c:f>
              <c:multiLvlStrCache>
                <c:ptCount val="6"/>
                <c:lvl>
                  <c:pt idx="0">
                    <c:v>Alim Ro </c:v>
                  </c:pt>
                  <c:pt idx="1">
                    <c:v>Rel Ro</c:v>
                  </c:pt>
                  <c:pt idx="2">
                    <c:v>Conc Ro </c:v>
                  </c:pt>
                  <c:pt idx="3">
                    <c:v>Alim Ro </c:v>
                  </c:pt>
                  <c:pt idx="4">
                    <c:v>Rel Ro</c:v>
                  </c:pt>
                  <c:pt idx="5">
                    <c:v>Conc Ro </c:v>
                  </c:pt>
                </c:lvl>
                <c:lvl>
                  <c:pt idx="0">
                    <c:v>Dia 26-08-25</c:v>
                  </c:pt>
                  <c:pt idx="1">
                    <c:v>Dia 26-08-25</c:v>
                  </c:pt>
                  <c:pt idx="2">
                    <c:v>Dia 26-08-25</c:v>
                  </c:pt>
                  <c:pt idx="3">
                    <c:v>Noche 07-08-25</c:v>
                  </c:pt>
                  <c:pt idx="4">
                    <c:v>Noche 07-08-25</c:v>
                  </c:pt>
                  <c:pt idx="5">
                    <c:v>Noche 07-08-25</c:v>
                  </c:pt>
                </c:lvl>
              </c:multiLvlStrCache>
            </c:multiLvlStrRef>
          </c:cat>
          <c:val>
            <c:numRef>
              <c:f>'Mine Modal Ro'!$C$10:$H$10</c:f>
              <c:numCache>
                <c:formatCode>General</c:formatCode>
                <c:ptCount val="6"/>
                <c:pt idx="0">
                  <c:v>2.0110000000000001</c:v>
                </c:pt>
                <c:pt idx="1">
                  <c:v>2.2410000000000001</c:v>
                </c:pt>
                <c:pt idx="2">
                  <c:v>1.47</c:v>
                </c:pt>
                <c:pt idx="3">
                  <c:v>2.4129999999999998</c:v>
                </c:pt>
                <c:pt idx="4">
                  <c:v>2.1640000000000001</c:v>
                </c:pt>
                <c:pt idx="5">
                  <c:v>1.3460000000000001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B7-46D6-BBAD-6DCDCB9F1741}"/>
            </c:ext>
          </c:extLst>
        </c:ser>
        <c:ser>
          <c:idx val="6"/>
          <c:order val="6"/>
          <c:tx>
            <c:strRef>
              <c:f>'Mine Modal Ro'!$B$11</c:f>
              <c:strCache>
                <c:ptCount val="1"/>
                <c:pt idx="0">
                  <c:v>Arcillas 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'Mine Modal Ro'!$C$2:$H$4</c:f>
              <c:multiLvlStrCache>
                <c:ptCount val="6"/>
                <c:lvl>
                  <c:pt idx="0">
                    <c:v>Alim Ro </c:v>
                  </c:pt>
                  <c:pt idx="1">
                    <c:v>Rel Ro</c:v>
                  </c:pt>
                  <c:pt idx="2">
                    <c:v>Conc Ro </c:v>
                  </c:pt>
                  <c:pt idx="3">
                    <c:v>Alim Ro </c:v>
                  </c:pt>
                  <c:pt idx="4">
                    <c:v>Rel Ro</c:v>
                  </c:pt>
                  <c:pt idx="5">
                    <c:v>Conc Ro </c:v>
                  </c:pt>
                </c:lvl>
                <c:lvl>
                  <c:pt idx="0">
                    <c:v>Dia 26-08-25</c:v>
                  </c:pt>
                  <c:pt idx="1">
                    <c:v>Dia 26-08-25</c:v>
                  </c:pt>
                  <c:pt idx="2">
                    <c:v>Dia 26-08-25</c:v>
                  </c:pt>
                  <c:pt idx="3">
                    <c:v>Noche 07-08-25</c:v>
                  </c:pt>
                  <c:pt idx="4">
                    <c:v>Noche 07-08-25</c:v>
                  </c:pt>
                  <c:pt idx="5">
                    <c:v>Noche 07-08-25</c:v>
                  </c:pt>
                </c:lvl>
              </c:multiLvlStrCache>
            </c:multiLvlStrRef>
          </c:cat>
          <c:val>
            <c:numRef>
              <c:f>'Mine Modal Ro'!$C$11:$H$11</c:f>
              <c:numCache>
                <c:formatCode>General</c:formatCode>
                <c:ptCount val="6"/>
                <c:pt idx="0">
                  <c:v>1.2290000000000001</c:v>
                </c:pt>
                <c:pt idx="1">
                  <c:v>1.0009999999999999</c:v>
                </c:pt>
                <c:pt idx="2">
                  <c:v>1.6140000000000001</c:v>
                </c:pt>
                <c:pt idx="3">
                  <c:v>1.391</c:v>
                </c:pt>
                <c:pt idx="4">
                  <c:v>1.2430000000000001</c:v>
                </c:pt>
                <c:pt idx="5">
                  <c:v>1.538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BB7-46D6-BBAD-6DCDCB9F1741}"/>
            </c:ext>
          </c:extLst>
        </c:ser>
        <c:ser>
          <c:idx val="7"/>
          <c:order val="7"/>
          <c:tx>
            <c:strRef>
              <c:f>'Mine Modal Ro'!$B$12</c:f>
              <c:strCache>
                <c:ptCount val="1"/>
                <c:pt idx="0">
                  <c:v>Calcosina/digenita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'Mine Modal Ro'!$C$2:$H$4</c:f>
              <c:multiLvlStrCache>
                <c:ptCount val="6"/>
                <c:lvl>
                  <c:pt idx="0">
                    <c:v>Alim Ro </c:v>
                  </c:pt>
                  <c:pt idx="1">
                    <c:v>Rel Ro</c:v>
                  </c:pt>
                  <c:pt idx="2">
                    <c:v>Conc Ro </c:v>
                  </c:pt>
                  <c:pt idx="3">
                    <c:v>Alim Ro </c:v>
                  </c:pt>
                  <c:pt idx="4">
                    <c:v>Rel Ro</c:v>
                  </c:pt>
                  <c:pt idx="5">
                    <c:v>Conc Ro </c:v>
                  </c:pt>
                </c:lvl>
                <c:lvl>
                  <c:pt idx="0">
                    <c:v>Dia 26-08-25</c:v>
                  </c:pt>
                  <c:pt idx="1">
                    <c:v>Dia 26-08-25</c:v>
                  </c:pt>
                  <c:pt idx="2">
                    <c:v>Dia 26-08-25</c:v>
                  </c:pt>
                  <c:pt idx="3">
                    <c:v>Noche 07-08-25</c:v>
                  </c:pt>
                  <c:pt idx="4">
                    <c:v>Noche 07-08-25</c:v>
                  </c:pt>
                  <c:pt idx="5">
                    <c:v>Noche 07-08-25</c:v>
                  </c:pt>
                </c:lvl>
              </c:multiLvlStrCache>
            </c:multiLvlStrRef>
          </c:cat>
          <c:val>
            <c:numRef>
              <c:f>'Mine Modal Ro'!$C$12:$H$12</c:f>
              <c:numCache>
                <c:formatCode>General</c:formatCode>
                <c:ptCount val="6"/>
                <c:pt idx="0">
                  <c:v>0.34499999999999997</c:v>
                </c:pt>
                <c:pt idx="1">
                  <c:v>4.9000000000000002E-2</c:v>
                </c:pt>
                <c:pt idx="2">
                  <c:v>1.5880000000000001</c:v>
                </c:pt>
                <c:pt idx="3">
                  <c:v>0.158</c:v>
                </c:pt>
                <c:pt idx="4">
                  <c:v>2.4E-2</c:v>
                </c:pt>
                <c:pt idx="5">
                  <c:v>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BB7-46D6-BBAD-6DCDCB9F1741}"/>
            </c:ext>
          </c:extLst>
        </c:ser>
        <c:ser>
          <c:idx val="8"/>
          <c:order val="8"/>
          <c:tx>
            <c:strRef>
              <c:f>'Mine Modal Ro'!$B$13</c:f>
              <c:strCache>
                <c:ptCount val="1"/>
                <c:pt idx="0">
                  <c:v>Hematita/Magnetita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'Mine Modal Ro'!$C$2:$H$4</c:f>
              <c:multiLvlStrCache>
                <c:ptCount val="6"/>
                <c:lvl>
                  <c:pt idx="0">
                    <c:v>Alim Ro </c:v>
                  </c:pt>
                  <c:pt idx="1">
                    <c:v>Rel Ro</c:v>
                  </c:pt>
                  <c:pt idx="2">
                    <c:v>Conc Ro </c:v>
                  </c:pt>
                  <c:pt idx="3">
                    <c:v>Alim Ro </c:v>
                  </c:pt>
                  <c:pt idx="4">
                    <c:v>Rel Ro</c:v>
                  </c:pt>
                  <c:pt idx="5">
                    <c:v>Conc Ro </c:v>
                  </c:pt>
                </c:lvl>
                <c:lvl>
                  <c:pt idx="0">
                    <c:v>Dia 26-08-25</c:v>
                  </c:pt>
                  <c:pt idx="1">
                    <c:v>Dia 26-08-25</c:v>
                  </c:pt>
                  <c:pt idx="2">
                    <c:v>Dia 26-08-25</c:v>
                  </c:pt>
                  <c:pt idx="3">
                    <c:v>Noche 07-08-25</c:v>
                  </c:pt>
                  <c:pt idx="4">
                    <c:v>Noche 07-08-25</c:v>
                  </c:pt>
                  <c:pt idx="5">
                    <c:v>Noche 07-08-25</c:v>
                  </c:pt>
                </c:lvl>
              </c:multiLvlStrCache>
            </c:multiLvlStrRef>
          </c:cat>
          <c:val>
            <c:numRef>
              <c:f>'Mine Modal Ro'!$C$13:$H$13</c:f>
              <c:numCache>
                <c:formatCode>General</c:formatCode>
                <c:ptCount val="6"/>
                <c:pt idx="0">
                  <c:v>0.377</c:v>
                </c:pt>
                <c:pt idx="1">
                  <c:v>0.39700000000000002</c:v>
                </c:pt>
                <c:pt idx="2">
                  <c:v>0.14499999999999999</c:v>
                </c:pt>
                <c:pt idx="3">
                  <c:v>0.183</c:v>
                </c:pt>
                <c:pt idx="4">
                  <c:v>0.23899999999999999</c:v>
                </c:pt>
                <c:pt idx="5">
                  <c:v>0.106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BB7-46D6-BBAD-6DCDCB9F1741}"/>
            </c:ext>
          </c:extLst>
        </c:ser>
        <c:ser>
          <c:idx val="9"/>
          <c:order val="9"/>
          <c:tx>
            <c:strRef>
              <c:f>'Mine Modal Ro'!$B$14</c:f>
              <c:strCache>
                <c:ptCount val="1"/>
                <c:pt idx="0">
                  <c:v>Bornita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'Mine Modal Ro'!$C$2:$H$4</c:f>
              <c:multiLvlStrCache>
                <c:ptCount val="6"/>
                <c:lvl>
                  <c:pt idx="0">
                    <c:v>Alim Ro </c:v>
                  </c:pt>
                  <c:pt idx="1">
                    <c:v>Rel Ro</c:v>
                  </c:pt>
                  <c:pt idx="2">
                    <c:v>Conc Ro </c:v>
                  </c:pt>
                  <c:pt idx="3">
                    <c:v>Alim Ro </c:v>
                  </c:pt>
                  <c:pt idx="4">
                    <c:v>Rel Ro</c:v>
                  </c:pt>
                  <c:pt idx="5">
                    <c:v>Conc Ro </c:v>
                  </c:pt>
                </c:lvl>
                <c:lvl>
                  <c:pt idx="0">
                    <c:v>Dia 26-08-25</c:v>
                  </c:pt>
                  <c:pt idx="1">
                    <c:v>Dia 26-08-25</c:v>
                  </c:pt>
                  <c:pt idx="2">
                    <c:v>Dia 26-08-25</c:v>
                  </c:pt>
                  <c:pt idx="3">
                    <c:v>Noche 07-08-25</c:v>
                  </c:pt>
                  <c:pt idx="4">
                    <c:v>Noche 07-08-25</c:v>
                  </c:pt>
                  <c:pt idx="5">
                    <c:v>Noche 07-08-25</c:v>
                  </c:pt>
                </c:lvl>
              </c:multiLvlStrCache>
            </c:multiLvlStrRef>
          </c:cat>
          <c:val>
            <c:numRef>
              <c:f>'Mine Modal Ro'!$C$14:$H$14</c:f>
              <c:numCache>
                <c:formatCode>General</c:formatCode>
                <c:ptCount val="6"/>
                <c:pt idx="0">
                  <c:v>4.5999999999999999E-2</c:v>
                </c:pt>
                <c:pt idx="1">
                  <c:v>2.7E-2</c:v>
                </c:pt>
                <c:pt idx="2">
                  <c:v>0.32400000000000001</c:v>
                </c:pt>
                <c:pt idx="3">
                  <c:v>0.11</c:v>
                </c:pt>
                <c:pt idx="4">
                  <c:v>5.8000000000000003E-2</c:v>
                </c:pt>
                <c:pt idx="5">
                  <c:v>0.82699999999999996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BB7-46D6-BBAD-6DCDCB9F1741}"/>
            </c:ext>
          </c:extLst>
        </c:ser>
        <c:ser>
          <c:idx val="10"/>
          <c:order val="10"/>
          <c:tx>
            <c:strRef>
              <c:f>'Mine Modal Ro'!$B$15</c:f>
              <c:strCache>
                <c:ptCount val="1"/>
                <c:pt idx="0">
                  <c:v>Covelina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'Mine Modal Ro'!$C$2:$H$4</c:f>
              <c:multiLvlStrCache>
                <c:ptCount val="6"/>
                <c:lvl>
                  <c:pt idx="0">
                    <c:v>Alim Ro </c:v>
                  </c:pt>
                  <c:pt idx="1">
                    <c:v>Rel Ro</c:v>
                  </c:pt>
                  <c:pt idx="2">
                    <c:v>Conc Ro </c:v>
                  </c:pt>
                  <c:pt idx="3">
                    <c:v>Alim Ro </c:v>
                  </c:pt>
                  <c:pt idx="4">
                    <c:v>Rel Ro</c:v>
                  </c:pt>
                  <c:pt idx="5">
                    <c:v>Conc Ro </c:v>
                  </c:pt>
                </c:lvl>
                <c:lvl>
                  <c:pt idx="0">
                    <c:v>Dia 26-08-25</c:v>
                  </c:pt>
                  <c:pt idx="1">
                    <c:v>Dia 26-08-25</c:v>
                  </c:pt>
                  <c:pt idx="2">
                    <c:v>Dia 26-08-25</c:v>
                  </c:pt>
                  <c:pt idx="3">
                    <c:v>Noche 07-08-25</c:v>
                  </c:pt>
                  <c:pt idx="4">
                    <c:v>Noche 07-08-25</c:v>
                  </c:pt>
                  <c:pt idx="5">
                    <c:v>Noche 07-08-25</c:v>
                  </c:pt>
                </c:lvl>
              </c:multiLvlStrCache>
            </c:multiLvlStrRef>
          </c:cat>
          <c:val>
            <c:numRef>
              <c:f>'Mine Modal Ro'!$C$15:$H$15</c:f>
              <c:numCache>
                <c:formatCode>General</c:formatCode>
                <c:ptCount val="6"/>
                <c:pt idx="0">
                  <c:v>2.8000000000000001E-2</c:v>
                </c:pt>
                <c:pt idx="1">
                  <c:v>8.0000000000000002E-3</c:v>
                </c:pt>
                <c:pt idx="2">
                  <c:v>0.28000000000000003</c:v>
                </c:pt>
                <c:pt idx="3">
                  <c:v>8.4000000000000005E-2</c:v>
                </c:pt>
                <c:pt idx="4">
                  <c:v>1.2999999999999999E-2</c:v>
                </c:pt>
                <c:pt idx="5">
                  <c:v>0.73299999999999998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BB7-46D6-BBAD-6DCDCB9F1741}"/>
            </c:ext>
          </c:extLst>
        </c:ser>
        <c:ser>
          <c:idx val="11"/>
          <c:order val="11"/>
          <c:tx>
            <c:strRef>
              <c:f>'Mine Modal Ro'!$B$16</c:f>
              <c:strCache>
                <c:ptCount val="1"/>
                <c:pt idx="0">
                  <c:v>Biotita/flogopita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'Mine Modal Ro'!$C$2:$H$4</c:f>
              <c:multiLvlStrCache>
                <c:ptCount val="6"/>
                <c:lvl>
                  <c:pt idx="0">
                    <c:v>Alim Ro </c:v>
                  </c:pt>
                  <c:pt idx="1">
                    <c:v>Rel Ro</c:v>
                  </c:pt>
                  <c:pt idx="2">
                    <c:v>Conc Ro </c:v>
                  </c:pt>
                  <c:pt idx="3">
                    <c:v>Alim Ro </c:v>
                  </c:pt>
                  <c:pt idx="4">
                    <c:v>Rel Ro</c:v>
                  </c:pt>
                  <c:pt idx="5">
                    <c:v>Conc Ro </c:v>
                  </c:pt>
                </c:lvl>
                <c:lvl>
                  <c:pt idx="0">
                    <c:v>Dia 26-08-25</c:v>
                  </c:pt>
                  <c:pt idx="1">
                    <c:v>Dia 26-08-25</c:v>
                  </c:pt>
                  <c:pt idx="2">
                    <c:v>Dia 26-08-25</c:v>
                  </c:pt>
                  <c:pt idx="3">
                    <c:v>Noche 07-08-25</c:v>
                  </c:pt>
                  <c:pt idx="4">
                    <c:v>Noche 07-08-25</c:v>
                  </c:pt>
                  <c:pt idx="5">
                    <c:v>Noche 07-08-25</c:v>
                  </c:pt>
                </c:lvl>
              </c:multiLvlStrCache>
            </c:multiLvlStrRef>
          </c:cat>
          <c:val>
            <c:numRef>
              <c:f>'Mine Modal Ro'!$C$16:$H$16</c:f>
              <c:numCache>
                <c:formatCode>General</c:formatCode>
                <c:ptCount val="6"/>
                <c:pt idx="0">
                  <c:v>0.16500000000000001</c:v>
                </c:pt>
                <c:pt idx="1">
                  <c:v>0.26600000000000001</c:v>
                </c:pt>
                <c:pt idx="2">
                  <c:v>0.11700000000000001</c:v>
                </c:pt>
                <c:pt idx="3">
                  <c:v>0.25</c:v>
                </c:pt>
                <c:pt idx="4">
                  <c:v>0.19800000000000001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BB7-46D6-BBAD-6DCDCB9F1741}"/>
            </c:ext>
          </c:extLst>
        </c:ser>
        <c:ser>
          <c:idx val="12"/>
          <c:order val="12"/>
          <c:tx>
            <c:strRef>
              <c:f>'Mine Modal Ro'!$B$17</c:f>
              <c:strCache>
                <c:ptCount val="1"/>
                <c:pt idx="0">
                  <c:v>Rutilo/anatase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'Mine Modal Ro'!$C$2:$H$4</c:f>
              <c:multiLvlStrCache>
                <c:ptCount val="6"/>
                <c:lvl>
                  <c:pt idx="0">
                    <c:v>Alim Ro </c:v>
                  </c:pt>
                  <c:pt idx="1">
                    <c:v>Rel Ro</c:v>
                  </c:pt>
                  <c:pt idx="2">
                    <c:v>Conc Ro </c:v>
                  </c:pt>
                  <c:pt idx="3">
                    <c:v>Alim Ro </c:v>
                  </c:pt>
                  <c:pt idx="4">
                    <c:v>Rel Ro</c:v>
                  </c:pt>
                  <c:pt idx="5">
                    <c:v>Conc Ro </c:v>
                  </c:pt>
                </c:lvl>
                <c:lvl>
                  <c:pt idx="0">
                    <c:v>Dia 26-08-25</c:v>
                  </c:pt>
                  <c:pt idx="1">
                    <c:v>Dia 26-08-25</c:v>
                  </c:pt>
                  <c:pt idx="2">
                    <c:v>Dia 26-08-25</c:v>
                  </c:pt>
                  <c:pt idx="3">
                    <c:v>Noche 07-08-25</c:v>
                  </c:pt>
                  <c:pt idx="4">
                    <c:v>Noche 07-08-25</c:v>
                  </c:pt>
                  <c:pt idx="5">
                    <c:v>Noche 07-08-25</c:v>
                  </c:pt>
                </c:lvl>
              </c:multiLvlStrCache>
            </c:multiLvlStrRef>
          </c:cat>
          <c:val>
            <c:numRef>
              <c:f>'Mine Modal Ro'!$C$17:$H$17</c:f>
              <c:numCache>
                <c:formatCode>General</c:formatCode>
                <c:ptCount val="6"/>
                <c:pt idx="0">
                  <c:v>0.17199999999999999</c:v>
                </c:pt>
                <c:pt idx="1">
                  <c:v>0.15</c:v>
                </c:pt>
                <c:pt idx="2">
                  <c:v>0.19600000000000001</c:v>
                </c:pt>
                <c:pt idx="3">
                  <c:v>0.114</c:v>
                </c:pt>
                <c:pt idx="4">
                  <c:v>0.182</c:v>
                </c:pt>
                <c:pt idx="5">
                  <c:v>0.27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BB7-46D6-BBAD-6DCDCB9F1741}"/>
            </c:ext>
          </c:extLst>
        </c:ser>
        <c:ser>
          <c:idx val="13"/>
          <c:order val="13"/>
          <c:tx>
            <c:strRef>
              <c:f>'Mine Modal Ro'!$B$18</c:f>
              <c:strCache>
                <c:ptCount val="1"/>
                <c:pt idx="0">
                  <c:v>Alunita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'Mine Modal Ro'!$C$2:$H$4</c:f>
              <c:multiLvlStrCache>
                <c:ptCount val="6"/>
                <c:lvl>
                  <c:pt idx="0">
                    <c:v>Alim Ro </c:v>
                  </c:pt>
                  <c:pt idx="1">
                    <c:v>Rel Ro</c:v>
                  </c:pt>
                  <c:pt idx="2">
                    <c:v>Conc Ro </c:v>
                  </c:pt>
                  <c:pt idx="3">
                    <c:v>Alim Ro </c:v>
                  </c:pt>
                  <c:pt idx="4">
                    <c:v>Rel Ro</c:v>
                  </c:pt>
                  <c:pt idx="5">
                    <c:v>Conc Ro </c:v>
                  </c:pt>
                </c:lvl>
                <c:lvl>
                  <c:pt idx="0">
                    <c:v>Dia 26-08-25</c:v>
                  </c:pt>
                  <c:pt idx="1">
                    <c:v>Dia 26-08-25</c:v>
                  </c:pt>
                  <c:pt idx="2">
                    <c:v>Dia 26-08-25</c:v>
                  </c:pt>
                  <c:pt idx="3">
                    <c:v>Noche 07-08-25</c:v>
                  </c:pt>
                  <c:pt idx="4">
                    <c:v>Noche 07-08-25</c:v>
                  </c:pt>
                  <c:pt idx="5">
                    <c:v>Noche 07-08-25</c:v>
                  </c:pt>
                </c:lvl>
              </c:multiLvlStrCache>
            </c:multiLvlStrRef>
          </c:cat>
          <c:val>
            <c:numRef>
              <c:f>'Mine Modal Ro'!$C$18:$H$18</c:f>
              <c:numCache>
                <c:formatCode>General</c:formatCode>
                <c:ptCount val="6"/>
                <c:pt idx="0">
                  <c:v>0.217</c:v>
                </c:pt>
                <c:pt idx="1">
                  <c:v>6.4000000000000001E-2</c:v>
                </c:pt>
                <c:pt idx="2">
                  <c:v>0.155</c:v>
                </c:pt>
                <c:pt idx="3">
                  <c:v>0.16400000000000001</c:v>
                </c:pt>
                <c:pt idx="4">
                  <c:v>0.187</c:v>
                </c:pt>
                <c:pt idx="5">
                  <c:v>0.21199999999999999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BB7-46D6-BBAD-6DCDCB9F1741}"/>
            </c:ext>
          </c:extLst>
        </c:ser>
        <c:ser>
          <c:idx val="14"/>
          <c:order val="14"/>
          <c:tx>
            <c:strRef>
              <c:f>'Mine Modal Ro'!$B$19</c:f>
              <c:strCache>
                <c:ptCount val="1"/>
                <c:pt idx="0">
                  <c:v>Ilmenita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'Mine Modal Ro'!$C$2:$H$4</c:f>
              <c:multiLvlStrCache>
                <c:ptCount val="6"/>
                <c:lvl>
                  <c:pt idx="0">
                    <c:v>Alim Ro </c:v>
                  </c:pt>
                  <c:pt idx="1">
                    <c:v>Rel Ro</c:v>
                  </c:pt>
                  <c:pt idx="2">
                    <c:v>Conc Ro </c:v>
                  </c:pt>
                  <c:pt idx="3">
                    <c:v>Alim Ro </c:v>
                  </c:pt>
                  <c:pt idx="4">
                    <c:v>Rel Ro</c:v>
                  </c:pt>
                  <c:pt idx="5">
                    <c:v>Conc Ro </c:v>
                  </c:pt>
                </c:lvl>
                <c:lvl>
                  <c:pt idx="0">
                    <c:v>Dia 26-08-25</c:v>
                  </c:pt>
                  <c:pt idx="1">
                    <c:v>Dia 26-08-25</c:v>
                  </c:pt>
                  <c:pt idx="2">
                    <c:v>Dia 26-08-25</c:v>
                  </c:pt>
                  <c:pt idx="3">
                    <c:v>Noche 07-08-25</c:v>
                  </c:pt>
                  <c:pt idx="4">
                    <c:v>Noche 07-08-25</c:v>
                  </c:pt>
                  <c:pt idx="5">
                    <c:v>Noche 07-08-25</c:v>
                  </c:pt>
                </c:lvl>
              </c:multiLvlStrCache>
            </c:multiLvlStrRef>
          </c:cat>
          <c:val>
            <c:numRef>
              <c:f>'Mine Modal Ro'!$C$19:$H$19</c:f>
              <c:numCache>
                <c:formatCode>General</c:formatCode>
                <c:ptCount val="6"/>
                <c:pt idx="0">
                  <c:v>8.7999999999999995E-2</c:v>
                </c:pt>
                <c:pt idx="1">
                  <c:v>0.113</c:v>
                </c:pt>
                <c:pt idx="2">
                  <c:v>0.22700000000000001</c:v>
                </c:pt>
                <c:pt idx="3">
                  <c:v>5.5E-2</c:v>
                </c:pt>
                <c:pt idx="4">
                  <c:v>6.8000000000000005E-2</c:v>
                </c:pt>
                <c:pt idx="5">
                  <c:v>5.8999999999999997E-2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BB7-46D6-BBAD-6DCDCB9F1741}"/>
            </c:ext>
          </c:extLst>
        </c:ser>
        <c:ser>
          <c:idx val="15"/>
          <c:order val="15"/>
          <c:tx>
            <c:strRef>
              <c:f>'Mine Modal Ro'!$B$20</c:f>
              <c:strCache>
                <c:ptCount val="1"/>
                <c:pt idx="0">
                  <c:v>Apatito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'Mine Modal Ro'!$C$2:$H$4</c:f>
              <c:multiLvlStrCache>
                <c:ptCount val="6"/>
                <c:lvl>
                  <c:pt idx="0">
                    <c:v>Alim Ro </c:v>
                  </c:pt>
                  <c:pt idx="1">
                    <c:v>Rel Ro</c:v>
                  </c:pt>
                  <c:pt idx="2">
                    <c:v>Conc Ro </c:v>
                  </c:pt>
                  <c:pt idx="3">
                    <c:v>Alim Ro </c:v>
                  </c:pt>
                  <c:pt idx="4">
                    <c:v>Rel Ro</c:v>
                  </c:pt>
                  <c:pt idx="5">
                    <c:v>Conc Ro </c:v>
                  </c:pt>
                </c:lvl>
                <c:lvl>
                  <c:pt idx="0">
                    <c:v>Dia 26-08-25</c:v>
                  </c:pt>
                  <c:pt idx="1">
                    <c:v>Dia 26-08-25</c:v>
                  </c:pt>
                  <c:pt idx="2">
                    <c:v>Dia 26-08-25</c:v>
                  </c:pt>
                  <c:pt idx="3">
                    <c:v>Noche 07-08-25</c:v>
                  </c:pt>
                  <c:pt idx="4">
                    <c:v>Noche 07-08-25</c:v>
                  </c:pt>
                  <c:pt idx="5">
                    <c:v>Noche 07-08-25</c:v>
                  </c:pt>
                </c:lvl>
              </c:multiLvlStrCache>
            </c:multiLvlStrRef>
          </c:cat>
          <c:val>
            <c:numRef>
              <c:f>'Mine Modal Ro'!$C$20:$H$20</c:f>
              <c:numCache>
                <c:formatCode>General</c:formatCode>
                <c:ptCount val="6"/>
                <c:pt idx="0">
                  <c:v>7.6999999999999999E-2</c:v>
                </c:pt>
                <c:pt idx="1">
                  <c:v>8.6999999999999994E-2</c:v>
                </c:pt>
                <c:pt idx="2">
                  <c:v>9.0999999999999998E-2</c:v>
                </c:pt>
                <c:pt idx="3">
                  <c:v>3.7999999999999999E-2</c:v>
                </c:pt>
                <c:pt idx="4">
                  <c:v>6.4000000000000001E-2</c:v>
                </c:pt>
                <c:pt idx="5">
                  <c:v>2.5000000000000001E-2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BB7-46D6-BBAD-6DCDCB9F1741}"/>
            </c:ext>
          </c:extLst>
        </c:ser>
        <c:ser>
          <c:idx val="16"/>
          <c:order val="16"/>
          <c:tx>
            <c:strRef>
              <c:f>'Mine Modal Ro'!$B$21</c:f>
              <c:strCache>
                <c:ptCount val="1"/>
                <c:pt idx="0">
                  <c:v>Feldespato K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'Mine Modal Ro'!$C$2:$H$4</c:f>
              <c:multiLvlStrCache>
                <c:ptCount val="6"/>
                <c:lvl>
                  <c:pt idx="0">
                    <c:v>Alim Ro </c:v>
                  </c:pt>
                  <c:pt idx="1">
                    <c:v>Rel Ro</c:v>
                  </c:pt>
                  <c:pt idx="2">
                    <c:v>Conc Ro </c:v>
                  </c:pt>
                  <c:pt idx="3">
                    <c:v>Alim Ro </c:v>
                  </c:pt>
                  <c:pt idx="4">
                    <c:v>Rel Ro</c:v>
                  </c:pt>
                  <c:pt idx="5">
                    <c:v>Conc Ro </c:v>
                  </c:pt>
                </c:lvl>
                <c:lvl>
                  <c:pt idx="0">
                    <c:v>Dia 26-08-25</c:v>
                  </c:pt>
                  <c:pt idx="1">
                    <c:v>Dia 26-08-25</c:v>
                  </c:pt>
                  <c:pt idx="2">
                    <c:v>Dia 26-08-25</c:v>
                  </c:pt>
                  <c:pt idx="3">
                    <c:v>Noche 07-08-25</c:v>
                  </c:pt>
                  <c:pt idx="4">
                    <c:v>Noche 07-08-25</c:v>
                  </c:pt>
                  <c:pt idx="5">
                    <c:v>Noche 07-08-25</c:v>
                  </c:pt>
                </c:lvl>
              </c:multiLvlStrCache>
            </c:multiLvlStrRef>
          </c:cat>
          <c:val>
            <c:numRef>
              <c:f>'Mine Modal Ro'!$C$21:$H$21</c:f>
              <c:numCache>
                <c:formatCode>General</c:formatCode>
                <c:ptCount val="6"/>
                <c:pt idx="0">
                  <c:v>3.4000000000000002E-2</c:v>
                </c:pt>
                <c:pt idx="1">
                  <c:v>8.5000000000000006E-2</c:v>
                </c:pt>
                <c:pt idx="2">
                  <c:v>1.7000000000000001E-2</c:v>
                </c:pt>
                <c:pt idx="3">
                  <c:v>0.13500000000000001</c:v>
                </c:pt>
                <c:pt idx="4">
                  <c:v>1.4999999999999999E-2</c:v>
                </c:pt>
                <c:pt idx="5">
                  <c:v>7.5999999999999998E-2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BB7-46D6-BBAD-6DCDCB9F1741}"/>
            </c:ext>
          </c:extLst>
        </c:ser>
        <c:ser>
          <c:idx val="17"/>
          <c:order val="17"/>
          <c:tx>
            <c:strRef>
              <c:f>'Mine Modal Ro'!$B$22</c:f>
              <c:strCache>
                <c:ptCount val="1"/>
                <c:pt idx="0">
                  <c:v>Enargita/Tennantita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'Mine Modal Ro'!$C$2:$H$4</c:f>
              <c:multiLvlStrCache>
                <c:ptCount val="6"/>
                <c:lvl>
                  <c:pt idx="0">
                    <c:v>Alim Ro </c:v>
                  </c:pt>
                  <c:pt idx="1">
                    <c:v>Rel Ro</c:v>
                  </c:pt>
                  <c:pt idx="2">
                    <c:v>Conc Ro </c:v>
                  </c:pt>
                  <c:pt idx="3">
                    <c:v>Alim Ro </c:v>
                  </c:pt>
                  <c:pt idx="4">
                    <c:v>Rel Ro</c:v>
                  </c:pt>
                  <c:pt idx="5">
                    <c:v>Conc Ro </c:v>
                  </c:pt>
                </c:lvl>
                <c:lvl>
                  <c:pt idx="0">
                    <c:v>Dia 26-08-25</c:v>
                  </c:pt>
                  <c:pt idx="1">
                    <c:v>Dia 26-08-25</c:v>
                  </c:pt>
                  <c:pt idx="2">
                    <c:v>Dia 26-08-25</c:v>
                  </c:pt>
                  <c:pt idx="3">
                    <c:v>Noche 07-08-25</c:v>
                  </c:pt>
                  <c:pt idx="4">
                    <c:v>Noche 07-08-25</c:v>
                  </c:pt>
                  <c:pt idx="5">
                    <c:v>Noche 07-08-25</c:v>
                  </c:pt>
                </c:lvl>
              </c:multiLvlStrCache>
            </c:multiLvlStrRef>
          </c:cat>
          <c:val>
            <c:numRef>
              <c:f>'Mine Modal Ro'!$C$22:$H$22</c:f>
              <c:numCache>
                <c:formatCode>General</c:formatCode>
                <c:ptCount val="6"/>
                <c:pt idx="0">
                  <c:v>8.9999999999999993E-3</c:v>
                </c:pt>
                <c:pt idx="1">
                  <c:v>1E-3</c:v>
                </c:pt>
                <c:pt idx="2">
                  <c:v>8.2000000000000003E-2</c:v>
                </c:pt>
                <c:pt idx="3">
                  <c:v>1.0999999999999999E-2</c:v>
                </c:pt>
                <c:pt idx="4">
                  <c:v>2E-3</c:v>
                </c:pt>
                <c:pt idx="5">
                  <c:v>0.19600000000000001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BB7-46D6-BBAD-6DCDCB9F1741}"/>
            </c:ext>
          </c:extLst>
        </c:ser>
        <c:ser>
          <c:idx val="18"/>
          <c:order val="18"/>
          <c:tx>
            <c:strRef>
              <c:f>'Mine Modal Ro'!$B$23</c:f>
              <c:strCache>
                <c:ptCount val="1"/>
                <c:pt idx="0">
                  <c:v>Molibdenita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'Mine Modal Ro'!$C$2:$H$4</c:f>
              <c:multiLvlStrCache>
                <c:ptCount val="6"/>
                <c:lvl>
                  <c:pt idx="0">
                    <c:v>Alim Ro </c:v>
                  </c:pt>
                  <c:pt idx="1">
                    <c:v>Rel Ro</c:v>
                  </c:pt>
                  <c:pt idx="2">
                    <c:v>Conc Ro </c:v>
                  </c:pt>
                  <c:pt idx="3">
                    <c:v>Alim Ro </c:v>
                  </c:pt>
                  <c:pt idx="4">
                    <c:v>Rel Ro</c:v>
                  </c:pt>
                  <c:pt idx="5">
                    <c:v>Conc Ro </c:v>
                  </c:pt>
                </c:lvl>
                <c:lvl>
                  <c:pt idx="0">
                    <c:v>Dia 26-08-25</c:v>
                  </c:pt>
                  <c:pt idx="1">
                    <c:v>Dia 26-08-25</c:v>
                  </c:pt>
                  <c:pt idx="2">
                    <c:v>Dia 26-08-25</c:v>
                  </c:pt>
                  <c:pt idx="3">
                    <c:v>Noche 07-08-25</c:v>
                  </c:pt>
                  <c:pt idx="4">
                    <c:v>Noche 07-08-25</c:v>
                  </c:pt>
                  <c:pt idx="5">
                    <c:v>Noche 07-08-25</c:v>
                  </c:pt>
                </c:lvl>
              </c:multiLvlStrCache>
            </c:multiLvlStrRef>
          </c:cat>
          <c:val>
            <c:numRef>
              <c:f>'Mine Modal Ro'!$C$23:$H$23</c:f>
              <c:numCache>
                <c:formatCode>General</c:formatCode>
                <c:ptCount val="6"/>
                <c:pt idx="0">
                  <c:v>3.0000000000000001E-3</c:v>
                </c:pt>
                <c:pt idx="1">
                  <c:v>0.03</c:v>
                </c:pt>
                <c:pt idx="2">
                  <c:v>0.122</c:v>
                </c:pt>
                <c:pt idx="3">
                  <c:v>1.7000000000000001E-2</c:v>
                </c:pt>
                <c:pt idx="4">
                  <c:v>2.9000000000000001E-2</c:v>
                </c:pt>
                <c:pt idx="5">
                  <c:v>6.9000000000000006E-2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BB7-46D6-BBAD-6DCDCB9F1741}"/>
            </c:ext>
          </c:extLst>
        </c:ser>
        <c:ser>
          <c:idx val="19"/>
          <c:order val="19"/>
          <c:tx>
            <c:strRef>
              <c:f>'Mine Modal Ro'!$B$24</c:f>
              <c:strCache>
                <c:ptCount val="1"/>
                <c:pt idx="0">
                  <c:v>Arcillas Cu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'Mine Modal Ro'!$C$2:$H$4</c:f>
              <c:multiLvlStrCache>
                <c:ptCount val="6"/>
                <c:lvl>
                  <c:pt idx="0">
                    <c:v>Alim Ro </c:v>
                  </c:pt>
                  <c:pt idx="1">
                    <c:v>Rel Ro</c:v>
                  </c:pt>
                  <c:pt idx="2">
                    <c:v>Conc Ro </c:v>
                  </c:pt>
                  <c:pt idx="3">
                    <c:v>Alim Ro </c:v>
                  </c:pt>
                  <c:pt idx="4">
                    <c:v>Rel Ro</c:v>
                  </c:pt>
                  <c:pt idx="5">
                    <c:v>Conc Ro </c:v>
                  </c:pt>
                </c:lvl>
                <c:lvl>
                  <c:pt idx="0">
                    <c:v>Dia 26-08-25</c:v>
                  </c:pt>
                  <c:pt idx="1">
                    <c:v>Dia 26-08-25</c:v>
                  </c:pt>
                  <c:pt idx="2">
                    <c:v>Dia 26-08-25</c:v>
                  </c:pt>
                  <c:pt idx="3">
                    <c:v>Noche 07-08-25</c:v>
                  </c:pt>
                  <c:pt idx="4">
                    <c:v>Noche 07-08-25</c:v>
                  </c:pt>
                  <c:pt idx="5">
                    <c:v>Noche 07-08-25</c:v>
                  </c:pt>
                </c:lvl>
              </c:multiLvlStrCache>
            </c:multiLvlStrRef>
          </c:cat>
          <c:val>
            <c:numRef>
              <c:f>'Mine Modal Ro'!$C$24:$H$24</c:f>
              <c:numCache>
                <c:formatCode>General</c:formatCode>
                <c:ptCount val="6"/>
                <c:pt idx="0">
                  <c:v>1.4E-2</c:v>
                </c:pt>
                <c:pt idx="1">
                  <c:v>1.0999999999999999E-2</c:v>
                </c:pt>
                <c:pt idx="2">
                  <c:v>7.3999999999999996E-2</c:v>
                </c:pt>
                <c:pt idx="3">
                  <c:v>1.2E-2</c:v>
                </c:pt>
                <c:pt idx="4">
                  <c:v>1.9E-2</c:v>
                </c:pt>
                <c:pt idx="5">
                  <c:v>3.2000000000000001E-2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BB7-46D6-BBAD-6DCDCB9F1741}"/>
            </c:ext>
          </c:extLst>
        </c:ser>
        <c:ser>
          <c:idx val="20"/>
          <c:order val="20"/>
          <c:tx>
            <c:strRef>
              <c:f>'Mine Modal Ro'!$B$25</c:f>
              <c:strCache>
                <c:ptCount val="1"/>
                <c:pt idx="0">
                  <c:v>Piroxeno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'Mine Modal Ro'!$C$2:$H$4</c:f>
              <c:multiLvlStrCache>
                <c:ptCount val="6"/>
                <c:lvl>
                  <c:pt idx="0">
                    <c:v>Alim Ro </c:v>
                  </c:pt>
                  <c:pt idx="1">
                    <c:v>Rel Ro</c:v>
                  </c:pt>
                  <c:pt idx="2">
                    <c:v>Conc Ro </c:v>
                  </c:pt>
                  <c:pt idx="3">
                    <c:v>Alim Ro </c:v>
                  </c:pt>
                  <c:pt idx="4">
                    <c:v>Rel Ro</c:v>
                  </c:pt>
                  <c:pt idx="5">
                    <c:v>Conc Ro </c:v>
                  </c:pt>
                </c:lvl>
                <c:lvl>
                  <c:pt idx="0">
                    <c:v>Dia 26-08-25</c:v>
                  </c:pt>
                  <c:pt idx="1">
                    <c:v>Dia 26-08-25</c:v>
                  </c:pt>
                  <c:pt idx="2">
                    <c:v>Dia 26-08-25</c:v>
                  </c:pt>
                  <c:pt idx="3">
                    <c:v>Noche 07-08-25</c:v>
                  </c:pt>
                  <c:pt idx="4">
                    <c:v>Noche 07-08-25</c:v>
                  </c:pt>
                  <c:pt idx="5">
                    <c:v>Noche 07-08-25</c:v>
                  </c:pt>
                </c:lvl>
              </c:multiLvlStrCache>
            </c:multiLvlStrRef>
          </c:cat>
          <c:val>
            <c:numRef>
              <c:f>'Mine Modal Ro'!$C$25:$H$25</c:f>
              <c:numCache>
                <c:formatCode>General</c:formatCode>
                <c:ptCount val="6"/>
                <c:pt idx="0">
                  <c:v>1.9E-2</c:v>
                </c:pt>
                <c:pt idx="1">
                  <c:v>2.1000000000000001E-2</c:v>
                </c:pt>
                <c:pt idx="2">
                  <c:v>3.2000000000000001E-2</c:v>
                </c:pt>
                <c:pt idx="3">
                  <c:v>1.7999999999999999E-2</c:v>
                </c:pt>
                <c:pt idx="4">
                  <c:v>0.03</c:v>
                </c:pt>
                <c:pt idx="5">
                  <c:v>8.9999999999999993E-3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BB7-46D6-BBAD-6DCDCB9F1741}"/>
            </c:ext>
          </c:extLst>
        </c:ser>
        <c:ser>
          <c:idx val="21"/>
          <c:order val="21"/>
          <c:tx>
            <c:strRef>
              <c:f>'Mine Modal Ro'!$B$26</c:f>
              <c:strCache>
                <c:ptCount val="1"/>
                <c:pt idx="0">
                  <c:v>Anfibol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'Mine Modal Ro'!$C$2:$H$4</c:f>
              <c:multiLvlStrCache>
                <c:ptCount val="6"/>
                <c:lvl>
                  <c:pt idx="0">
                    <c:v>Alim Ro </c:v>
                  </c:pt>
                  <c:pt idx="1">
                    <c:v>Rel Ro</c:v>
                  </c:pt>
                  <c:pt idx="2">
                    <c:v>Conc Ro </c:v>
                  </c:pt>
                  <c:pt idx="3">
                    <c:v>Alim Ro </c:v>
                  </c:pt>
                  <c:pt idx="4">
                    <c:v>Rel Ro</c:v>
                  </c:pt>
                  <c:pt idx="5">
                    <c:v>Conc Ro </c:v>
                  </c:pt>
                </c:lvl>
                <c:lvl>
                  <c:pt idx="0">
                    <c:v>Dia 26-08-25</c:v>
                  </c:pt>
                  <c:pt idx="1">
                    <c:v>Dia 26-08-25</c:v>
                  </c:pt>
                  <c:pt idx="2">
                    <c:v>Dia 26-08-25</c:v>
                  </c:pt>
                  <c:pt idx="3">
                    <c:v>Noche 07-08-25</c:v>
                  </c:pt>
                  <c:pt idx="4">
                    <c:v>Noche 07-08-25</c:v>
                  </c:pt>
                  <c:pt idx="5">
                    <c:v>Noche 07-08-25</c:v>
                  </c:pt>
                </c:lvl>
              </c:multiLvlStrCache>
            </c:multiLvlStrRef>
          </c:cat>
          <c:val>
            <c:numRef>
              <c:f>'Mine Modal Ro'!$C$26:$H$26</c:f>
              <c:numCache>
                <c:formatCode>General</c:formatCode>
                <c:ptCount val="6"/>
                <c:pt idx="0">
                  <c:v>1.4999999999999999E-2</c:v>
                </c:pt>
                <c:pt idx="1">
                  <c:v>1.9E-2</c:v>
                </c:pt>
                <c:pt idx="2">
                  <c:v>2E-3</c:v>
                </c:pt>
                <c:pt idx="3">
                  <c:v>1.0999999999999999E-2</c:v>
                </c:pt>
                <c:pt idx="4">
                  <c:v>1.9E-2</c:v>
                </c:pt>
                <c:pt idx="5">
                  <c:v>1.0999999999999999E-2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BB7-46D6-BBAD-6DCDCB9F1741}"/>
            </c:ext>
          </c:extLst>
        </c:ser>
        <c:ser>
          <c:idx val="22"/>
          <c:order val="22"/>
          <c:tx>
            <c:strRef>
              <c:f>'Mine Modal Ro'!$B$27</c:f>
              <c:strCache>
                <c:ptCount val="1"/>
                <c:pt idx="0">
                  <c:v>Esfalerita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'Mine Modal Ro'!$C$2:$H$4</c:f>
              <c:multiLvlStrCache>
                <c:ptCount val="6"/>
                <c:lvl>
                  <c:pt idx="0">
                    <c:v>Alim Ro </c:v>
                  </c:pt>
                  <c:pt idx="1">
                    <c:v>Rel Ro</c:v>
                  </c:pt>
                  <c:pt idx="2">
                    <c:v>Conc Ro </c:v>
                  </c:pt>
                  <c:pt idx="3">
                    <c:v>Alim Ro </c:v>
                  </c:pt>
                  <c:pt idx="4">
                    <c:v>Rel Ro</c:v>
                  </c:pt>
                  <c:pt idx="5">
                    <c:v>Conc Ro </c:v>
                  </c:pt>
                </c:lvl>
                <c:lvl>
                  <c:pt idx="0">
                    <c:v>Dia 26-08-25</c:v>
                  </c:pt>
                  <c:pt idx="1">
                    <c:v>Dia 26-08-25</c:v>
                  </c:pt>
                  <c:pt idx="2">
                    <c:v>Dia 26-08-25</c:v>
                  </c:pt>
                  <c:pt idx="3">
                    <c:v>Noche 07-08-25</c:v>
                  </c:pt>
                  <c:pt idx="4">
                    <c:v>Noche 07-08-25</c:v>
                  </c:pt>
                  <c:pt idx="5">
                    <c:v>Noche 07-08-25</c:v>
                  </c:pt>
                </c:lvl>
              </c:multiLvlStrCache>
            </c:multiLvlStrRef>
          </c:cat>
          <c:val>
            <c:numRef>
              <c:f>'Mine Modal Ro'!$C$27:$H$27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6.6000000000000003E-2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BB7-46D6-BBAD-6DCDCB9F1741}"/>
            </c:ext>
          </c:extLst>
        </c:ser>
        <c:ser>
          <c:idx val="23"/>
          <c:order val="23"/>
          <c:tx>
            <c:strRef>
              <c:f>'Mine Modal Ro'!$B$28</c:f>
              <c:strCache>
                <c:ptCount val="1"/>
                <c:pt idx="0">
                  <c:v>Calcita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'Mine Modal Ro'!$C$2:$H$4</c:f>
              <c:multiLvlStrCache>
                <c:ptCount val="6"/>
                <c:lvl>
                  <c:pt idx="0">
                    <c:v>Alim Ro </c:v>
                  </c:pt>
                  <c:pt idx="1">
                    <c:v>Rel Ro</c:v>
                  </c:pt>
                  <c:pt idx="2">
                    <c:v>Conc Ro </c:v>
                  </c:pt>
                  <c:pt idx="3">
                    <c:v>Alim Ro </c:v>
                  </c:pt>
                  <c:pt idx="4">
                    <c:v>Rel Ro</c:v>
                  </c:pt>
                  <c:pt idx="5">
                    <c:v>Conc Ro </c:v>
                  </c:pt>
                </c:lvl>
                <c:lvl>
                  <c:pt idx="0">
                    <c:v>Dia 26-08-25</c:v>
                  </c:pt>
                  <c:pt idx="1">
                    <c:v>Dia 26-08-25</c:v>
                  </c:pt>
                  <c:pt idx="2">
                    <c:v>Dia 26-08-25</c:v>
                  </c:pt>
                  <c:pt idx="3">
                    <c:v>Noche 07-08-25</c:v>
                  </c:pt>
                  <c:pt idx="4">
                    <c:v>Noche 07-08-25</c:v>
                  </c:pt>
                  <c:pt idx="5">
                    <c:v>Noche 07-08-25</c:v>
                  </c:pt>
                </c:lvl>
              </c:multiLvlStrCache>
            </c:multiLvlStrRef>
          </c:cat>
          <c:val>
            <c:numRef>
              <c:f>'Mine Modal Ro'!$C$28:$H$28</c:f>
              <c:numCache>
                <c:formatCode>General</c:formatCode>
                <c:ptCount val="6"/>
                <c:pt idx="0">
                  <c:v>2E-3</c:v>
                </c:pt>
                <c:pt idx="1">
                  <c:v>2E-3</c:v>
                </c:pt>
                <c:pt idx="2">
                  <c:v>1E-3</c:v>
                </c:pt>
                <c:pt idx="3">
                  <c:v>4.2000000000000003E-2</c:v>
                </c:pt>
                <c:pt idx="4">
                  <c:v>3.0000000000000001E-3</c:v>
                </c:pt>
                <c:pt idx="5">
                  <c:v>8.9999999999999993E-3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BB7-46D6-BBAD-6DCDCB9F1741}"/>
            </c:ext>
          </c:extLst>
        </c:ser>
        <c:ser>
          <c:idx val="24"/>
          <c:order val="24"/>
          <c:tx>
            <c:strRef>
              <c:f>'Mine Modal Ro'!$B$29</c:f>
              <c:strCache>
                <c:ptCount val="1"/>
                <c:pt idx="0">
                  <c:v>Anhidrita/Yeso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'Mine Modal Ro'!$C$2:$H$4</c:f>
              <c:multiLvlStrCache>
                <c:ptCount val="6"/>
                <c:lvl>
                  <c:pt idx="0">
                    <c:v>Alim Ro </c:v>
                  </c:pt>
                  <c:pt idx="1">
                    <c:v>Rel Ro</c:v>
                  </c:pt>
                  <c:pt idx="2">
                    <c:v>Conc Ro </c:v>
                  </c:pt>
                  <c:pt idx="3">
                    <c:v>Alim Ro </c:v>
                  </c:pt>
                  <c:pt idx="4">
                    <c:v>Rel Ro</c:v>
                  </c:pt>
                  <c:pt idx="5">
                    <c:v>Conc Ro </c:v>
                  </c:pt>
                </c:lvl>
                <c:lvl>
                  <c:pt idx="0">
                    <c:v>Dia 26-08-25</c:v>
                  </c:pt>
                  <c:pt idx="1">
                    <c:v>Dia 26-08-25</c:v>
                  </c:pt>
                  <c:pt idx="2">
                    <c:v>Dia 26-08-25</c:v>
                  </c:pt>
                  <c:pt idx="3">
                    <c:v>Noche 07-08-25</c:v>
                  </c:pt>
                  <c:pt idx="4">
                    <c:v>Noche 07-08-25</c:v>
                  </c:pt>
                  <c:pt idx="5">
                    <c:v>Noche 07-08-25</c:v>
                  </c:pt>
                </c:lvl>
              </c:multiLvlStrCache>
            </c:multiLvlStrRef>
          </c:cat>
          <c:val>
            <c:numRef>
              <c:f>'Mine Modal Ro'!$C$29:$H$29</c:f>
              <c:numCache>
                <c:formatCode>General</c:formatCode>
                <c:ptCount val="6"/>
                <c:pt idx="0">
                  <c:v>1.0999999999999999E-2</c:v>
                </c:pt>
                <c:pt idx="1">
                  <c:v>5.0000000000000001E-3</c:v>
                </c:pt>
                <c:pt idx="2">
                  <c:v>2.3E-2</c:v>
                </c:pt>
                <c:pt idx="3">
                  <c:v>8.9999999999999993E-3</c:v>
                </c:pt>
                <c:pt idx="4">
                  <c:v>6.0000000000000001E-3</c:v>
                </c:pt>
                <c:pt idx="5">
                  <c:v>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BB7-46D6-BBAD-6DCDCB9F1741}"/>
            </c:ext>
          </c:extLst>
        </c:ser>
        <c:ser>
          <c:idx val="25"/>
          <c:order val="25"/>
          <c:tx>
            <c:strRef>
              <c:f>'Mine Modal Ro'!$B$30</c:f>
              <c:strCache>
                <c:ptCount val="1"/>
                <c:pt idx="0">
                  <c:v>Circon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'Mine Modal Ro'!$C$2:$H$4</c:f>
              <c:multiLvlStrCache>
                <c:ptCount val="6"/>
                <c:lvl>
                  <c:pt idx="0">
                    <c:v>Alim Ro </c:v>
                  </c:pt>
                  <c:pt idx="1">
                    <c:v>Rel Ro</c:v>
                  </c:pt>
                  <c:pt idx="2">
                    <c:v>Conc Ro </c:v>
                  </c:pt>
                  <c:pt idx="3">
                    <c:v>Alim Ro </c:v>
                  </c:pt>
                  <c:pt idx="4">
                    <c:v>Rel Ro</c:v>
                  </c:pt>
                  <c:pt idx="5">
                    <c:v>Conc Ro </c:v>
                  </c:pt>
                </c:lvl>
                <c:lvl>
                  <c:pt idx="0">
                    <c:v>Dia 26-08-25</c:v>
                  </c:pt>
                  <c:pt idx="1">
                    <c:v>Dia 26-08-25</c:v>
                  </c:pt>
                  <c:pt idx="2">
                    <c:v>Dia 26-08-25</c:v>
                  </c:pt>
                  <c:pt idx="3">
                    <c:v>Noche 07-08-25</c:v>
                  </c:pt>
                  <c:pt idx="4">
                    <c:v>Noche 07-08-25</c:v>
                  </c:pt>
                  <c:pt idx="5">
                    <c:v>Noche 07-08-25</c:v>
                  </c:pt>
                </c:lvl>
              </c:multiLvlStrCache>
            </c:multiLvlStrRef>
          </c:cat>
          <c:val>
            <c:numRef>
              <c:f>'Mine Modal Ro'!$C$30:$H$30</c:f>
              <c:numCache>
                <c:formatCode>General</c:formatCode>
                <c:ptCount val="6"/>
                <c:pt idx="0">
                  <c:v>1.0999999999999999E-2</c:v>
                </c:pt>
                <c:pt idx="1">
                  <c:v>3.0000000000000001E-3</c:v>
                </c:pt>
                <c:pt idx="2">
                  <c:v>1E-3</c:v>
                </c:pt>
                <c:pt idx="3">
                  <c:v>4.0000000000000001E-3</c:v>
                </c:pt>
                <c:pt idx="4">
                  <c:v>8.9999999999999993E-3</c:v>
                </c:pt>
                <c:pt idx="5">
                  <c:v>2.5000000000000001E-2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2BB7-46D6-BBAD-6DCDCB9F1741}"/>
            </c:ext>
          </c:extLst>
        </c:ser>
        <c:ser>
          <c:idx val="26"/>
          <c:order val="26"/>
          <c:tx>
            <c:strRef>
              <c:f>'Mine Modal Ro'!$B$31</c:f>
              <c:strCache>
                <c:ptCount val="1"/>
                <c:pt idx="0">
                  <c:v>Titanomagnetita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'Mine Modal Ro'!$C$2:$H$4</c:f>
              <c:multiLvlStrCache>
                <c:ptCount val="6"/>
                <c:lvl>
                  <c:pt idx="0">
                    <c:v>Alim Ro </c:v>
                  </c:pt>
                  <c:pt idx="1">
                    <c:v>Rel Ro</c:v>
                  </c:pt>
                  <c:pt idx="2">
                    <c:v>Conc Ro </c:v>
                  </c:pt>
                  <c:pt idx="3">
                    <c:v>Alim Ro </c:v>
                  </c:pt>
                  <c:pt idx="4">
                    <c:v>Rel Ro</c:v>
                  </c:pt>
                  <c:pt idx="5">
                    <c:v>Conc Ro </c:v>
                  </c:pt>
                </c:lvl>
                <c:lvl>
                  <c:pt idx="0">
                    <c:v>Dia 26-08-25</c:v>
                  </c:pt>
                  <c:pt idx="1">
                    <c:v>Dia 26-08-25</c:v>
                  </c:pt>
                  <c:pt idx="2">
                    <c:v>Dia 26-08-25</c:v>
                  </c:pt>
                  <c:pt idx="3">
                    <c:v>Noche 07-08-25</c:v>
                  </c:pt>
                  <c:pt idx="4">
                    <c:v>Noche 07-08-25</c:v>
                  </c:pt>
                  <c:pt idx="5">
                    <c:v>Noche 07-08-25</c:v>
                  </c:pt>
                </c:lvl>
              </c:multiLvlStrCache>
            </c:multiLvlStrRef>
          </c:cat>
          <c:val>
            <c:numRef>
              <c:f>'Mine Modal Ro'!$C$31:$H$31</c:f>
              <c:numCache>
                <c:formatCode>General</c:formatCode>
                <c:ptCount val="6"/>
                <c:pt idx="0">
                  <c:v>8.9999999999999993E-3</c:v>
                </c:pt>
                <c:pt idx="1">
                  <c:v>7.0000000000000001E-3</c:v>
                </c:pt>
                <c:pt idx="2">
                  <c:v>0</c:v>
                </c:pt>
                <c:pt idx="3">
                  <c:v>2.8000000000000001E-2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2BB7-46D6-BBAD-6DCDCB9F1741}"/>
            </c:ext>
          </c:extLst>
        </c:ser>
        <c:ser>
          <c:idx val="27"/>
          <c:order val="27"/>
          <c:tx>
            <c:strRef>
              <c:f>'Mine Modal Ro'!$B$32</c:f>
              <c:strCache>
                <c:ptCount val="1"/>
                <c:pt idx="0">
                  <c:v>Epidota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'Mine Modal Ro'!$C$2:$H$4</c:f>
              <c:multiLvlStrCache>
                <c:ptCount val="6"/>
                <c:lvl>
                  <c:pt idx="0">
                    <c:v>Alim Ro </c:v>
                  </c:pt>
                  <c:pt idx="1">
                    <c:v>Rel Ro</c:v>
                  </c:pt>
                  <c:pt idx="2">
                    <c:v>Conc Ro </c:v>
                  </c:pt>
                  <c:pt idx="3">
                    <c:v>Alim Ro </c:v>
                  </c:pt>
                  <c:pt idx="4">
                    <c:v>Rel Ro</c:v>
                  </c:pt>
                  <c:pt idx="5">
                    <c:v>Conc Ro </c:v>
                  </c:pt>
                </c:lvl>
                <c:lvl>
                  <c:pt idx="0">
                    <c:v>Dia 26-08-25</c:v>
                  </c:pt>
                  <c:pt idx="1">
                    <c:v>Dia 26-08-25</c:v>
                  </c:pt>
                  <c:pt idx="2">
                    <c:v>Dia 26-08-25</c:v>
                  </c:pt>
                  <c:pt idx="3">
                    <c:v>Noche 07-08-25</c:v>
                  </c:pt>
                  <c:pt idx="4">
                    <c:v>Noche 07-08-25</c:v>
                  </c:pt>
                  <c:pt idx="5">
                    <c:v>Noche 07-08-25</c:v>
                  </c:pt>
                </c:lvl>
              </c:multiLvlStrCache>
            </c:multiLvlStrRef>
          </c:cat>
          <c:val>
            <c:numRef>
              <c:f>'Mine Modal Ro'!$C$32:$H$32</c:f>
              <c:numCache>
                <c:formatCode>General</c:formatCode>
                <c:ptCount val="6"/>
                <c:pt idx="0">
                  <c:v>0.01</c:v>
                </c:pt>
                <c:pt idx="1">
                  <c:v>1.7999999999999999E-2</c:v>
                </c:pt>
                <c:pt idx="2">
                  <c:v>0</c:v>
                </c:pt>
                <c:pt idx="3">
                  <c:v>5.0000000000000001E-3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2BB7-46D6-BBAD-6DCDCB9F1741}"/>
            </c:ext>
          </c:extLst>
        </c:ser>
        <c:ser>
          <c:idx val="28"/>
          <c:order val="28"/>
          <c:tx>
            <c:strRef>
              <c:f>'Mine Modal Ro'!$B$33</c:f>
              <c:strCache>
                <c:ptCount val="1"/>
                <c:pt idx="0">
                  <c:v>Monazita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'Mine Modal Ro'!$C$2:$H$4</c:f>
              <c:multiLvlStrCache>
                <c:ptCount val="6"/>
                <c:lvl>
                  <c:pt idx="0">
                    <c:v>Alim Ro </c:v>
                  </c:pt>
                  <c:pt idx="1">
                    <c:v>Rel Ro</c:v>
                  </c:pt>
                  <c:pt idx="2">
                    <c:v>Conc Ro </c:v>
                  </c:pt>
                  <c:pt idx="3">
                    <c:v>Alim Ro </c:v>
                  </c:pt>
                  <c:pt idx="4">
                    <c:v>Rel Ro</c:v>
                  </c:pt>
                  <c:pt idx="5">
                    <c:v>Conc Ro </c:v>
                  </c:pt>
                </c:lvl>
                <c:lvl>
                  <c:pt idx="0">
                    <c:v>Dia 26-08-25</c:v>
                  </c:pt>
                  <c:pt idx="1">
                    <c:v>Dia 26-08-25</c:v>
                  </c:pt>
                  <c:pt idx="2">
                    <c:v>Dia 26-08-25</c:v>
                  </c:pt>
                  <c:pt idx="3">
                    <c:v>Noche 07-08-25</c:v>
                  </c:pt>
                  <c:pt idx="4">
                    <c:v>Noche 07-08-25</c:v>
                  </c:pt>
                  <c:pt idx="5">
                    <c:v>Noche 07-08-25</c:v>
                  </c:pt>
                </c:lvl>
              </c:multiLvlStrCache>
            </c:multiLvlStrRef>
          </c:cat>
          <c:val>
            <c:numRef>
              <c:f>'Mine Modal Ro'!$C$33:$H$33</c:f>
              <c:numCache>
                <c:formatCode>General</c:formatCode>
                <c:ptCount val="6"/>
                <c:pt idx="0">
                  <c:v>5.0000000000000001E-3</c:v>
                </c:pt>
                <c:pt idx="1">
                  <c:v>1E-3</c:v>
                </c:pt>
                <c:pt idx="2">
                  <c:v>0</c:v>
                </c:pt>
                <c:pt idx="3">
                  <c:v>1E-3</c:v>
                </c:pt>
                <c:pt idx="4">
                  <c:v>3.0000000000000001E-3</c:v>
                </c:pt>
                <c:pt idx="5">
                  <c:v>7.0000000000000001E-3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2BB7-46D6-BBAD-6DCDCB9F1741}"/>
            </c:ext>
          </c:extLst>
        </c:ser>
        <c:ser>
          <c:idx val="29"/>
          <c:order val="29"/>
          <c:tx>
            <c:strRef>
              <c:f>'Mine Modal Ro'!$B$34</c:f>
              <c:strCache>
                <c:ptCount val="1"/>
                <c:pt idx="0">
                  <c:v>Silicato Fe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'Mine Modal Ro'!$C$2:$H$4</c:f>
              <c:multiLvlStrCache>
                <c:ptCount val="6"/>
                <c:lvl>
                  <c:pt idx="0">
                    <c:v>Alim Ro </c:v>
                  </c:pt>
                  <c:pt idx="1">
                    <c:v>Rel Ro</c:v>
                  </c:pt>
                  <c:pt idx="2">
                    <c:v>Conc Ro </c:v>
                  </c:pt>
                  <c:pt idx="3">
                    <c:v>Alim Ro </c:v>
                  </c:pt>
                  <c:pt idx="4">
                    <c:v>Rel Ro</c:v>
                  </c:pt>
                  <c:pt idx="5">
                    <c:v>Conc Ro </c:v>
                  </c:pt>
                </c:lvl>
                <c:lvl>
                  <c:pt idx="0">
                    <c:v>Dia 26-08-25</c:v>
                  </c:pt>
                  <c:pt idx="1">
                    <c:v>Dia 26-08-25</c:v>
                  </c:pt>
                  <c:pt idx="2">
                    <c:v>Dia 26-08-25</c:v>
                  </c:pt>
                  <c:pt idx="3">
                    <c:v>Noche 07-08-25</c:v>
                  </c:pt>
                  <c:pt idx="4">
                    <c:v>Noche 07-08-25</c:v>
                  </c:pt>
                  <c:pt idx="5">
                    <c:v>Noche 07-08-25</c:v>
                  </c:pt>
                </c:lvl>
              </c:multiLvlStrCache>
            </c:multiLvlStrRef>
          </c:cat>
          <c:val>
            <c:numRef>
              <c:f>'Mine Modal Ro'!$C$34:$H$34</c:f>
              <c:numCache>
                <c:formatCode>General</c:formatCode>
                <c:ptCount val="6"/>
                <c:pt idx="0">
                  <c:v>0</c:v>
                </c:pt>
                <c:pt idx="1">
                  <c:v>1E-3</c:v>
                </c:pt>
                <c:pt idx="2">
                  <c:v>0</c:v>
                </c:pt>
                <c:pt idx="3">
                  <c:v>1.0999999999999999E-2</c:v>
                </c:pt>
                <c:pt idx="4">
                  <c:v>3.0000000000000001E-3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7-2BB7-46D6-BBAD-6DCDCB9F1741}"/>
            </c:ext>
          </c:extLst>
        </c:ser>
        <c:ser>
          <c:idx val="30"/>
          <c:order val="30"/>
          <c:tx>
            <c:strRef>
              <c:f>'Mine Modal Ro'!$B$35</c:f>
              <c:strCache>
                <c:ptCount val="1"/>
                <c:pt idx="0">
                  <c:v>Limonita(Cu)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'Mine Modal Ro'!$C$2:$H$4</c:f>
              <c:multiLvlStrCache>
                <c:ptCount val="6"/>
                <c:lvl>
                  <c:pt idx="0">
                    <c:v>Alim Ro </c:v>
                  </c:pt>
                  <c:pt idx="1">
                    <c:v>Rel Ro</c:v>
                  </c:pt>
                  <c:pt idx="2">
                    <c:v>Conc Ro </c:v>
                  </c:pt>
                  <c:pt idx="3">
                    <c:v>Alim Ro </c:v>
                  </c:pt>
                  <c:pt idx="4">
                    <c:v>Rel Ro</c:v>
                  </c:pt>
                  <c:pt idx="5">
                    <c:v>Conc Ro </c:v>
                  </c:pt>
                </c:lvl>
                <c:lvl>
                  <c:pt idx="0">
                    <c:v>Dia 26-08-25</c:v>
                  </c:pt>
                  <c:pt idx="1">
                    <c:v>Dia 26-08-25</c:v>
                  </c:pt>
                  <c:pt idx="2">
                    <c:v>Dia 26-08-25</c:v>
                  </c:pt>
                  <c:pt idx="3">
                    <c:v>Noche 07-08-25</c:v>
                  </c:pt>
                  <c:pt idx="4">
                    <c:v>Noche 07-08-25</c:v>
                  </c:pt>
                  <c:pt idx="5">
                    <c:v>Noche 07-08-25</c:v>
                  </c:pt>
                </c:lvl>
              </c:multiLvlStrCache>
            </c:multiLvlStrRef>
          </c:cat>
          <c:val>
            <c:numRef>
              <c:f>'Mine Modal Ro'!$C$35:$H$35</c:f>
              <c:numCache>
                <c:formatCode>General</c:formatCode>
                <c:ptCount val="6"/>
                <c:pt idx="0">
                  <c:v>0</c:v>
                </c:pt>
                <c:pt idx="1">
                  <c:v>8.0000000000000002E-3</c:v>
                </c:pt>
                <c:pt idx="2">
                  <c:v>3.0000000000000001E-3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8-2BB7-46D6-BBAD-6DCDCB9F1741}"/>
            </c:ext>
          </c:extLst>
        </c:ser>
        <c:ser>
          <c:idx val="31"/>
          <c:order val="31"/>
          <c:tx>
            <c:strRef>
              <c:f>'Mine Modal Ro'!$B$36</c:f>
              <c:strCache>
                <c:ptCount val="1"/>
                <c:pt idx="0">
                  <c:v>(Cu,Fe)OH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'Mine Modal Ro'!$C$2:$H$4</c:f>
              <c:multiLvlStrCache>
                <c:ptCount val="6"/>
                <c:lvl>
                  <c:pt idx="0">
                    <c:v>Alim Ro </c:v>
                  </c:pt>
                  <c:pt idx="1">
                    <c:v>Rel Ro</c:v>
                  </c:pt>
                  <c:pt idx="2">
                    <c:v>Conc Ro </c:v>
                  </c:pt>
                  <c:pt idx="3">
                    <c:v>Alim Ro </c:v>
                  </c:pt>
                  <c:pt idx="4">
                    <c:v>Rel Ro</c:v>
                  </c:pt>
                  <c:pt idx="5">
                    <c:v>Conc Ro </c:v>
                  </c:pt>
                </c:lvl>
                <c:lvl>
                  <c:pt idx="0">
                    <c:v>Dia 26-08-25</c:v>
                  </c:pt>
                  <c:pt idx="1">
                    <c:v>Dia 26-08-25</c:v>
                  </c:pt>
                  <c:pt idx="2">
                    <c:v>Dia 26-08-25</c:v>
                  </c:pt>
                  <c:pt idx="3">
                    <c:v>Noche 07-08-25</c:v>
                  </c:pt>
                  <c:pt idx="4">
                    <c:v>Noche 07-08-25</c:v>
                  </c:pt>
                  <c:pt idx="5">
                    <c:v>Noche 07-08-25</c:v>
                  </c:pt>
                </c:lvl>
              </c:multiLvlStrCache>
            </c:multiLvlStrRef>
          </c:cat>
          <c:val>
            <c:numRef>
              <c:f>'Mine Modal Ro'!$C$36:$H$36</c:f>
              <c:numCache>
                <c:formatCode>General</c:formatCode>
                <c:ptCount val="6"/>
                <c:pt idx="0">
                  <c:v>5.0000000000000001E-3</c:v>
                </c:pt>
                <c:pt idx="1">
                  <c:v>1E-3</c:v>
                </c:pt>
                <c:pt idx="2">
                  <c:v>0</c:v>
                </c:pt>
                <c:pt idx="3">
                  <c:v>1E-3</c:v>
                </c:pt>
                <c:pt idx="4">
                  <c:v>0</c:v>
                </c:pt>
                <c:pt idx="5">
                  <c:v>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9-2BB7-46D6-BBAD-6DCDCB9F1741}"/>
            </c:ext>
          </c:extLst>
        </c:ser>
        <c:ser>
          <c:idx val="32"/>
          <c:order val="32"/>
          <c:tx>
            <c:strRef>
              <c:f>'Mine Modal Ro'!$B$37</c:f>
              <c:strCache>
                <c:ptCount val="1"/>
                <c:pt idx="0">
                  <c:v>The rest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'Mine Modal Ro'!$C$2:$H$4</c:f>
              <c:multiLvlStrCache>
                <c:ptCount val="6"/>
                <c:lvl>
                  <c:pt idx="0">
                    <c:v>Alim Ro </c:v>
                  </c:pt>
                  <c:pt idx="1">
                    <c:v>Rel Ro</c:v>
                  </c:pt>
                  <c:pt idx="2">
                    <c:v>Conc Ro </c:v>
                  </c:pt>
                  <c:pt idx="3">
                    <c:v>Alim Ro </c:v>
                  </c:pt>
                  <c:pt idx="4">
                    <c:v>Rel Ro</c:v>
                  </c:pt>
                  <c:pt idx="5">
                    <c:v>Conc Ro </c:v>
                  </c:pt>
                </c:lvl>
                <c:lvl>
                  <c:pt idx="0">
                    <c:v>Dia 26-08-25</c:v>
                  </c:pt>
                  <c:pt idx="1">
                    <c:v>Dia 26-08-25</c:v>
                  </c:pt>
                  <c:pt idx="2">
                    <c:v>Dia 26-08-25</c:v>
                  </c:pt>
                  <c:pt idx="3">
                    <c:v>Noche 07-08-25</c:v>
                  </c:pt>
                  <c:pt idx="4">
                    <c:v>Noche 07-08-25</c:v>
                  </c:pt>
                  <c:pt idx="5">
                    <c:v>Noche 07-08-25</c:v>
                  </c:pt>
                </c:lvl>
              </c:multiLvlStrCache>
            </c:multiLvlStrRef>
          </c:cat>
          <c:val>
            <c:numRef>
              <c:f>'Mine Modal Ro'!$C$37:$H$37</c:f>
              <c:numCache>
                <c:formatCode>General</c:formatCode>
                <c:ptCount val="6"/>
                <c:pt idx="0">
                  <c:v>2E-3</c:v>
                </c:pt>
                <c:pt idx="1">
                  <c:v>0</c:v>
                </c:pt>
                <c:pt idx="2">
                  <c:v>1E-3</c:v>
                </c:pt>
                <c:pt idx="3">
                  <c:v>4.0000000000000001E-3</c:v>
                </c:pt>
                <c:pt idx="4">
                  <c:v>2E-3</c:v>
                </c:pt>
                <c:pt idx="5">
                  <c:v>9.0000000000000011E-3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A-2BB7-46D6-BBAD-6DCDCB9F1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08795104"/>
        <c:axId val="1208795584"/>
      </c:barChart>
      <c:catAx>
        <c:axId val="120879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08795584"/>
        <c:crosses val="autoZero"/>
        <c:auto val="1"/>
        <c:lblAlgn val="ctr"/>
        <c:lblOffset val="100"/>
        <c:noMultiLvlLbl val="0"/>
      </c:catAx>
      <c:valAx>
        <c:axId val="120879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Ma</a:t>
                </a:r>
                <a:r>
                  <a:rPr lang="es-CL" baseline="0"/>
                  <a:t>sa minieral (%)</a:t>
                </a: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08795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46213010553095E-2"/>
          <c:y val="0.82640305388781643"/>
          <c:w val="0.89108045146775627"/>
          <c:h val="0.173596978860337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Ocurrencia de Cu Rougher 26-08-25 &amp; 07-08-25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'Ocurrencia Cu Ro'!$A$5</c:f>
              <c:strCache>
                <c:ptCount val="1"/>
                <c:pt idx="0">
                  <c:v>Calcopirita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'Ocurrencia Cu Ro'!$B$2:$G$4</c:f>
              <c:multiLvlStrCache>
                <c:ptCount val="6"/>
                <c:lvl>
                  <c:pt idx="0">
                    <c:v>Alim Ro </c:v>
                  </c:pt>
                  <c:pt idx="1">
                    <c:v>Rel Ro</c:v>
                  </c:pt>
                  <c:pt idx="2">
                    <c:v>Conc Ro </c:v>
                  </c:pt>
                  <c:pt idx="3">
                    <c:v>Alim Ro </c:v>
                  </c:pt>
                  <c:pt idx="4">
                    <c:v>Rel Ro</c:v>
                  </c:pt>
                  <c:pt idx="5">
                    <c:v>Conc Ro </c:v>
                  </c:pt>
                </c:lvl>
                <c:lvl>
                  <c:pt idx="0">
                    <c:v>Dia 26-08-25</c:v>
                  </c:pt>
                  <c:pt idx="1">
                    <c:v>Dia 26-08-25</c:v>
                  </c:pt>
                  <c:pt idx="2">
                    <c:v>Dia 26-08-25</c:v>
                  </c:pt>
                  <c:pt idx="3">
                    <c:v>Noche 07-08-25</c:v>
                  </c:pt>
                  <c:pt idx="4">
                    <c:v>Noche 07-08-25</c:v>
                  </c:pt>
                  <c:pt idx="5">
                    <c:v>Noche 07-08-25</c:v>
                  </c:pt>
                </c:lvl>
              </c:multiLvlStrCache>
            </c:multiLvlStrRef>
          </c:cat>
          <c:val>
            <c:numRef>
              <c:f>'Ocurrencia Cu Ro'!$B$5:$G$5</c:f>
              <c:numCache>
                <c:formatCode>0.00</c:formatCode>
                <c:ptCount val="6"/>
                <c:pt idx="0">
                  <c:v>45.527000000000001</c:v>
                </c:pt>
                <c:pt idx="1">
                  <c:v>48.6967</c:v>
                </c:pt>
                <c:pt idx="2">
                  <c:v>57.646700000000003</c:v>
                </c:pt>
                <c:pt idx="3">
                  <c:v>55.168799999999997</c:v>
                </c:pt>
                <c:pt idx="4">
                  <c:v>66.793300000000002</c:v>
                </c:pt>
                <c:pt idx="5">
                  <c:v>56.790199999999999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8F-4C46-942A-10E14C94E362}"/>
            </c:ext>
          </c:extLst>
        </c:ser>
        <c:ser>
          <c:idx val="1"/>
          <c:order val="1"/>
          <c:tx>
            <c:strRef>
              <c:f>'Ocurrencia Cu Ro'!$A$6</c:f>
              <c:strCache>
                <c:ptCount val="1"/>
                <c:pt idx="0">
                  <c:v>Calcosina/digenita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480-4FB5-A88D-9E903D9952FC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'Ocurrencia Cu Ro'!$B$2:$G$4</c:f>
              <c:multiLvlStrCache>
                <c:ptCount val="6"/>
                <c:lvl>
                  <c:pt idx="0">
                    <c:v>Alim Ro </c:v>
                  </c:pt>
                  <c:pt idx="1">
                    <c:v>Rel Ro</c:v>
                  </c:pt>
                  <c:pt idx="2">
                    <c:v>Conc Ro </c:v>
                  </c:pt>
                  <c:pt idx="3">
                    <c:v>Alim Ro </c:v>
                  </c:pt>
                  <c:pt idx="4">
                    <c:v>Rel Ro</c:v>
                  </c:pt>
                  <c:pt idx="5">
                    <c:v>Conc Ro </c:v>
                  </c:pt>
                </c:lvl>
                <c:lvl>
                  <c:pt idx="0">
                    <c:v>Dia 26-08-25</c:v>
                  </c:pt>
                  <c:pt idx="1">
                    <c:v>Dia 26-08-25</c:v>
                  </c:pt>
                  <c:pt idx="2">
                    <c:v>Dia 26-08-25</c:v>
                  </c:pt>
                  <c:pt idx="3">
                    <c:v>Noche 07-08-25</c:v>
                  </c:pt>
                  <c:pt idx="4">
                    <c:v>Noche 07-08-25</c:v>
                  </c:pt>
                  <c:pt idx="5">
                    <c:v>Noche 07-08-25</c:v>
                  </c:pt>
                </c:lvl>
              </c:multiLvlStrCache>
            </c:multiLvlStrRef>
          </c:cat>
          <c:val>
            <c:numRef>
              <c:f>'Ocurrencia Cu Ro'!$B$6:$G$6</c:f>
              <c:numCache>
                <c:formatCode>0.00</c:formatCode>
                <c:ptCount val="6"/>
                <c:pt idx="0">
                  <c:v>45.631999999999998</c:v>
                </c:pt>
                <c:pt idx="1">
                  <c:v>32.178400000000003</c:v>
                </c:pt>
                <c:pt idx="2">
                  <c:v>31.666499999999999</c:v>
                </c:pt>
                <c:pt idx="3">
                  <c:v>21.9618</c:v>
                </c:pt>
                <c:pt idx="4">
                  <c:v>9.7436000000000007</c:v>
                </c:pt>
                <c:pt idx="5">
                  <c:v>28.619599999999998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8F-4C46-942A-10E14C94E362}"/>
            </c:ext>
          </c:extLst>
        </c:ser>
        <c:ser>
          <c:idx val="2"/>
          <c:order val="2"/>
          <c:tx>
            <c:strRef>
              <c:f>'Ocurrencia Cu Ro'!$A$7</c:f>
              <c:strCache>
                <c:ptCount val="1"/>
                <c:pt idx="0">
                  <c:v>Bornita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'Ocurrencia Cu Ro'!$B$2:$G$4</c:f>
              <c:multiLvlStrCache>
                <c:ptCount val="6"/>
                <c:lvl>
                  <c:pt idx="0">
                    <c:v>Alim Ro </c:v>
                  </c:pt>
                  <c:pt idx="1">
                    <c:v>Rel Ro</c:v>
                  </c:pt>
                  <c:pt idx="2">
                    <c:v>Conc Ro </c:v>
                  </c:pt>
                  <c:pt idx="3">
                    <c:v>Alim Ro </c:v>
                  </c:pt>
                  <c:pt idx="4">
                    <c:v>Rel Ro</c:v>
                  </c:pt>
                  <c:pt idx="5">
                    <c:v>Conc Ro </c:v>
                  </c:pt>
                </c:lvl>
                <c:lvl>
                  <c:pt idx="0">
                    <c:v>Dia 26-08-25</c:v>
                  </c:pt>
                  <c:pt idx="1">
                    <c:v>Dia 26-08-25</c:v>
                  </c:pt>
                  <c:pt idx="2">
                    <c:v>Dia 26-08-25</c:v>
                  </c:pt>
                  <c:pt idx="3">
                    <c:v>Noche 07-08-25</c:v>
                  </c:pt>
                  <c:pt idx="4">
                    <c:v>Noche 07-08-25</c:v>
                  </c:pt>
                  <c:pt idx="5">
                    <c:v>Noche 07-08-25</c:v>
                  </c:pt>
                </c:lvl>
              </c:multiLvlStrCache>
            </c:multiLvlStrRef>
          </c:cat>
          <c:val>
            <c:numRef>
              <c:f>'Ocurrencia Cu Ro'!$B$7:$G$7</c:f>
              <c:numCache>
                <c:formatCode>0.00</c:formatCode>
                <c:ptCount val="6"/>
                <c:pt idx="0">
                  <c:v>4.8714000000000004</c:v>
                </c:pt>
                <c:pt idx="1">
                  <c:v>13.764099999999999</c:v>
                </c:pt>
                <c:pt idx="2">
                  <c:v>5.1135999999999999</c:v>
                </c:pt>
                <c:pt idx="3">
                  <c:v>12.1983</c:v>
                </c:pt>
                <c:pt idx="4">
                  <c:v>18.603000000000002</c:v>
                </c:pt>
                <c:pt idx="5">
                  <c:v>6.9481999999999999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8F-4C46-942A-10E14C94E362}"/>
            </c:ext>
          </c:extLst>
        </c:ser>
        <c:ser>
          <c:idx val="3"/>
          <c:order val="3"/>
          <c:tx>
            <c:strRef>
              <c:f>'Ocurrencia Cu Ro'!$A$8</c:f>
              <c:strCache>
                <c:ptCount val="1"/>
                <c:pt idx="0">
                  <c:v>Covelina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'Ocurrencia Cu Ro'!$B$2:$G$4</c:f>
              <c:multiLvlStrCache>
                <c:ptCount val="6"/>
                <c:lvl>
                  <c:pt idx="0">
                    <c:v>Alim Ro </c:v>
                  </c:pt>
                  <c:pt idx="1">
                    <c:v>Rel Ro</c:v>
                  </c:pt>
                  <c:pt idx="2">
                    <c:v>Conc Ro </c:v>
                  </c:pt>
                  <c:pt idx="3">
                    <c:v>Alim Ro </c:v>
                  </c:pt>
                  <c:pt idx="4">
                    <c:v>Rel Ro</c:v>
                  </c:pt>
                  <c:pt idx="5">
                    <c:v>Conc Ro </c:v>
                  </c:pt>
                </c:lvl>
                <c:lvl>
                  <c:pt idx="0">
                    <c:v>Dia 26-08-25</c:v>
                  </c:pt>
                  <c:pt idx="1">
                    <c:v>Dia 26-08-25</c:v>
                  </c:pt>
                  <c:pt idx="2">
                    <c:v>Dia 26-08-25</c:v>
                  </c:pt>
                  <c:pt idx="3">
                    <c:v>Noche 07-08-25</c:v>
                  </c:pt>
                  <c:pt idx="4">
                    <c:v>Noche 07-08-25</c:v>
                  </c:pt>
                  <c:pt idx="5">
                    <c:v>Noche 07-08-25</c:v>
                  </c:pt>
                </c:lvl>
              </c:multiLvlStrCache>
            </c:multiLvlStrRef>
          </c:cat>
          <c:val>
            <c:numRef>
              <c:f>'Ocurrencia Cu Ro'!$B$8:$G$8</c:f>
              <c:numCache>
                <c:formatCode>0.00</c:formatCode>
                <c:ptCount val="6"/>
                <c:pt idx="0">
                  <c:v>3.0726</c:v>
                </c:pt>
                <c:pt idx="1">
                  <c:v>4.5052000000000003</c:v>
                </c:pt>
                <c:pt idx="2">
                  <c:v>4.6536</c:v>
                </c:pt>
                <c:pt idx="3">
                  <c:v>9.7949999999999999</c:v>
                </c:pt>
                <c:pt idx="4">
                  <c:v>4.3338999999999999</c:v>
                </c:pt>
                <c:pt idx="5">
                  <c:v>6.4710000000000001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8F-4C46-942A-10E14C94E362}"/>
            </c:ext>
          </c:extLst>
        </c:ser>
        <c:ser>
          <c:idx val="4"/>
          <c:order val="4"/>
          <c:tx>
            <c:strRef>
              <c:f>'Ocurrencia Cu Ro'!$A$9</c:f>
              <c:strCache>
                <c:ptCount val="1"/>
                <c:pt idx="0">
                  <c:v>Enargita/Tennantita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'Ocurrencia Cu Ro'!$B$2:$G$4</c:f>
              <c:multiLvlStrCache>
                <c:ptCount val="6"/>
                <c:lvl>
                  <c:pt idx="0">
                    <c:v>Alim Ro </c:v>
                  </c:pt>
                  <c:pt idx="1">
                    <c:v>Rel Ro</c:v>
                  </c:pt>
                  <c:pt idx="2">
                    <c:v>Conc Ro </c:v>
                  </c:pt>
                  <c:pt idx="3">
                    <c:v>Alim Ro </c:v>
                  </c:pt>
                  <c:pt idx="4">
                    <c:v>Rel Ro</c:v>
                  </c:pt>
                  <c:pt idx="5">
                    <c:v>Conc Ro </c:v>
                  </c:pt>
                </c:lvl>
                <c:lvl>
                  <c:pt idx="0">
                    <c:v>Dia 26-08-25</c:v>
                  </c:pt>
                  <c:pt idx="1">
                    <c:v>Dia 26-08-25</c:v>
                  </c:pt>
                  <c:pt idx="2">
                    <c:v>Dia 26-08-25</c:v>
                  </c:pt>
                  <c:pt idx="3">
                    <c:v>Noche 07-08-25</c:v>
                  </c:pt>
                  <c:pt idx="4">
                    <c:v>Noche 07-08-25</c:v>
                  </c:pt>
                  <c:pt idx="5">
                    <c:v>Noche 07-08-25</c:v>
                  </c:pt>
                </c:lvl>
              </c:multiLvlStrCache>
            </c:multiLvlStrRef>
          </c:cat>
          <c:val>
            <c:numRef>
              <c:f>'Ocurrencia Cu Ro'!$B$9:$G$9</c:f>
              <c:numCache>
                <c:formatCode>0.00</c:formatCode>
                <c:ptCount val="6"/>
                <c:pt idx="0">
                  <c:v>0.67779999999999996</c:v>
                </c:pt>
                <c:pt idx="1">
                  <c:v>0.47260000000000002</c:v>
                </c:pt>
                <c:pt idx="2">
                  <c:v>0.91679999999999995</c:v>
                </c:pt>
                <c:pt idx="3">
                  <c:v>0.83360000000000001</c:v>
                </c:pt>
                <c:pt idx="4">
                  <c:v>0.4592</c:v>
                </c:pt>
                <c:pt idx="5">
                  <c:v>1.1623000000000001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8F-4C46-942A-10E14C94E362}"/>
            </c:ext>
          </c:extLst>
        </c:ser>
        <c:ser>
          <c:idx val="5"/>
          <c:order val="5"/>
          <c:tx>
            <c:strRef>
              <c:f>'Ocurrencia Cu Ro'!$A$10</c:f>
              <c:strCache>
                <c:ptCount val="1"/>
                <c:pt idx="0">
                  <c:v>(Cu,Fe)OH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'Ocurrencia Cu Ro'!$B$2:$G$4</c:f>
              <c:multiLvlStrCache>
                <c:ptCount val="6"/>
                <c:lvl>
                  <c:pt idx="0">
                    <c:v>Alim Ro </c:v>
                  </c:pt>
                  <c:pt idx="1">
                    <c:v>Rel Ro</c:v>
                  </c:pt>
                  <c:pt idx="2">
                    <c:v>Conc Ro </c:v>
                  </c:pt>
                  <c:pt idx="3">
                    <c:v>Alim Ro </c:v>
                  </c:pt>
                  <c:pt idx="4">
                    <c:v>Rel Ro</c:v>
                  </c:pt>
                  <c:pt idx="5">
                    <c:v>Conc Ro </c:v>
                  </c:pt>
                </c:lvl>
                <c:lvl>
                  <c:pt idx="0">
                    <c:v>Dia 26-08-25</c:v>
                  </c:pt>
                  <c:pt idx="1">
                    <c:v>Dia 26-08-25</c:v>
                  </c:pt>
                  <c:pt idx="2">
                    <c:v>Dia 26-08-25</c:v>
                  </c:pt>
                  <c:pt idx="3">
                    <c:v>Noche 07-08-25</c:v>
                  </c:pt>
                  <c:pt idx="4">
                    <c:v>Noche 07-08-25</c:v>
                  </c:pt>
                  <c:pt idx="5">
                    <c:v>Noche 07-08-25</c:v>
                  </c:pt>
                </c:lvl>
              </c:multiLvlStrCache>
            </c:multiLvlStrRef>
          </c:cat>
          <c:val>
            <c:numRef>
              <c:f>'Ocurrencia Cu Ro'!$B$10:$G$10</c:f>
              <c:numCache>
                <c:formatCode>0.00</c:formatCode>
                <c:ptCount val="6"/>
                <c:pt idx="0">
                  <c:v>0.2029</c:v>
                </c:pt>
                <c:pt idx="1">
                  <c:v>0.19550000000000001</c:v>
                </c:pt>
                <c:pt idx="2">
                  <c:v>0</c:v>
                </c:pt>
                <c:pt idx="3">
                  <c:v>4.1300000000000003E-2</c:v>
                </c:pt>
                <c:pt idx="4">
                  <c:v>6.5600000000000006E-2</c:v>
                </c:pt>
                <c:pt idx="5">
                  <c:v>8.6E-3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8F-4C46-942A-10E14C94E362}"/>
            </c:ext>
          </c:extLst>
        </c:ser>
        <c:ser>
          <c:idx val="6"/>
          <c:order val="6"/>
          <c:tx>
            <c:strRef>
              <c:f>'Ocurrencia Cu Ro'!$A$11</c:f>
              <c:strCache>
                <c:ptCount val="1"/>
                <c:pt idx="0">
                  <c:v>Limonita(Cu)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'Ocurrencia Cu Ro'!$B$2:$G$4</c:f>
              <c:multiLvlStrCache>
                <c:ptCount val="6"/>
                <c:lvl>
                  <c:pt idx="0">
                    <c:v>Alim Ro </c:v>
                  </c:pt>
                  <c:pt idx="1">
                    <c:v>Rel Ro</c:v>
                  </c:pt>
                  <c:pt idx="2">
                    <c:v>Conc Ro </c:v>
                  </c:pt>
                  <c:pt idx="3">
                    <c:v>Alim Ro </c:v>
                  </c:pt>
                  <c:pt idx="4">
                    <c:v>Rel Ro</c:v>
                  </c:pt>
                  <c:pt idx="5">
                    <c:v>Conc Ro </c:v>
                  </c:pt>
                </c:lvl>
                <c:lvl>
                  <c:pt idx="0">
                    <c:v>Dia 26-08-25</c:v>
                  </c:pt>
                  <c:pt idx="1">
                    <c:v>Dia 26-08-25</c:v>
                  </c:pt>
                  <c:pt idx="2">
                    <c:v>Dia 26-08-25</c:v>
                  </c:pt>
                  <c:pt idx="3">
                    <c:v>Noche 07-08-25</c:v>
                  </c:pt>
                  <c:pt idx="4">
                    <c:v>Noche 07-08-25</c:v>
                  </c:pt>
                  <c:pt idx="5">
                    <c:v>Noche 07-08-25</c:v>
                  </c:pt>
                </c:lvl>
              </c:multiLvlStrCache>
            </c:multiLvlStrRef>
          </c:cat>
          <c:val>
            <c:numRef>
              <c:f>'Ocurrencia Cu Ro'!$B$11:$G$11</c:f>
              <c:numCache>
                <c:formatCode>0.00</c:formatCode>
                <c:ptCount val="6"/>
                <c:pt idx="0">
                  <c:v>8.0000000000000004E-4</c:v>
                </c:pt>
                <c:pt idx="1">
                  <c:v>0.17949999999999999</c:v>
                </c:pt>
                <c:pt idx="2">
                  <c:v>2E-3</c:v>
                </c:pt>
                <c:pt idx="3">
                  <c:v>1.1000000000000001E-3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E8F-4C46-942A-10E14C94E362}"/>
            </c:ext>
          </c:extLst>
        </c:ser>
        <c:ser>
          <c:idx val="7"/>
          <c:order val="7"/>
          <c:tx>
            <c:strRef>
              <c:f>'Ocurrencia Cu Ro'!$A$12</c:f>
              <c:strCache>
                <c:ptCount val="1"/>
                <c:pt idx="0">
                  <c:v>Otros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'Ocurrencia Cu Ro'!$B$2:$G$4</c:f>
              <c:multiLvlStrCache>
                <c:ptCount val="6"/>
                <c:lvl>
                  <c:pt idx="0">
                    <c:v>Alim Ro </c:v>
                  </c:pt>
                  <c:pt idx="1">
                    <c:v>Rel Ro</c:v>
                  </c:pt>
                  <c:pt idx="2">
                    <c:v>Conc Ro </c:v>
                  </c:pt>
                  <c:pt idx="3">
                    <c:v>Alim Ro </c:v>
                  </c:pt>
                  <c:pt idx="4">
                    <c:v>Rel Ro</c:v>
                  </c:pt>
                  <c:pt idx="5">
                    <c:v>Conc Ro </c:v>
                  </c:pt>
                </c:lvl>
                <c:lvl>
                  <c:pt idx="0">
                    <c:v>Dia 26-08-25</c:v>
                  </c:pt>
                  <c:pt idx="1">
                    <c:v>Dia 26-08-25</c:v>
                  </c:pt>
                  <c:pt idx="2">
                    <c:v>Dia 26-08-25</c:v>
                  </c:pt>
                  <c:pt idx="3">
                    <c:v>Noche 07-08-25</c:v>
                  </c:pt>
                  <c:pt idx="4">
                    <c:v>Noche 07-08-25</c:v>
                  </c:pt>
                  <c:pt idx="5">
                    <c:v>Noche 07-08-25</c:v>
                  </c:pt>
                </c:lvl>
              </c:multiLvlStrCache>
            </c:multiLvlStrRef>
          </c:cat>
          <c:val>
            <c:numRef>
              <c:f>'Ocurrencia Cu Ro'!$B$12:$G$12</c:f>
              <c:numCache>
                <c:formatCode>0.00</c:formatCode>
                <c:ptCount val="6"/>
                <c:pt idx="0">
                  <c:v>1.55E-2</c:v>
                </c:pt>
                <c:pt idx="1">
                  <c:v>8.0000000000000002E-3</c:v>
                </c:pt>
                <c:pt idx="2">
                  <c:v>8.0000000000000004E-4</c:v>
                </c:pt>
                <c:pt idx="3">
                  <c:v>0</c:v>
                </c:pt>
                <c:pt idx="4">
                  <c:v>1.4E-3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E8F-4C46-942A-10E14C94E36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14826720"/>
        <c:axId val="214820480"/>
      </c:barChart>
      <c:catAx>
        <c:axId val="21482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14820480"/>
        <c:crosses val="autoZero"/>
        <c:auto val="1"/>
        <c:lblAlgn val="ctr"/>
        <c:lblOffset val="100"/>
        <c:noMultiLvlLbl val="0"/>
      </c:catAx>
      <c:valAx>
        <c:axId val="21482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%</a:t>
                </a:r>
                <a:r>
                  <a:rPr lang="es-CL" baseline="0"/>
                  <a:t> Especie Mineral</a:t>
                </a: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1482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6.8377693717167787E-2"/>
          <c:y val="0.10215622852785057"/>
          <c:w val="0.91033541707141474"/>
          <c:h val="0.66674492596591639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'Ocurrencia Cu Ro'!$A$21</c:f>
              <c:strCache>
                <c:ptCount val="1"/>
                <c:pt idx="0">
                  <c:v>Pirita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'Ocurrencia Cu Ro'!$B$18:$G$20</c15:sqref>
                  </c15:fullRef>
                  <c15:levelRef>
                    <c15:sqref>'Ocurrencia Cu Ro'!$B$20:$G$20</c15:sqref>
                  </c15:levelRef>
                </c:ext>
              </c:extLst>
              <c:f>'Ocurrencia Cu Ro'!$B$20:$G$20</c:f>
              <c:strCache>
                <c:ptCount val="6"/>
                <c:pt idx="0">
                  <c:v>Conc </c:v>
                </c:pt>
                <c:pt idx="1">
                  <c:v>Conc</c:v>
                </c:pt>
                <c:pt idx="2">
                  <c:v>Rel </c:v>
                </c:pt>
                <c:pt idx="3">
                  <c:v>Alim </c:v>
                </c:pt>
                <c:pt idx="4">
                  <c:v>Conc </c:v>
                </c:pt>
                <c:pt idx="5">
                  <c:v>Conc</c:v>
                </c:pt>
              </c:strCache>
            </c:strRef>
          </c:cat>
          <c:val>
            <c:numRef>
              <c:f>'Ocurrencia Cu Ro'!$B$21:$G$21</c:f>
              <c:numCache>
                <c:formatCode>0.00</c:formatCode>
                <c:ptCount val="6"/>
                <c:pt idx="0">
                  <c:v>58.274799999999999</c:v>
                </c:pt>
                <c:pt idx="1">
                  <c:v>62.354700000000001</c:v>
                </c:pt>
                <c:pt idx="2">
                  <c:v>86.108099999999993</c:v>
                </c:pt>
                <c:pt idx="3">
                  <c:v>70.907600000000002</c:v>
                </c:pt>
                <c:pt idx="4">
                  <c:v>53.577500000000001</c:v>
                </c:pt>
                <c:pt idx="5">
                  <c:v>64.249799999999993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5C-4A7E-AB50-32AD6C8D7A6D}"/>
            </c:ext>
          </c:extLst>
        </c:ser>
        <c:ser>
          <c:idx val="1"/>
          <c:order val="1"/>
          <c:tx>
            <c:strRef>
              <c:f>'Ocurrencia Cu Ro'!$A$22</c:f>
              <c:strCache>
                <c:ptCount val="1"/>
                <c:pt idx="0">
                  <c:v>Calcopirita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'Ocurrencia Cu Ro'!$B$18:$G$20</c15:sqref>
                  </c15:fullRef>
                  <c15:levelRef>
                    <c15:sqref>'Ocurrencia Cu Ro'!$B$20:$G$20</c15:sqref>
                  </c15:levelRef>
                </c:ext>
              </c:extLst>
              <c:f>'Ocurrencia Cu Ro'!$B$20:$G$20</c:f>
              <c:strCache>
                <c:ptCount val="6"/>
                <c:pt idx="0">
                  <c:v>Conc </c:v>
                </c:pt>
                <c:pt idx="1">
                  <c:v>Conc</c:v>
                </c:pt>
                <c:pt idx="2">
                  <c:v>Rel </c:v>
                </c:pt>
                <c:pt idx="3">
                  <c:v>Alim </c:v>
                </c:pt>
                <c:pt idx="4">
                  <c:v>Conc </c:v>
                </c:pt>
                <c:pt idx="5">
                  <c:v>Conc</c:v>
                </c:pt>
              </c:strCache>
            </c:strRef>
          </c:cat>
          <c:val>
            <c:numRef>
              <c:f>'Ocurrencia Cu Ro'!$B$22:$G$22</c:f>
              <c:numCache>
                <c:formatCode>0.00</c:formatCode>
                <c:ptCount val="6"/>
                <c:pt idx="0">
                  <c:v>39.0608</c:v>
                </c:pt>
                <c:pt idx="1">
                  <c:v>34.511800000000001</c:v>
                </c:pt>
                <c:pt idx="2">
                  <c:v>2.8227000000000002</c:v>
                </c:pt>
                <c:pt idx="3">
                  <c:v>22.906400000000001</c:v>
                </c:pt>
                <c:pt idx="4">
                  <c:v>43.049300000000002</c:v>
                </c:pt>
                <c:pt idx="5">
                  <c:v>31.077000000000002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5C-4A7E-AB50-32AD6C8D7A6D}"/>
            </c:ext>
          </c:extLst>
        </c:ser>
        <c:ser>
          <c:idx val="2"/>
          <c:order val="2"/>
          <c:tx>
            <c:strRef>
              <c:f>'Ocurrencia Cu Ro'!$A$23</c:f>
              <c:strCache>
                <c:ptCount val="1"/>
                <c:pt idx="0">
                  <c:v>Clorita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'Ocurrencia Cu Ro'!$B$18:$G$20</c15:sqref>
                  </c15:fullRef>
                  <c15:levelRef>
                    <c15:sqref>'Ocurrencia Cu Ro'!$B$20:$G$20</c15:sqref>
                  </c15:levelRef>
                </c:ext>
              </c:extLst>
              <c:f>'Ocurrencia Cu Ro'!$B$20:$G$20</c:f>
              <c:strCache>
                <c:ptCount val="6"/>
                <c:pt idx="0">
                  <c:v>Conc </c:v>
                </c:pt>
                <c:pt idx="1">
                  <c:v>Conc</c:v>
                </c:pt>
                <c:pt idx="2">
                  <c:v>Rel </c:v>
                </c:pt>
                <c:pt idx="3">
                  <c:v>Alim </c:v>
                </c:pt>
                <c:pt idx="4">
                  <c:v>Conc </c:v>
                </c:pt>
                <c:pt idx="5">
                  <c:v>Conc</c:v>
                </c:pt>
              </c:strCache>
            </c:strRef>
          </c:cat>
          <c:val>
            <c:numRef>
              <c:f>'Ocurrencia Cu Ro'!$B$23:$G$23</c:f>
              <c:numCache>
                <c:formatCode>0.00</c:formatCode>
                <c:ptCount val="6"/>
                <c:pt idx="0">
                  <c:v>0.86429999999999996</c:v>
                </c:pt>
                <c:pt idx="1">
                  <c:v>1.3994</c:v>
                </c:pt>
                <c:pt idx="2">
                  <c:v>7.0797999999999996</c:v>
                </c:pt>
                <c:pt idx="3">
                  <c:v>3.0213999999999999</c:v>
                </c:pt>
                <c:pt idx="4">
                  <c:v>0.48549999999999999</c:v>
                </c:pt>
                <c:pt idx="5">
                  <c:v>1.22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5C-4A7E-AB50-32AD6C8D7A6D}"/>
            </c:ext>
          </c:extLst>
        </c:ser>
        <c:ser>
          <c:idx val="3"/>
          <c:order val="3"/>
          <c:tx>
            <c:strRef>
              <c:f>'Ocurrencia Cu Ro'!$A$24</c:f>
              <c:strCache>
                <c:ptCount val="1"/>
                <c:pt idx="0">
                  <c:v>Hematita/Magnetita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'Ocurrencia Cu Ro'!$B$18:$G$20</c15:sqref>
                  </c15:fullRef>
                  <c15:levelRef>
                    <c15:sqref>'Ocurrencia Cu Ro'!$B$20:$G$20</c15:sqref>
                  </c15:levelRef>
                </c:ext>
              </c:extLst>
              <c:f>'Ocurrencia Cu Ro'!$B$20:$G$20</c:f>
              <c:strCache>
                <c:ptCount val="6"/>
                <c:pt idx="0">
                  <c:v>Conc </c:v>
                </c:pt>
                <c:pt idx="1">
                  <c:v>Conc</c:v>
                </c:pt>
                <c:pt idx="2">
                  <c:v>Rel </c:v>
                </c:pt>
                <c:pt idx="3">
                  <c:v>Alim </c:v>
                </c:pt>
                <c:pt idx="4">
                  <c:v>Conc </c:v>
                </c:pt>
                <c:pt idx="5">
                  <c:v>Conc</c:v>
                </c:pt>
              </c:strCache>
            </c:strRef>
          </c:cat>
          <c:val>
            <c:numRef>
              <c:f>'Ocurrencia Cu Ro'!$B$24:$G$24</c:f>
              <c:numCache>
                <c:formatCode>0.00</c:formatCode>
                <c:ptCount val="6"/>
                <c:pt idx="0">
                  <c:v>1.52E-2</c:v>
                </c:pt>
                <c:pt idx="1">
                  <c:v>0.56699999999999995</c:v>
                </c:pt>
                <c:pt idx="2">
                  <c:v>3.1631</c:v>
                </c:pt>
                <c:pt idx="3">
                  <c:v>2.0324</c:v>
                </c:pt>
                <c:pt idx="4">
                  <c:v>0.3574</c:v>
                </c:pt>
                <c:pt idx="5">
                  <c:v>2.1278999999999999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5C-4A7E-AB50-32AD6C8D7A6D}"/>
            </c:ext>
          </c:extLst>
        </c:ser>
        <c:ser>
          <c:idx val="4"/>
          <c:order val="4"/>
          <c:tx>
            <c:strRef>
              <c:f>'Ocurrencia Cu Ro'!$A$25</c:f>
              <c:strCache>
                <c:ptCount val="1"/>
                <c:pt idx="0">
                  <c:v>Bornita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'Ocurrencia Cu Ro'!$B$18:$G$20</c15:sqref>
                  </c15:fullRef>
                  <c15:levelRef>
                    <c15:sqref>'Ocurrencia Cu Ro'!$B$20:$G$20</c15:sqref>
                  </c15:levelRef>
                </c:ext>
              </c:extLst>
              <c:f>'Ocurrencia Cu Ro'!$B$20:$G$20</c:f>
              <c:strCache>
                <c:ptCount val="6"/>
                <c:pt idx="0">
                  <c:v>Conc </c:v>
                </c:pt>
                <c:pt idx="1">
                  <c:v>Conc</c:v>
                </c:pt>
                <c:pt idx="2">
                  <c:v>Rel </c:v>
                </c:pt>
                <c:pt idx="3">
                  <c:v>Alim </c:v>
                </c:pt>
                <c:pt idx="4">
                  <c:v>Conc </c:v>
                </c:pt>
                <c:pt idx="5">
                  <c:v>Conc</c:v>
                </c:pt>
              </c:strCache>
            </c:strRef>
          </c:cat>
          <c:val>
            <c:numRef>
              <c:f>'Ocurrencia Cu Ro'!$B$25:$G$25</c:f>
              <c:numCache>
                <c:formatCode>0.00</c:formatCode>
                <c:ptCount val="6"/>
                <c:pt idx="0">
                  <c:v>1.3287</c:v>
                </c:pt>
                <c:pt idx="1">
                  <c:v>0.48299999999999998</c:v>
                </c:pt>
                <c:pt idx="2">
                  <c:v>4.9000000000000002E-2</c:v>
                </c:pt>
                <c:pt idx="3">
                  <c:v>0.41389999999999999</c:v>
                </c:pt>
                <c:pt idx="4">
                  <c:v>2.0331000000000001</c:v>
                </c:pt>
                <c:pt idx="5">
                  <c:v>0.85429999999999995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05C-4A7E-AB50-32AD6C8D7A6D}"/>
            </c:ext>
          </c:extLst>
        </c:ser>
        <c:ser>
          <c:idx val="5"/>
          <c:order val="5"/>
          <c:tx>
            <c:strRef>
              <c:f>'Ocurrencia Cu Ro'!$A$26</c:f>
              <c:strCache>
                <c:ptCount val="1"/>
                <c:pt idx="0">
                  <c:v>Ilmenita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'Ocurrencia Cu Ro'!$B$18:$G$20</c15:sqref>
                  </c15:fullRef>
                  <c15:levelRef>
                    <c15:sqref>'Ocurrencia Cu Ro'!$B$20:$G$20</c15:sqref>
                  </c15:levelRef>
                </c:ext>
              </c:extLst>
              <c:f>'Ocurrencia Cu Ro'!$B$20:$G$20</c:f>
              <c:strCache>
                <c:ptCount val="6"/>
                <c:pt idx="0">
                  <c:v>Conc </c:v>
                </c:pt>
                <c:pt idx="1">
                  <c:v>Conc</c:v>
                </c:pt>
                <c:pt idx="2">
                  <c:v>Rel </c:v>
                </c:pt>
                <c:pt idx="3">
                  <c:v>Alim </c:v>
                </c:pt>
                <c:pt idx="4">
                  <c:v>Conc </c:v>
                </c:pt>
                <c:pt idx="5">
                  <c:v>Conc</c:v>
                </c:pt>
              </c:strCache>
            </c:strRef>
          </c:cat>
          <c:val>
            <c:numRef>
              <c:f>'Ocurrencia Cu Ro'!$B$26:$G$26</c:f>
              <c:numCache>
                <c:formatCode>0.00</c:formatCode>
                <c:ptCount val="6"/>
                <c:pt idx="0">
                  <c:v>6.4600000000000005E-2</c:v>
                </c:pt>
                <c:pt idx="1">
                  <c:v>0.18290000000000001</c:v>
                </c:pt>
                <c:pt idx="2">
                  <c:v>0.30009999999999998</c:v>
                </c:pt>
                <c:pt idx="3">
                  <c:v>0.40479999999999999</c:v>
                </c:pt>
                <c:pt idx="4">
                  <c:v>1.26E-2</c:v>
                </c:pt>
                <c:pt idx="5">
                  <c:v>0.1714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05C-4A7E-AB50-32AD6C8D7A6D}"/>
            </c:ext>
          </c:extLst>
        </c:ser>
        <c:ser>
          <c:idx val="6"/>
          <c:order val="6"/>
          <c:tx>
            <c:strRef>
              <c:f>'Ocurrencia Cu Ro'!$A$27</c:f>
              <c:strCache>
                <c:ptCount val="1"/>
                <c:pt idx="0">
                  <c:v>Enargita/Tennantita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'Ocurrencia Cu Ro'!$B$18:$G$20</c15:sqref>
                  </c15:fullRef>
                  <c15:levelRef>
                    <c15:sqref>'Ocurrencia Cu Ro'!$B$20:$G$20</c15:sqref>
                  </c15:levelRef>
                </c:ext>
              </c:extLst>
              <c:f>'Ocurrencia Cu Ro'!$B$20:$G$20</c:f>
              <c:strCache>
                <c:ptCount val="6"/>
                <c:pt idx="0">
                  <c:v>Conc </c:v>
                </c:pt>
                <c:pt idx="1">
                  <c:v>Conc</c:v>
                </c:pt>
                <c:pt idx="2">
                  <c:v>Rel </c:v>
                </c:pt>
                <c:pt idx="3">
                  <c:v>Alim </c:v>
                </c:pt>
                <c:pt idx="4">
                  <c:v>Conc </c:v>
                </c:pt>
                <c:pt idx="5">
                  <c:v>Conc</c:v>
                </c:pt>
              </c:strCache>
            </c:strRef>
          </c:cat>
          <c:val>
            <c:numRef>
              <c:f>'Ocurrencia Cu Ro'!$B$27:$G$27</c:f>
              <c:numCache>
                <c:formatCode>0.00</c:formatCode>
                <c:ptCount val="6"/>
                <c:pt idx="0">
                  <c:v>0.2228</c:v>
                </c:pt>
                <c:pt idx="1">
                  <c:v>0.11269999999999999</c:v>
                </c:pt>
                <c:pt idx="2">
                  <c:v>5.7099999999999998E-2</c:v>
                </c:pt>
                <c:pt idx="3">
                  <c:v>6.9099999999999995E-2</c:v>
                </c:pt>
                <c:pt idx="4">
                  <c:v>0.34520000000000001</c:v>
                </c:pt>
                <c:pt idx="5">
                  <c:v>0.13450000000000001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05C-4A7E-AB50-32AD6C8D7A6D}"/>
            </c:ext>
          </c:extLst>
        </c:ser>
        <c:ser>
          <c:idx val="7"/>
          <c:order val="7"/>
          <c:tx>
            <c:strRef>
              <c:f>'Ocurrencia Cu Ro'!$A$28</c:f>
              <c:strCache>
                <c:ptCount val="1"/>
                <c:pt idx="0">
                  <c:v>Biotita/flogopita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'Ocurrencia Cu Ro'!$B$18:$G$20</c15:sqref>
                  </c15:fullRef>
                  <c15:levelRef>
                    <c15:sqref>'Ocurrencia Cu Ro'!$B$20:$G$20</c15:sqref>
                  </c15:levelRef>
                </c:ext>
              </c:extLst>
              <c:f>'Ocurrencia Cu Ro'!$B$20:$G$20</c:f>
              <c:strCache>
                <c:ptCount val="6"/>
                <c:pt idx="0">
                  <c:v>Conc </c:v>
                </c:pt>
                <c:pt idx="1">
                  <c:v>Conc</c:v>
                </c:pt>
                <c:pt idx="2">
                  <c:v>Rel </c:v>
                </c:pt>
                <c:pt idx="3">
                  <c:v>Alim </c:v>
                </c:pt>
                <c:pt idx="4">
                  <c:v>Conc </c:v>
                </c:pt>
                <c:pt idx="5">
                  <c:v>Conc</c:v>
                </c:pt>
              </c:strCache>
            </c:strRef>
          </c:cat>
          <c:val>
            <c:numRef>
              <c:f>'Ocurrencia Cu Ro'!$B$28:$G$28</c:f>
              <c:numCache>
                <c:formatCode>0.00</c:formatCode>
                <c:ptCount val="6"/>
                <c:pt idx="0">
                  <c:v>3.2599999999999997E-2</c:v>
                </c:pt>
                <c:pt idx="1">
                  <c:v>8.3299999999999999E-2</c:v>
                </c:pt>
                <c:pt idx="2">
                  <c:v>0.2235</c:v>
                </c:pt>
                <c:pt idx="3">
                  <c:v>0.1246</c:v>
                </c:pt>
                <c:pt idx="4">
                  <c:v>4.4600000000000001E-2</c:v>
                </c:pt>
                <c:pt idx="5">
                  <c:v>1.9599999999999999E-2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05C-4A7E-AB50-32AD6C8D7A6D}"/>
            </c:ext>
          </c:extLst>
        </c:ser>
        <c:ser>
          <c:idx val="8"/>
          <c:order val="8"/>
          <c:tx>
            <c:strRef>
              <c:f>'Ocurrencia Cu Ro'!$A$29</c:f>
              <c:strCache>
                <c:ptCount val="1"/>
                <c:pt idx="0">
                  <c:v>Anfibol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'Ocurrencia Cu Ro'!$B$18:$G$20</c15:sqref>
                  </c15:fullRef>
                  <c15:levelRef>
                    <c15:sqref>'Ocurrencia Cu Ro'!$B$20:$G$20</c15:sqref>
                  </c15:levelRef>
                </c:ext>
              </c:extLst>
              <c:f>'Ocurrencia Cu Ro'!$B$20:$G$20</c:f>
              <c:strCache>
                <c:ptCount val="6"/>
                <c:pt idx="0">
                  <c:v>Conc </c:v>
                </c:pt>
                <c:pt idx="1">
                  <c:v>Conc</c:v>
                </c:pt>
                <c:pt idx="2">
                  <c:v>Rel </c:v>
                </c:pt>
                <c:pt idx="3">
                  <c:v>Alim </c:v>
                </c:pt>
                <c:pt idx="4">
                  <c:v>Conc </c:v>
                </c:pt>
                <c:pt idx="5">
                  <c:v>Conc</c:v>
                </c:pt>
              </c:strCache>
            </c:strRef>
          </c:cat>
          <c:val>
            <c:numRef>
              <c:f>'Ocurrencia Cu Ro'!$B$29:$G$29</c:f>
              <c:numCache>
                <c:formatCode>0.00</c:formatCode>
                <c:ptCount val="6"/>
                <c:pt idx="0">
                  <c:v>1.5599999999999999E-2</c:v>
                </c:pt>
                <c:pt idx="1">
                  <c:v>0.15959999999999999</c:v>
                </c:pt>
                <c:pt idx="2">
                  <c:v>3.78E-2</c:v>
                </c:pt>
                <c:pt idx="3">
                  <c:v>3.3999999999999998E-3</c:v>
                </c:pt>
                <c:pt idx="4">
                  <c:v>1.6000000000000001E-3</c:v>
                </c:pt>
                <c:pt idx="5">
                  <c:v>1.5599999999999999E-2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05C-4A7E-AB50-32AD6C8D7A6D}"/>
            </c:ext>
          </c:extLst>
        </c:ser>
        <c:ser>
          <c:idx val="9"/>
          <c:order val="9"/>
          <c:tx>
            <c:strRef>
              <c:f>'Ocurrencia Cu Ro'!$A$30</c:f>
              <c:strCache>
                <c:ptCount val="1"/>
                <c:pt idx="0">
                  <c:v>Limonita(Cu)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'Ocurrencia Cu Ro'!$B$18:$G$20</c15:sqref>
                  </c15:fullRef>
                  <c15:levelRef>
                    <c15:sqref>'Ocurrencia Cu Ro'!$B$20:$G$20</c15:sqref>
                  </c15:levelRef>
                </c:ext>
              </c:extLst>
              <c:f>'Ocurrencia Cu Ro'!$B$20:$G$20</c:f>
              <c:strCache>
                <c:ptCount val="6"/>
                <c:pt idx="0">
                  <c:v>Conc </c:v>
                </c:pt>
                <c:pt idx="1">
                  <c:v>Conc</c:v>
                </c:pt>
                <c:pt idx="2">
                  <c:v>Rel </c:v>
                </c:pt>
                <c:pt idx="3">
                  <c:v>Alim </c:v>
                </c:pt>
                <c:pt idx="4">
                  <c:v>Conc </c:v>
                </c:pt>
                <c:pt idx="5">
                  <c:v>Conc</c:v>
                </c:pt>
              </c:strCache>
            </c:strRef>
          </c:cat>
          <c:val>
            <c:numRef>
              <c:f>'Ocurrencia Cu Ro'!$B$30:$G$30</c:f>
              <c:numCache>
                <c:formatCode>0.00</c:formatCode>
                <c:ptCount val="6"/>
                <c:pt idx="0">
                  <c:v>5.6300000000000003E-2</c:v>
                </c:pt>
                <c:pt idx="1">
                  <c:v>0.1109</c:v>
                </c:pt>
                <c:pt idx="2">
                  <c:v>0</c:v>
                </c:pt>
                <c:pt idx="3">
                  <c:v>8.3999999999999995E-3</c:v>
                </c:pt>
                <c:pt idx="4">
                  <c:v>2.6499999999999999E-2</c:v>
                </c:pt>
                <c:pt idx="5">
                  <c:v>6.0199999999999997E-2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05C-4A7E-AB50-32AD6C8D7A6D}"/>
            </c:ext>
          </c:extLst>
        </c:ser>
        <c:ser>
          <c:idx val="10"/>
          <c:order val="10"/>
          <c:tx>
            <c:strRef>
              <c:f>'Ocurrencia Cu Ro'!$A$31</c:f>
              <c:strCache>
                <c:ptCount val="1"/>
                <c:pt idx="0">
                  <c:v>Titanomagnetita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'Ocurrencia Cu Ro'!$B$18:$G$20</c15:sqref>
                  </c15:fullRef>
                  <c15:levelRef>
                    <c15:sqref>'Ocurrencia Cu Ro'!$B$20:$G$20</c15:sqref>
                  </c15:levelRef>
                </c:ext>
              </c:extLst>
              <c:f>'Ocurrencia Cu Ro'!$B$20:$G$20</c:f>
              <c:strCache>
                <c:ptCount val="6"/>
                <c:pt idx="0">
                  <c:v>Conc </c:v>
                </c:pt>
                <c:pt idx="1">
                  <c:v>Conc</c:v>
                </c:pt>
                <c:pt idx="2">
                  <c:v>Rel </c:v>
                </c:pt>
                <c:pt idx="3">
                  <c:v>Alim </c:v>
                </c:pt>
                <c:pt idx="4">
                  <c:v>Conc </c:v>
                </c:pt>
                <c:pt idx="5">
                  <c:v>Conc</c:v>
                </c:pt>
              </c:strCache>
            </c:strRef>
          </c:cat>
          <c:val>
            <c:numRef>
              <c:f>'Ocurrencia Cu Ro'!$B$31:$G$31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0.13270000000000001</c:v>
                </c:pt>
                <c:pt idx="3">
                  <c:v>8.4199999999999997E-2</c:v>
                </c:pt>
                <c:pt idx="4">
                  <c:v>0</c:v>
                </c:pt>
                <c:pt idx="5">
                  <c:v>1.5800000000000002E-2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05C-4A7E-AB50-32AD6C8D7A6D}"/>
            </c:ext>
          </c:extLst>
        </c:ser>
        <c:ser>
          <c:idx val="11"/>
          <c:order val="11"/>
          <c:tx>
            <c:strRef>
              <c:f>'Ocurrencia Cu Ro'!$A$32</c:f>
              <c:strCache>
                <c:ptCount val="1"/>
                <c:pt idx="0">
                  <c:v>Arcillas Al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'Ocurrencia Cu Ro'!$B$18:$G$20</c15:sqref>
                  </c15:fullRef>
                  <c15:levelRef>
                    <c15:sqref>'Ocurrencia Cu Ro'!$B$20:$G$20</c15:sqref>
                  </c15:levelRef>
                </c:ext>
              </c:extLst>
              <c:f>'Ocurrencia Cu Ro'!$B$20:$G$20</c:f>
              <c:strCache>
                <c:ptCount val="6"/>
                <c:pt idx="0">
                  <c:v>Conc </c:v>
                </c:pt>
                <c:pt idx="1">
                  <c:v>Conc</c:v>
                </c:pt>
                <c:pt idx="2">
                  <c:v>Rel </c:v>
                </c:pt>
                <c:pt idx="3">
                  <c:v>Alim </c:v>
                </c:pt>
                <c:pt idx="4">
                  <c:v>Conc </c:v>
                </c:pt>
                <c:pt idx="5">
                  <c:v>Conc</c:v>
                </c:pt>
              </c:strCache>
            </c:strRef>
          </c:cat>
          <c:val>
            <c:numRef>
              <c:f>'Ocurrencia Cu Ro'!$B$32:$G$32</c:f>
              <c:numCache>
                <c:formatCode>0.00</c:formatCode>
                <c:ptCount val="6"/>
                <c:pt idx="0">
                  <c:v>2.92E-2</c:v>
                </c:pt>
                <c:pt idx="1">
                  <c:v>0</c:v>
                </c:pt>
                <c:pt idx="2">
                  <c:v>0</c:v>
                </c:pt>
                <c:pt idx="3">
                  <c:v>1.66E-2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05C-4A7E-AB50-32AD6C8D7A6D}"/>
            </c:ext>
          </c:extLst>
        </c:ser>
        <c:ser>
          <c:idx val="12"/>
          <c:order val="12"/>
          <c:tx>
            <c:strRef>
              <c:f>'Ocurrencia Cu Ro'!$A$33</c:f>
              <c:strCache>
                <c:ptCount val="1"/>
                <c:pt idx="0">
                  <c:v>Esfalerita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'Ocurrencia Cu Ro'!$B$18:$G$20</c15:sqref>
                  </c15:fullRef>
                  <c15:levelRef>
                    <c15:sqref>'Ocurrencia Cu Ro'!$B$20:$G$20</c15:sqref>
                  </c15:levelRef>
                </c:ext>
              </c:extLst>
              <c:f>'Ocurrencia Cu Ro'!$B$20:$G$20</c:f>
              <c:strCache>
                <c:ptCount val="6"/>
                <c:pt idx="0">
                  <c:v>Conc </c:v>
                </c:pt>
                <c:pt idx="1">
                  <c:v>Conc</c:v>
                </c:pt>
                <c:pt idx="2">
                  <c:v>Rel </c:v>
                </c:pt>
                <c:pt idx="3">
                  <c:v>Alim </c:v>
                </c:pt>
                <c:pt idx="4">
                  <c:v>Conc </c:v>
                </c:pt>
                <c:pt idx="5">
                  <c:v>Conc</c:v>
                </c:pt>
              </c:strCache>
            </c:strRef>
          </c:cat>
          <c:val>
            <c:numRef>
              <c:f>'Ocurrencia Cu Ro'!$B$33:$G$33</c:f>
              <c:numCache>
                <c:formatCode>0.00</c:formatCode>
                <c:ptCount val="6"/>
                <c:pt idx="0">
                  <c:v>2.1700000000000001E-2</c:v>
                </c:pt>
                <c:pt idx="1">
                  <c:v>2.9999999999999997E-4</c:v>
                </c:pt>
                <c:pt idx="2">
                  <c:v>0</c:v>
                </c:pt>
                <c:pt idx="3">
                  <c:v>3.2000000000000002E-3</c:v>
                </c:pt>
                <c:pt idx="4">
                  <c:v>4.82E-2</c:v>
                </c:pt>
                <c:pt idx="5">
                  <c:v>8.9999999999999998E-4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05C-4A7E-AB50-32AD6C8D7A6D}"/>
            </c:ext>
          </c:extLst>
        </c:ser>
        <c:ser>
          <c:idx val="13"/>
          <c:order val="13"/>
          <c:tx>
            <c:strRef>
              <c:f>'Ocurrencia Cu Ro'!$A$34</c:f>
              <c:strCache>
                <c:ptCount val="1"/>
                <c:pt idx="0">
                  <c:v>(Cu,Fe)OH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'Ocurrencia Cu Ro'!$B$18:$G$20</c15:sqref>
                  </c15:fullRef>
                  <c15:levelRef>
                    <c15:sqref>'Ocurrencia Cu Ro'!$B$20:$G$20</c15:sqref>
                  </c15:levelRef>
                </c:ext>
              </c:extLst>
              <c:f>'Ocurrencia Cu Ro'!$B$20:$G$20</c:f>
              <c:strCache>
                <c:ptCount val="6"/>
                <c:pt idx="0">
                  <c:v>Conc </c:v>
                </c:pt>
                <c:pt idx="1">
                  <c:v>Conc</c:v>
                </c:pt>
                <c:pt idx="2">
                  <c:v>Rel </c:v>
                </c:pt>
                <c:pt idx="3">
                  <c:v>Alim </c:v>
                </c:pt>
                <c:pt idx="4">
                  <c:v>Conc </c:v>
                </c:pt>
                <c:pt idx="5">
                  <c:v>Conc</c:v>
                </c:pt>
              </c:strCache>
            </c:strRef>
          </c:cat>
          <c:val>
            <c:numRef>
              <c:f>'Ocurrencia Cu Ro'!$B$34:$G$34</c:f>
              <c:numCache>
                <c:formatCode>0.00</c:formatCode>
                <c:ptCount val="6"/>
                <c:pt idx="0">
                  <c:v>1.1999999999999999E-3</c:v>
                </c:pt>
                <c:pt idx="1">
                  <c:v>2.86E-2</c:v>
                </c:pt>
                <c:pt idx="2">
                  <c:v>0</c:v>
                </c:pt>
                <c:pt idx="3">
                  <c:v>0</c:v>
                </c:pt>
                <c:pt idx="4">
                  <c:v>8.2000000000000007E-3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05C-4A7E-AB50-32AD6C8D7A6D}"/>
            </c:ext>
          </c:extLst>
        </c:ser>
        <c:ser>
          <c:idx val="14"/>
          <c:order val="14"/>
          <c:tx>
            <c:strRef>
              <c:f>'Ocurrencia Cu Ro'!$A$35</c:f>
              <c:strCache>
                <c:ptCount val="1"/>
                <c:pt idx="0">
                  <c:v>Limonita(Cu,Mn)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'Ocurrencia Cu Ro'!$B$18:$G$20</c15:sqref>
                  </c15:fullRef>
                  <c15:levelRef>
                    <c15:sqref>'Ocurrencia Cu Ro'!$B$20:$G$20</c15:sqref>
                  </c15:levelRef>
                </c:ext>
              </c:extLst>
              <c:f>'Ocurrencia Cu Ro'!$B$20:$G$20</c:f>
              <c:strCache>
                <c:ptCount val="6"/>
                <c:pt idx="0">
                  <c:v>Conc </c:v>
                </c:pt>
                <c:pt idx="1">
                  <c:v>Conc</c:v>
                </c:pt>
                <c:pt idx="2">
                  <c:v>Rel </c:v>
                </c:pt>
                <c:pt idx="3">
                  <c:v>Alim </c:v>
                </c:pt>
                <c:pt idx="4">
                  <c:v>Conc </c:v>
                </c:pt>
                <c:pt idx="5">
                  <c:v>Conc</c:v>
                </c:pt>
              </c:strCache>
            </c:strRef>
          </c:cat>
          <c:val>
            <c:numRef>
              <c:f>'Ocurrencia Cu Ro'!$B$35:$G$35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4.6600000000000003E-2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05C-4A7E-AB50-32AD6C8D7A6D}"/>
            </c:ext>
          </c:extLst>
        </c:ser>
        <c:ser>
          <c:idx val="15"/>
          <c:order val="15"/>
          <c:tx>
            <c:strRef>
              <c:f>'Ocurrencia Cu Ro'!$A$36</c:f>
              <c:strCache>
                <c:ptCount val="1"/>
                <c:pt idx="0">
                  <c:v>Epidota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'Ocurrencia Cu Ro'!$B$18:$G$20</c15:sqref>
                  </c15:fullRef>
                  <c15:levelRef>
                    <c15:sqref>'Ocurrencia Cu Ro'!$B$20:$G$20</c15:sqref>
                  </c15:levelRef>
                </c:ext>
              </c:extLst>
              <c:f>'Ocurrencia Cu Ro'!$B$20:$G$20</c:f>
              <c:strCache>
                <c:ptCount val="6"/>
                <c:pt idx="0">
                  <c:v>Conc </c:v>
                </c:pt>
                <c:pt idx="1">
                  <c:v>Conc</c:v>
                </c:pt>
                <c:pt idx="2">
                  <c:v>Rel </c:v>
                </c:pt>
                <c:pt idx="3">
                  <c:v>Alim </c:v>
                </c:pt>
                <c:pt idx="4">
                  <c:v>Conc </c:v>
                </c:pt>
                <c:pt idx="5">
                  <c:v>Conc</c:v>
                </c:pt>
              </c:strCache>
            </c:strRef>
          </c:cat>
          <c:val>
            <c:numRef>
              <c:f>'Ocurrencia Cu Ro'!$B$36:$G$36</c:f>
              <c:numCache>
                <c:formatCode>0.00</c:formatCode>
                <c:ptCount val="6"/>
                <c:pt idx="0">
                  <c:v>0</c:v>
                </c:pt>
                <c:pt idx="1">
                  <c:v>6.9999999999999999E-4</c:v>
                </c:pt>
                <c:pt idx="2">
                  <c:v>0</c:v>
                </c:pt>
                <c:pt idx="3">
                  <c:v>0</c:v>
                </c:pt>
                <c:pt idx="4">
                  <c:v>7.1999999999999998E-3</c:v>
                </c:pt>
                <c:pt idx="5">
                  <c:v>1.5E-3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05C-4A7E-AB50-32AD6C8D7A6D}"/>
            </c:ext>
          </c:extLst>
        </c:ser>
        <c:ser>
          <c:idx val="16"/>
          <c:order val="16"/>
          <c:tx>
            <c:strRef>
              <c:f>'Ocurrencia Cu Ro'!$A$37</c:f>
              <c:strCache>
                <c:ptCount val="1"/>
                <c:pt idx="0">
                  <c:v>Jarosita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'Ocurrencia Cu Ro'!$B$18:$G$20</c15:sqref>
                  </c15:fullRef>
                  <c15:levelRef>
                    <c15:sqref>'Ocurrencia Cu Ro'!$B$20:$G$20</c15:sqref>
                  </c15:levelRef>
                </c:ext>
              </c:extLst>
              <c:f>'Ocurrencia Cu Ro'!$B$20:$G$20</c:f>
              <c:strCache>
                <c:ptCount val="6"/>
                <c:pt idx="0">
                  <c:v>Conc </c:v>
                </c:pt>
                <c:pt idx="1">
                  <c:v>Conc</c:v>
                </c:pt>
                <c:pt idx="2">
                  <c:v>Rel </c:v>
                </c:pt>
                <c:pt idx="3">
                  <c:v>Alim </c:v>
                </c:pt>
                <c:pt idx="4">
                  <c:v>Conc </c:v>
                </c:pt>
                <c:pt idx="5">
                  <c:v>Conc</c:v>
                </c:pt>
              </c:strCache>
            </c:strRef>
          </c:cat>
          <c:val>
            <c:numRef>
              <c:f>'Ocurrencia Cu Ro'!$B$37:$G$37</c:f>
              <c:numCache>
                <c:formatCode>0.00</c:formatCode>
                <c:ptCount val="6"/>
                <c:pt idx="0">
                  <c:v>1.1999999999999999E-3</c:v>
                </c:pt>
                <c:pt idx="1">
                  <c:v>1.8E-3</c:v>
                </c:pt>
                <c:pt idx="2">
                  <c:v>2.0899999999999998E-2</c:v>
                </c:pt>
                <c:pt idx="3">
                  <c:v>0</c:v>
                </c:pt>
                <c:pt idx="4">
                  <c:v>0</c:v>
                </c:pt>
                <c:pt idx="5">
                  <c:v>1.9E-3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05C-4A7E-AB50-32AD6C8D7A6D}"/>
            </c:ext>
          </c:extLst>
        </c:ser>
        <c:ser>
          <c:idx val="17"/>
          <c:order val="17"/>
          <c:tx>
            <c:strRef>
              <c:f>'Ocurrencia Cu Ro'!$A$38</c:f>
              <c:strCache>
                <c:ptCount val="1"/>
                <c:pt idx="0">
                  <c:v>Ankerita/Siderita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'Ocurrencia Cu Ro'!$B$18:$G$20</c15:sqref>
                  </c15:fullRef>
                  <c15:levelRef>
                    <c15:sqref>'Ocurrencia Cu Ro'!$B$20:$G$20</c15:sqref>
                  </c15:levelRef>
                </c:ext>
              </c:extLst>
              <c:f>'Ocurrencia Cu Ro'!$B$20:$G$20</c:f>
              <c:strCache>
                <c:ptCount val="6"/>
                <c:pt idx="0">
                  <c:v>Conc </c:v>
                </c:pt>
                <c:pt idx="1">
                  <c:v>Conc</c:v>
                </c:pt>
                <c:pt idx="2">
                  <c:v>Rel </c:v>
                </c:pt>
                <c:pt idx="3">
                  <c:v>Alim </c:v>
                </c:pt>
                <c:pt idx="4">
                  <c:v>Conc </c:v>
                </c:pt>
                <c:pt idx="5">
                  <c:v>Conc</c:v>
                </c:pt>
              </c:strCache>
            </c:strRef>
          </c:cat>
          <c:val>
            <c:numRef>
              <c:f>'Ocurrencia Cu Ro'!$B$38:$G$38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05C-4A7E-AB50-32AD6C8D7A6D}"/>
            </c:ext>
          </c:extLst>
        </c:ser>
        <c:ser>
          <c:idx val="18"/>
          <c:order val="18"/>
          <c:tx>
            <c:strRef>
              <c:f>'Ocurrencia Cu Ro'!$A$39</c:f>
              <c:strCache>
                <c:ptCount val="1"/>
                <c:pt idx="0">
                  <c:v>Otros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'Ocurrencia Cu Ro'!$B$18:$G$20</c15:sqref>
                  </c15:fullRef>
                  <c15:levelRef>
                    <c15:sqref>'Ocurrencia Cu Ro'!$B$20:$G$20</c15:sqref>
                  </c15:levelRef>
                </c:ext>
              </c:extLst>
              <c:f>'Ocurrencia Cu Ro'!$B$20:$G$20</c:f>
              <c:strCache>
                <c:ptCount val="6"/>
                <c:pt idx="0">
                  <c:v>Conc </c:v>
                </c:pt>
                <c:pt idx="1">
                  <c:v>Conc</c:v>
                </c:pt>
                <c:pt idx="2">
                  <c:v>Rel </c:v>
                </c:pt>
                <c:pt idx="3">
                  <c:v>Alim </c:v>
                </c:pt>
                <c:pt idx="4">
                  <c:v>Conc </c:v>
                </c:pt>
                <c:pt idx="5">
                  <c:v>Conc</c:v>
                </c:pt>
              </c:strCache>
            </c:strRef>
          </c:cat>
          <c:val>
            <c:numRef>
              <c:f>'Ocurrencia Cu Ro'!$B$39:$G$39</c:f>
              <c:numCache>
                <c:formatCode>General</c:formatCode>
                <c:ptCount val="6"/>
                <c:pt idx="0">
                  <c:v>1.09E-2</c:v>
                </c:pt>
                <c:pt idx="1">
                  <c:v>3.3E-3</c:v>
                </c:pt>
                <c:pt idx="2">
                  <c:v>5.1999999999999998E-3</c:v>
                </c:pt>
                <c:pt idx="3">
                  <c:v>4.0000000000000001E-3</c:v>
                </c:pt>
                <c:pt idx="4">
                  <c:v>3.0999999999999999E-3</c:v>
                </c:pt>
                <c:pt idx="5">
                  <c:v>3.0000000000000001E-3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05C-4A7E-AB50-32AD6C8D7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4264816"/>
        <c:axId val="214260016"/>
      </c:barChart>
      <c:catAx>
        <c:axId val="214264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14260016"/>
        <c:crosses val="autoZero"/>
        <c:auto val="1"/>
        <c:lblAlgn val="ctr"/>
        <c:lblOffset val="100"/>
        <c:noMultiLvlLbl val="0"/>
      </c:catAx>
      <c:valAx>
        <c:axId val="21426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14264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3695949472208575E-2"/>
          <c:y val="0.83218547784262942"/>
          <c:w val="0.93325638359065788"/>
          <c:h val="0.149834546470450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Liberacion Calcosina/Digenita</a:t>
            </a:r>
            <a:r>
              <a:rPr lang="es-CL" baseline="0"/>
              <a:t> 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'Liberación Ro'!$E$3</c:f>
              <c:strCache>
                <c:ptCount val="1"/>
                <c:pt idx="0">
                  <c:v>&lt;10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'Liberación Ro'!$D$10:$D$15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Ro'!$E$10:$E$15</c:f>
              <c:numCache>
                <c:formatCode>0.0</c:formatCode>
                <c:ptCount val="6"/>
                <c:pt idx="0">
                  <c:v>2.9695</c:v>
                </c:pt>
                <c:pt idx="1">
                  <c:v>100</c:v>
                </c:pt>
                <c:pt idx="2">
                  <c:v>0.96060000000000001</c:v>
                </c:pt>
                <c:pt idx="3">
                  <c:v>0.4415</c:v>
                </c:pt>
                <c:pt idx="4">
                  <c:v>14.2857</c:v>
                </c:pt>
                <c:pt idx="5">
                  <c:v>2.3304999999999998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3A-44F0-B26C-1E133C379B94}"/>
            </c:ext>
          </c:extLst>
        </c:ser>
        <c:ser>
          <c:idx val="1"/>
          <c:order val="1"/>
          <c:tx>
            <c:strRef>
              <c:f>'Liberación Ro'!$F$3</c:f>
              <c:strCache>
                <c:ptCount val="1"/>
                <c:pt idx="0">
                  <c:v>≥10&lt;20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'Liberación Ro'!$D$10:$D$15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Ro'!$F$10:$F$15</c:f>
              <c:numCache>
                <c:formatCode>0.0</c:formatCode>
                <c:ptCount val="6"/>
                <c:pt idx="0">
                  <c:v>1.5227999999999999</c:v>
                </c:pt>
                <c:pt idx="1">
                  <c:v>0</c:v>
                </c:pt>
                <c:pt idx="2">
                  <c:v>2.5937000000000001</c:v>
                </c:pt>
                <c:pt idx="3">
                  <c:v>13.0243</c:v>
                </c:pt>
                <c:pt idx="4">
                  <c:v>14.2857</c:v>
                </c:pt>
                <c:pt idx="5">
                  <c:v>0.28249999999999997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3A-44F0-B26C-1E133C379B94}"/>
            </c:ext>
          </c:extLst>
        </c:ser>
        <c:ser>
          <c:idx val="2"/>
          <c:order val="2"/>
          <c:tx>
            <c:strRef>
              <c:f>'Liberación Ro'!$G$3</c:f>
              <c:strCache>
                <c:ptCount val="1"/>
                <c:pt idx="0">
                  <c:v>≥20&lt;30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'Liberación Ro'!$D$10:$D$15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Ro'!$G$10:$G$15</c:f>
              <c:numCache>
                <c:formatCode>0.0</c:formatCode>
                <c:ptCount val="6"/>
                <c:pt idx="0">
                  <c:v>0.15229999999999999</c:v>
                </c:pt>
                <c:pt idx="1">
                  <c:v>0</c:v>
                </c:pt>
                <c:pt idx="2">
                  <c:v>0.76849999999999996</c:v>
                </c:pt>
                <c:pt idx="3">
                  <c:v>0</c:v>
                </c:pt>
                <c:pt idx="4">
                  <c:v>0</c:v>
                </c:pt>
                <c:pt idx="5">
                  <c:v>10.6638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3A-44F0-B26C-1E133C379B94}"/>
            </c:ext>
          </c:extLst>
        </c:ser>
        <c:ser>
          <c:idx val="3"/>
          <c:order val="3"/>
          <c:tx>
            <c:strRef>
              <c:f>'Liberación Ro'!$H$3</c:f>
              <c:strCache>
                <c:ptCount val="1"/>
                <c:pt idx="0">
                  <c:v>≥30&lt;40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'Liberación Ro'!$D$10:$D$15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Ro'!$H$10:$H$15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2.3054999999999999</c:v>
                </c:pt>
                <c:pt idx="3">
                  <c:v>0</c:v>
                </c:pt>
                <c:pt idx="4">
                  <c:v>21.848700000000001</c:v>
                </c:pt>
                <c:pt idx="5">
                  <c:v>0.21190000000000001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3A-44F0-B26C-1E133C379B94}"/>
            </c:ext>
          </c:extLst>
        </c:ser>
        <c:ser>
          <c:idx val="4"/>
          <c:order val="4"/>
          <c:tx>
            <c:strRef>
              <c:f>'Liberación Ro'!$I$3</c:f>
              <c:strCache>
                <c:ptCount val="1"/>
                <c:pt idx="0">
                  <c:v>≥40&lt;50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'Liberación Ro'!$D$10:$D$15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Ro'!$I$10:$I$15</c:f>
              <c:numCache>
                <c:formatCode>0.0</c:formatCode>
                <c:ptCount val="6"/>
                <c:pt idx="0">
                  <c:v>18.730899999999998</c:v>
                </c:pt>
                <c:pt idx="1">
                  <c:v>0</c:v>
                </c:pt>
                <c:pt idx="2">
                  <c:v>0.76849999999999996</c:v>
                </c:pt>
                <c:pt idx="3">
                  <c:v>0.6623</c:v>
                </c:pt>
                <c:pt idx="4">
                  <c:v>0</c:v>
                </c:pt>
                <c:pt idx="5">
                  <c:v>0.49440000000000001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3A-44F0-B26C-1E133C379B94}"/>
            </c:ext>
          </c:extLst>
        </c:ser>
        <c:ser>
          <c:idx val="5"/>
          <c:order val="5"/>
          <c:tx>
            <c:strRef>
              <c:f>'Liberación Ro'!$J$3</c:f>
              <c:strCache>
                <c:ptCount val="1"/>
                <c:pt idx="0">
                  <c:v>≥50&lt;60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'Liberación Ro'!$D$10:$D$15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Ro'!$J$10:$J$15</c:f>
              <c:numCache>
                <c:formatCode>0.0</c:formatCode>
                <c:ptCount val="6"/>
                <c:pt idx="0">
                  <c:v>1.0660000000000001</c:v>
                </c:pt>
                <c:pt idx="1">
                  <c:v>0</c:v>
                </c:pt>
                <c:pt idx="2">
                  <c:v>0.19209999999999999</c:v>
                </c:pt>
                <c:pt idx="3">
                  <c:v>3.9735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F3A-44F0-B26C-1E133C379B94}"/>
            </c:ext>
          </c:extLst>
        </c:ser>
        <c:ser>
          <c:idx val="6"/>
          <c:order val="6"/>
          <c:tx>
            <c:strRef>
              <c:f>'Liberación Ro'!$K$3</c:f>
              <c:strCache>
                <c:ptCount val="1"/>
                <c:pt idx="0">
                  <c:v>≥60&lt;70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'Liberación Ro'!$D$10:$D$15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Ro'!$K$10:$K$15</c:f>
              <c:numCache>
                <c:formatCode>0.0</c:formatCode>
                <c:ptCount val="6"/>
                <c:pt idx="0">
                  <c:v>4.2640000000000002</c:v>
                </c:pt>
                <c:pt idx="1">
                  <c:v>0</c:v>
                </c:pt>
                <c:pt idx="2">
                  <c:v>0.86460000000000004</c:v>
                </c:pt>
                <c:pt idx="3">
                  <c:v>2.8698000000000001</c:v>
                </c:pt>
                <c:pt idx="4">
                  <c:v>0</c:v>
                </c:pt>
                <c:pt idx="5">
                  <c:v>1.0592999999999999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F3A-44F0-B26C-1E133C379B94}"/>
            </c:ext>
          </c:extLst>
        </c:ser>
        <c:ser>
          <c:idx val="7"/>
          <c:order val="7"/>
          <c:tx>
            <c:strRef>
              <c:f>'Liberación Ro'!$L$3</c:f>
              <c:strCache>
                <c:ptCount val="1"/>
                <c:pt idx="0">
                  <c:v>≥70&lt;80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'Liberación Ro'!$D$10:$D$15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Ro'!$L$10:$L$15</c:f>
              <c:numCache>
                <c:formatCode>0.0</c:formatCode>
                <c:ptCount val="6"/>
                <c:pt idx="0">
                  <c:v>3.6547999999999998</c:v>
                </c:pt>
                <c:pt idx="1">
                  <c:v>0</c:v>
                </c:pt>
                <c:pt idx="2">
                  <c:v>6.8204000000000002</c:v>
                </c:pt>
                <c:pt idx="3">
                  <c:v>10.154500000000001</c:v>
                </c:pt>
                <c:pt idx="4">
                  <c:v>0</c:v>
                </c:pt>
                <c:pt idx="5">
                  <c:v>3.4605000000000001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F3A-44F0-B26C-1E133C379B94}"/>
            </c:ext>
          </c:extLst>
        </c:ser>
        <c:ser>
          <c:idx val="8"/>
          <c:order val="8"/>
          <c:tx>
            <c:strRef>
              <c:f>'Liberación Ro'!$M$3</c:f>
              <c:strCache>
                <c:ptCount val="1"/>
                <c:pt idx="0">
                  <c:v>≥80&lt;90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'Liberación Ro'!$D$10:$D$15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Ro'!$M$10:$M$15</c:f>
              <c:numCache>
                <c:formatCode>0.0</c:formatCode>
                <c:ptCount val="6"/>
                <c:pt idx="0">
                  <c:v>5.3299000000000003</c:v>
                </c:pt>
                <c:pt idx="1">
                  <c:v>0</c:v>
                </c:pt>
                <c:pt idx="2">
                  <c:v>2.3054999999999999</c:v>
                </c:pt>
                <c:pt idx="3">
                  <c:v>0</c:v>
                </c:pt>
                <c:pt idx="4">
                  <c:v>0</c:v>
                </c:pt>
                <c:pt idx="5">
                  <c:v>15.1836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F3A-44F0-B26C-1E133C379B94}"/>
            </c:ext>
          </c:extLst>
        </c:ser>
        <c:ser>
          <c:idx val="9"/>
          <c:order val="9"/>
          <c:tx>
            <c:strRef>
              <c:f>'Liberación Ro'!$N$3</c:f>
              <c:strCache>
                <c:ptCount val="1"/>
                <c:pt idx="0">
                  <c:v>≥90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'Liberación Ro'!$D$10:$D$15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Ro'!$N$10:$N$15</c:f>
              <c:numCache>
                <c:formatCode>0.0</c:formatCode>
                <c:ptCount val="6"/>
                <c:pt idx="0">
                  <c:v>62.309699999999999</c:v>
                </c:pt>
                <c:pt idx="1">
                  <c:v>0</c:v>
                </c:pt>
                <c:pt idx="2">
                  <c:v>82.420699999999997</c:v>
                </c:pt>
                <c:pt idx="3">
                  <c:v>68.874200000000002</c:v>
                </c:pt>
                <c:pt idx="4">
                  <c:v>49.579799999999999</c:v>
                </c:pt>
                <c:pt idx="5">
                  <c:v>66.313599999999994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F3A-44F0-B26C-1E133C379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16941008"/>
        <c:axId val="1416957808"/>
      </c:barChart>
      <c:catAx>
        <c:axId val="141694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16957808"/>
        <c:crosses val="max"/>
        <c:auto val="1"/>
        <c:lblAlgn val="ctr"/>
        <c:lblOffset val="100"/>
        <c:noMultiLvlLbl val="0"/>
      </c:catAx>
      <c:valAx>
        <c:axId val="1416957808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1694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Liberacion Bornita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'Liberación Ro'!$E$3</c:f>
              <c:strCache>
                <c:ptCount val="1"/>
                <c:pt idx="0">
                  <c:v>&lt;10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'Liberación Ro'!$D$16:$D$21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Ro'!$E$16:$E$21</c:f>
              <c:numCache>
                <c:formatCode>0.0</c:formatCode>
                <c:ptCount val="6"/>
                <c:pt idx="0">
                  <c:v>24.637699999999999</c:v>
                </c:pt>
                <c:pt idx="1">
                  <c:v>49.815100000000001</c:v>
                </c:pt>
                <c:pt idx="2">
                  <c:v>10.052899999999999</c:v>
                </c:pt>
                <c:pt idx="3">
                  <c:v>22.5459</c:v>
                </c:pt>
                <c:pt idx="4">
                  <c:v>74.459400000000002</c:v>
                </c:pt>
                <c:pt idx="5">
                  <c:v>6.242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29-4145-BFA0-8262116D22BF}"/>
            </c:ext>
          </c:extLst>
        </c:ser>
        <c:ser>
          <c:idx val="1"/>
          <c:order val="1"/>
          <c:tx>
            <c:strRef>
              <c:f>'Liberación Ro'!$F$3</c:f>
              <c:strCache>
                <c:ptCount val="1"/>
                <c:pt idx="0">
                  <c:v>≥10&lt;20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'Liberación Ro'!$D$16:$D$21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Ro'!$F$16:$F$21</c:f>
              <c:numCache>
                <c:formatCode>0.0</c:formatCode>
                <c:ptCount val="6"/>
                <c:pt idx="0">
                  <c:v>20.289899999999999</c:v>
                </c:pt>
                <c:pt idx="1">
                  <c:v>49.701300000000003</c:v>
                </c:pt>
                <c:pt idx="2">
                  <c:v>30.9011</c:v>
                </c:pt>
                <c:pt idx="3">
                  <c:v>21.416499999999999</c:v>
                </c:pt>
                <c:pt idx="4">
                  <c:v>24.9679</c:v>
                </c:pt>
                <c:pt idx="5">
                  <c:v>3.5459000000000001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29-4145-BFA0-8262116D22BF}"/>
            </c:ext>
          </c:extLst>
        </c:ser>
        <c:ser>
          <c:idx val="2"/>
          <c:order val="2"/>
          <c:tx>
            <c:strRef>
              <c:f>'Liberación Ro'!$G$3</c:f>
              <c:strCache>
                <c:ptCount val="1"/>
                <c:pt idx="0">
                  <c:v>≥20&lt;30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'Liberación Ro'!$D$16:$D$21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Ro'!$G$16:$G$21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11.276899999999999</c:v>
                </c:pt>
                <c:pt idx="3">
                  <c:v>6.4598000000000004</c:v>
                </c:pt>
                <c:pt idx="4">
                  <c:v>0</c:v>
                </c:pt>
                <c:pt idx="5">
                  <c:v>1.5760000000000001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29-4145-BFA0-8262116D22BF}"/>
            </c:ext>
          </c:extLst>
        </c:ser>
        <c:ser>
          <c:idx val="3"/>
          <c:order val="3"/>
          <c:tx>
            <c:strRef>
              <c:f>'Liberación Ro'!$H$3</c:f>
              <c:strCache>
                <c:ptCount val="1"/>
                <c:pt idx="0">
                  <c:v>≥30&lt;40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'Liberación Ro'!$D$16:$D$21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Ro'!$H$16:$H$21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7.6521999999999997</c:v>
                </c:pt>
                <c:pt idx="3">
                  <c:v>3.2299000000000002</c:v>
                </c:pt>
                <c:pt idx="4">
                  <c:v>0</c:v>
                </c:pt>
                <c:pt idx="5">
                  <c:v>0.39400000000000002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29-4145-BFA0-8262116D22BF}"/>
            </c:ext>
          </c:extLst>
        </c:ser>
        <c:ser>
          <c:idx val="4"/>
          <c:order val="4"/>
          <c:tx>
            <c:strRef>
              <c:f>'Liberación Ro'!$I$3</c:f>
              <c:strCache>
                <c:ptCount val="1"/>
                <c:pt idx="0">
                  <c:v>≥40&lt;50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'Liberación Ro'!$D$16:$D$21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Ro'!$I$16:$I$21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0.80549999999999999</c:v>
                </c:pt>
                <c:pt idx="3">
                  <c:v>1.6149</c:v>
                </c:pt>
                <c:pt idx="4">
                  <c:v>0</c:v>
                </c:pt>
                <c:pt idx="5">
                  <c:v>5.3189000000000002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29-4145-BFA0-8262116D22BF}"/>
            </c:ext>
          </c:extLst>
        </c:ser>
        <c:ser>
          <c:idx val="5"/>
          <c:order val="5"/>
          <c:tx>
            <c:strRef>
              <c:f>'Liberación Ro'!$J$3</c:f>
              <c:strCache>
                <c:ptCount val="1"/>
                <c:pt idx="0">
                  <c:v>≥50&lt;60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'Liberación Ro'!$D$16:$D$21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Ro'!$J$16:$J$21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5.6384999999999996</c:v>
                </c:pt>
                <c:pt idx="3">
                  <c:v>0</c:v>
                </c:pt>
                <c:pt idx="4">
                  <c:v>0</c:v>
                </c:pt>
                <c:pt idx="5">
                  <c:v>2.5609000000000002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F29-4145-BFA0-8262116D22BF}"/>
            </c:ext>
          </c:extLst>
        </c:ser>
        <c:ser>
          <c:idx val="6"/>
          <c:order val="6"/>
          <c:tx>
            <c:strRef>
              <c:f>'Liberación Ro'!$K$3</c:f>
              <c:strCache>
                <c:ptCount val="1"/>
                <c:pt idx="0">
                  <c:v>≥60&lt;70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'Liberación Ro'!$D$16:$D$21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Ro'!$K$16:$K$21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0.59099999999999997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F29-4145-BFA0-8262116D22BF}"/>
            </c:ext>
          </c:extLst>
        </c:ser>
        <c:ser>
          <c:idx val="7"/>
          <c:order val="7"/>
          <c:tx>
            <c:strRef>
              <c:f>'Liberación Ro'!$L$3</c:f>
              <c:strCache>
                <c:ptCount val="1"/>
                <c:pt idx="0">
                  <c:v>≥70&lt;80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'Liberación Ro'!$D$16:$D$21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Ro'!$L$16:$L$21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21.981200000000001</c:v>
                </c:pt>
                <c:pt idx="4">
                  <c:v>0</c:v>
                </c:pt>
                <c:pt idx="5">
                  <c:v>3.9167000000000001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F29-4145-BFA0-8262116D22BF}"/>
            </c:ext>
          </c:extLst>
        </c:ser>
        <c:ser>
          <c:idx val="8"/>
          <c:order val="8"/>
          <c:tx>
            <c:strRef>
              <c:f>'Liberación Ro'!$M$3</c:f>
              <c:strCache>
                <c:ptCount val="1"/>
                <c:pt idx="0">
                  <c:v>≥80&lt;90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'Liberación Ro'!$D$16:$D$21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Ro'!$M$16:$M$21</c:f>
              <c:numCache>
                <c:formatCode>0.0</c:formatCode>
                <c:ptCount val="6"/>
                <c:pt idx="0">
                  <c:v>26.57</c:v>
                </c:pt>
                <c:pt idx="1">
                  <c:v>0</c:v>
                </c:pt>
                <c:pt idx="2">
                  <c:v>0</c:v>
                </c:pt>
                <c:pt idx="3">
                  <c:v>17.9175</c:v>
                </c:pt>
                <c:pt idx="4">
                  <c:v>0</c:v>
                </c:pt>
                <c:pt idx="5">
                  <c:v>21.6694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F29-4145-BFA0-8262116D22BF}"/>
            </c:ext>
          </c:extLst>
        </c:ser>
        <c:ser>
          <c:idx val="9"/>
          <c:order val="9"/>
          <c:tx>
            <c:strRef>
              <c:f>'Liberación Ro'!$N$3</c:f>
              <c:strCache>
                <c:ptCount val="1"/>
                <c:pt idx="0">
                  <c:v>≥90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'Liberación Ro'!$D$16:$D$21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Ro'!$N$16:$N$21</c:f>
              <c:numCache>
                <c:formatCode>0.0</c:formatCode>
                <c:ptCount val="6"/>
                <c:pt idx="0">
                  <c:v>28.502400000000002</c:v>
                </c:pt>
                <c:pt idx="1">
                  <c:v>0.48359999999999997</c:v>
                </c:pt>
                <c:pt idx="2">
                  <c:v>33.672899999999998</c:v>
                </c:pt>
                <c:pt idx="3">
                  <c:v>4.8342999999999998</c:v>
                </c:pt>
                <c:pt idx="4">
                  <c:v>0.57279999999999998</c:v>
                </c:pt>
                <c:pt idx="5">
                  <c:v>54.185200000000002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F29-4145-BFA0-8262116D2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16941008"/>
        <c:axId val="1416957808"/>
      </c:barChart>
      <c:catAx>
        <c:axId val="141694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16957808"/>
        <c:crosses val="max"/>
        <c:auto val="1"/>
        <c:lblAlgn val="ctr"/>
        <c:lblOffset val="100"/>
        <c:noMultiLvlLbl val="0"/>
      </c:catAx>
      <c:valAx>
        <c:axId val="1416957808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1694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Liberacion Molibdenita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'Liberación Ro'!$E$3</c:f>
              <c:strCache>
                <c:ptCount val="1"/>
                <c:pt idx="0">
                  <c:v>&lt;10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'Liberación Ro'!$D$28:$D$33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Ro'!$E$28:$E$33</c:f>
              <c:numCache>
                <c:formatCode>0.0</c:formatCode>
                <c:ptCount val="6"/>
                <c:pt idx="0">
                  <c:v>2.9043000000000001</c:v>
                </c:pt>
                <c:pt idx="1">
                  <c:v>14.582700000000001</c:v>
                </c:pt>
                <c:pt idx="2">
                  <c:v>6.08E-2</c:v>
                </c:pt>
                <c:pt idx="3">
                  <c:v>1.2123999999999999</c:v>
                </c:pt>
                <c:pt idx="4">
                  <c:v>4.2023000000000001</c:v>
                </c:pt>
                <c:pt idx="5">
                  <c:v>0.10390000000000001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F3-4642-BD55-44FAD18EF286}"/>
            </c:ext>
          </c:extLst>
        </c:ser>
        <c:ser>
          <c:idx val="1"/>
          <c:order val="1"/>
          <c:tx>
            <c:strRef>
              <c:f>'Liberación Ro'!$F$3</c:f>
              <c:strCache>
                <c:ptCount val="1"/>
                <c:pt idx="0">
                  <c:v>≥10&lt;20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'Liberación Ro'!$D$28:$D$33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Ro'!$F$28:$F$33</c:f>
              <c:numCache>
                <c:formatCode>0.0</c:formatCode>
                <c:ptCount val="6"/>
                <c:pt idx="0">
                  <c:v>0.61439999999999995</c:v>
                </c:pt>
                <c:pt idx="1">
                  <c:v>5.4589999999999996</c:v>
                </c:pt>
                <c:pt idx="2">
                  <c:v>0.94179999999999997</c:v>
                </c:pt>
                <c:pt idx="3">
                  <c:v>5.6623000000000001</c:v>
                </c:pt>
                <c:pt idx="4">
                  <c:v>5.0209999999999999</c:v>
                </c:pt>
                <c:pt idx="5">
                  <c:v>0.2467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F3-4642-BD55-44FAD18EF286}"/>
            </c:ext>
          </c:extLst>
        </c:ser>
        <c:ser>
          <c:idx val="2"/>
          <c:order val="2"/>
          <c:tx>
            <c:strRef>
              <c:f>'Liberación Ro'!$G$3</c:f>
              <c:strCache>
                <c:ptCount val="1"/>
                <c:pt idx="0">
                  <c:v>≥20&lt;30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'Liberación Ro'!$D$28:$D$33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Ro'!$G$28:$G$33</c:f>
              <c:numCache>
                <c:formatCode>0.0</c:formatCode>
                <c:ptCount val="6"/>
                <c:pt idx="0">
                  <c:v>3.3635000000000002</c:v>
                </c:pt>
                <c:pt idx="1">
                  <c:v>32.678400000000003</c:v>
                </c:pt>
                <c:pt idx="2">
                  <c:v>0.39500000000000002</c:v>
                </c:pt>
                <c:pt idx="3">
                  <c:v>0.85170000000000001</c:v>
                </c:pt>
                <c:pt idx="4">
                  <c:v>1.4224000000000001</c:v>
                </c:pt>
                <c:pt idx="5">
                  <c:v>0.68820000000000003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F3-4642-BD55-44FAD18EF286}"/>
            </c:ext>
          </c:extLst>
        </c:ser>
        <c:ser>
          <c:idx val="3"/>
          <c:order val="3"/>
          <c:tx>
            <c:strRef>
              <c:f>'Liberación Ro'!$H$3</c:f>
              <c:strCache>
                <c:ptCount val="1"/>
                <c:pt idx="0">
                  <c:v>≥30&lt;40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'Liberación Ro'!$D$28:$D$33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Ro'!$H$28:$H$33</c:f>
              <c:numCache>
                <c:formatCode>0.0</c:formatCode>
                <c:ptCount val="6"/>
                <c:pt idx="0">
                  <c:v>2.8483999999999998</c:v>
                </c:pt>
                <c:pt idx="1">
                  <c:v>2.1735000000000002</c:v>
                </c:pt>
                <c:pt idx="2">
                  <c:v>0.34870000000000001</c:v>
                </c:pt>
                <c:pt idx="3">
                  <c:v>0.64459999999999995</c:v>
                </c:pt>
                <c:pt idx="4">
                  <c:v>2.5291999999999999</c:v>
                </c:pt>
                <c:pt idx="5">
                  <c:v>9.0899999999999995E-2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F3-4642-BD55-44FAD18EF286}"/>
            </c:ext>
          </c:extLst>
        </c:ser>
        <c:ser>
          <c:idx val="4"/>
          <c:order val="4"/>
          <c:tx>
            <c:strRef>
              <c:f>'Liberación Ro'!$I$3</c:f>
              <c:strCache>
                <c:ptCount val="1"/>
                <c:pt idx="0">
                  <c:v>≥40&lt;50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'Liberación Ro'!$D$28:$D$33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Ro'!$I$28:$I$33</c:f>
              <c:numCache>
                <c:formatCode>0.0</c:formatCode>
                <c:ptCount val="6"/>
                <c:pt idx="0">
                  <c:v>1.8599999999999998E-2</c:v>
                </c:pt>
                <c:pt idx="1">
                  <c:v>1.3142</c:v>
                </c:pt>
                <c:pt idx="2">
                  <c:v>0.84309999999999996</c:v>
                </c:pt>
                <c:pt idx="3">
                  <c:v>1.4963</c:v>
                </c:pt>
                <c:pt idx="4">
                  <c:v>0</c:v>
                </c:pt>
                <c:pt idx="5">
                  <c:v>2.6358000000000001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F3-4642-BD55-44FAD18EF286}"/>
            </c:ext>
          </c:extLst>
        </c:ser>
        <c:ser>
          <c:idx val="5"/>
          <c:order val="5"/>
          <c:tx>
            <c:strRef>
              <c:f>'Liberación Ro'!$J$3</c:f>
              <c:strCache>
                <c:ptCount val="1"/>
                <c:pt idx="0">
                  <c:v>≥50&lt;60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'Liberación Ro'!$D$28:$D$33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Ro'!$J$28:$J$33</c:f>
              <c:numCache>
                <c:formatCode>0.0</c:formatCode>
                <c:ptCount val="6"/>
                <c:pt idx="0">
                  <c:v>0.24199999999999999</c:v>
                </c:pt>
                <c:pt idx="1">
                  <c:v>2.1482000000000001</c:v>
                </c:pt>
                <c:pt idx="2">
                  <c:v>0.28860000000000002</c:v>
                </c:pt>
                <c:pt idx="3">
                  <c:v>1.6728000000000001</c:v>
                </c:pt>
                <c:pt idx="4">
                  <c:v>0.1176</c:v>
                </c:pt>
                <c:pt idx="5">
                  <c:v>2.1812999999999998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0F3-4642-BD55-44FAD18EF286}"/>
            </c:ext>
          </c:extLst>
        </c:ser>
        <c:ser>
          <c:idx val="6"/>
          <c:order val="6"/>
          <c:tx>
            <c:strRef>
              <c:f>'Liberación Ro'!$K$3</c:f>
              <c:strCache>
                <c:ptCount val="1"/>
                <c:pt idx="0">
                  <c:v>≥60&lt;70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'Liberación Ro'!$D$28:$D$33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Ro'!$K$28:$K$33</c:f>
              <c:numCache>
                <c:formatCode>0.0</c:formatCode>
                <c:ptCount val="6"/>
                <c:pt idx="0">
                  <c:v>1.2162999999999999</c:v>
                </c:pt>
                <c:pt idx="1">
                  <c:v>1.1373</c:v>
                </c:pt>
                <c:pt idx="2">
                  <c:v>0.69120000000000004</c:v>
                </c:pt>
                <c:pt idx="3">
                  <c:v>3.5981000000000001</c:v>
                </c:pt>
                <c:pt idx="4">
                  <c:v>4.5397999999999996</c:v>
                </c:pt>
                <c:pt idx="5">
                  <c:v>1.1816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0F3-4642-BD55-44FAD18EF286}"/>
            </c:ext>
          </c:extLst>
        </c:ser>
        <c:ser>
          <c:idx val="7"/>
          <c:order val="7"/>
          <c:tx>
            <c:strRef>
              <c:f>'Liberación Ro'!$L$3</c:f>
              <c:strCache>
                <c:ptCount val="1"/>
                <c:pt idx="0">
                  <c:v>≥70&lt;80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'Liberación Ro'!$D$28:$D$33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Ro'!$L$28:$L$33</c:f>
              <c:numCache>
                <c:formatCode>0.0</c:formatCode>
                <c:ptCount val="6"/>
                <c:pt idx="0">
                  <c:v>5.2805999999999997</c:v>
                </c:pt>
                <c:pt idx="1">
                  <c:v>2.2999000000000001</c:v>
                </c:pt>
                <c:pt idx="2">
                  <c:v>4.6256000000000004</c:v>
                </c:pt>
                <c:pt idx="3">
                  <c:v>7.4661999999999997</c:v>
                </c:pt>
                <c:pt idx="4">
                  <c:v>4.8315999999999999</c:v>
                </c:pt>
                <c:pt idx="5">
                  <c:v>5.1677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0F3-4642-BD55-44FAD18EF286}"/>
            </c:ext>
          </c:extLst>
        </c:ser>
        <c:ser>
          <c:idx val="8"/>
          <c:order val="8"/>
          <c:tx>
            <c:strRef>
              <c:f>'Liberación Ro'!$M$3</c:f>
              <c:strCache>
                <c:ptCount val="1"/>
                <c:pt idx="0">
                  <c:v>≥80&lt;90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'Liberación Ro'!$D$28:$D$33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Ro'!$M$28:$M$33</c:f>
              <c:numCache>
                <c:formatCode>0.0</c:formatCode>
                <c:ptCount val="6"/>
                <c:pt idx="0">
                  <c:v>6.2911999999999999</c:v>
                </c:pt>
                <c:pt idx="1">
                  <c:v>0.98570000000000002</c:v>
                </c:pt>
                <c:pt idx="2">
                  <c:v>8.6959999999999997</c:v>
                </c:pt>
                <c:pt idx="3">
                  <c:v>2.8468</c:v>
                </c:pt>
                <c:pt idx="4">
                  <c:v>4.4688999999999997</c:v>
                </c:pt>
                <c:pt idx="5">
                  <c:v>8.6062999999999992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0F3-4642-BD55-44FAD18EF286}"/>
            </c:ext>
          </c:extLst>
        </c:ser>
        <c:ser>
          <c:idx val="9"/>
          <c:order val="9"/>
          <c:tx>
            <c:strRef>
              <c:f>'Liberación Ro'!$N$3</c:f>
              <c:strCache>
                <c:ptCount val="1"/>
                <c:pt idx="0">
                  <c:v>≥90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'Liberación Ro'!$D$28:$D$33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Ro'!$N$28:$N$33</c:f>
              <c:numCache>
                <c:formatCode>0.0</c:formatCode>
                <c:ptCount val="6"/>
                <c:pt idx="0">
                  <c:v>77.220600000000005</c:v>
                </c:pt>
                <c:pt idx="1">
                  <c:v>37.2211</c:v>
                </c:pt>
                <c:pt idx="2">
                  <c:v>83.109300000000005</c:v>
                </c:pt>
                <c:pt idx="3">
                  <c:v>74.548900000000003</c:v>
                </c:pt>
                <c:pt idx="4">
                  <c:v>72.867199999999997</c:v>
                </c:pt>
                <c:pt idx="5">
                  <c:v>79.0976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0F3-4642-BD55-44FAD18EF2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16941008"/>
        <c:axId val="1416957808"/>
      </c:barChart>
      <c:catAx>
        <c:axId val="141694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16957808"/>
        <c:crosses val="max"/>
        <c:auto val="1"/>
        <c:lblAlgn val="ctr"/>
        <c:lblOffset val="100"/>
        <c:noMultiLvlLbl val="0"/>
      </c:catAx>
      <c:valAx>
        <c:axId val="1416957808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1694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Liberacion Pirita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'Liberación Ro'!$E$3</c:f>
              <c:strCache>
                <c:ptCount val="1"/>
                <c:pt idx="0">
                  <c:v>&lt;10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'Liberación Ro'!$D$34:$D$39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Ro'!$E$34:$E$39</c:f>
              <c:numCache>
                <c:formatCode>0.0</c:formatCode>
                <c:ptCount val="6"/>
                <c:pt idx="0">
                  <c:v>100</c:v>
                </c:pt>
                <c:pt idx="1">
                  <c:v>19.634699999999999</c:v>
                </c:pt>
                <c:pt idx="2">
                  <c:v>0</c:v>
                </c:pt>
                <c:pt idx="3">
                  <c:v>38.8889</c:v>
                </c:pt>
                <c:pt idx="4">
                  <c:v>70.700599999999994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DE-42E7-A6CE-FB1B66786165}"/>
            </c:ext>
          </c:extLst>
        </c:ser>
        <c:ser>
          <c:idx val="1"/>
          <c:order val="1"/>
          <c:tx>
            <c:strRef>
              <c:f>'Liberación Ro'!$F$3</c:f>
              <c:strCache>
                <c:ptCount val="1"/>
                <c:pt idx="0">
                  <c:v>≥10&lt;20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'Liberación Ro'!$D$34:$D$39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Ro'!$F$34:$F$39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29.299399999999999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DE-42E7-A6CE-FB1B66786165}"/>
            </c:ext>
          </c:extLst>
        </c:ser>
        <c:ser>
          <c:idx val="2"/>
          <c:order val="2"/>
          <c:tx>
            <c:strRef>
              <c:f>'Liberación Ro'!$G$3</c:f>
              <c:strCache>
                <c:ptCount val="1"/>
                <c:pt idx="0">
                  <c:v>≥20&lt;30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'Liberación Ro'!$D$34:$D$39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Ro'!$G$34:$G$39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DE-42E7-A6CE-FB1B66786165}"/>
            </c:ext>
          </c:extLst>
        </c:ser>
        <c:ser>
          <c:idx val="3"/>
          <c:order val="3"/>
          <c:tx>
            <c:strRef>
              <c:f>'Liberación Ro'!$H$3</c:f>
              <c:strCache>
                <c:ptCount val="1"/>
                <c:pt idx="0">
                  <c:v>≥30&lt;40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'Liberación Ro'!$D$34:$D$39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Ro'!$H$34:$H$39</c:f>
              <c:numCache>
                <c:formatCode>0.0</c:formatCode>
                <c:ptCount val="6"/>
                <c:pt idx="0">
                  <c:v>0</c:v>
                </c:pt>
                <c:pt idx="1">
                  <c:v>80.365300000000005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DE-42E7-A6CE-FB1B66786165}"/>
            </c:ext>
          </c:extLst>
        </c:ser>
        <c:ser>
          <c:idx val="4"/>
          <c:order val="4"/>
          <c:tx>
            <c:strRef>
              <c:f>'Liberación Ro'!$I$3</c:f>
              <c:strCache>
                <c:ptCount val="1"/>
                <c:pt idx="0">
                  <c:v>≥40&lt;50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'Liberación Ro'!$D$34:$D$39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Ro'!$I$34:$I$39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DE-42E7-A6CE-FB1B66786165}"/>
            </c:ext>
          </c:extLst>
        </c:ser>
        <c:ser>
          <c:idx val="5"/>
          <c:order val="5"/>
          <c:tx>
            <c:strRef>
              <c:f>'Liberación Ro'!$J$3</c:f>
              <c:strCache>
                <c:ptCount val="1"/>
                <c:pt idx="0">
                  <c:v>≥50&lt;60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'Liberación Ro'!$D$34:$D$39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Ro'!$J$34:$J$39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ADE-42E7-A6CE-FB1B66786165}"/>
            </c:ext>
          </c:extLst>
        </c:ser>
        <c:ser>
          <c:idx val="6"/>
          <c:order val="6"/>
          <c:tx>
            <c:strRef>
              <c:f>'Liberación Ro'!$K$3</c:f>
              <c:strCache>
                <c:ptCount val="1"/>
                <c:pt idx="0">
                  <c:v>≥60&lt;70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'Liberación Ro'!$D$34:$D$39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Ro'!$K$34:$K$39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ADE-42E7-A6CE-FB1B66786165}"/>
            </c:ext>
          </c:extLst>
        </c:ser>
        <c:ser>
          <c:idx val="7"/>
          <c:order val="7"/>
          <c:tx>
            <c:strRef>
              <c:f>'Liberación Ro'!$L$3</c:f>
              <c:strCache>
                <c:ptCount val="1"/>
                <c:pt idx="0">
                  <c:v>≥70&lt;80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'Liberación Ro'!$D$34:$D$39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Ro'!$L$34:$L$39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ADE-42E7-A6CE-FB1B66786165}"/>
            </c:ext>
          </c:extLst>
        </c:ser>
        <c:ser>
          <c:idx val="8"/>
          <c:order val="8"/>
          <c:tx>
            <c:strRef>
              <c:f>'Liberación Ro'!$M$3</c:f>
              <c:strCache>
                <c:ptCount val="1"/>
                <c:pt idx="0">
                  <c:v>≥80&lt;90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'Liberación Ro'!$D$34:$D$39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Ro'!$M$34:$M$39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ADE-42E7-A6CE-FB1B66786165}"/>
            </c:ext>
          </c:extLst>
        </c:ser>
        <c:ser>
          <c:idx val="9"/>
          <c:order val="9"/>
          <c:tx>
            <c:strRef>
              <c:f>'Liberación Ro'!$N$3</c:f>
              <c:strCache>
                <c:ptCount val="1"/>
                <c:pt idx="0">
                  <c:v>≥90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'Liberación Ro'!$D$34:$D$39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Ro'!$N$34:$N$39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100</c:v>
                </c:pt>
                <c:pt idx="3">
                  <c:v>61.1111</c:v>
                </c:pt>
                <c:pt idx="4">
                  <c:v>0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ADE-42E7-A6CE-FB1B66786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16941008"/>
        <c:axId val="1416957808"/>
      </c:barChart>
      <c:catAx>
        <c:axId val="141694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16957808"/>
        <c:crosses val="max"/>
        <c:auto val="1"/>
        <c:lblAlgn val="ctr"/>
        <c:lblOffset val="100"/>
        <c:noMultiLvlLbl val="0"/>
      </c:catAx>
      <c:valAx>
        <c:axId val="1416957808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1694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Liberacion</a:t>
            </a:r>
            <a:r>
              <a:rPr lang="es-CL" baseline="0"/>
              <a:t> Calcopirita</a:t>
            </a:r>
            <a:endParaRPr lang="es-CL"/>
          </a:p>
        </c:rich>
      </c:tx>
      <c:layout>
        <c:manualLayout>
          <c:xMode val="edge"/>
          <c:yMode val="edge"/>
          <c:x val="0.25896522309711284"/>
          <c:y val="2.35980088483242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'Liberación Ro'!$E$3</c:f>
              <c:strCache>
                <c:ptCount val="1"/>
                <c:pt idx="0">
                  <c:v>&lt;10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'Liberación Ro'!$D$4:$D$9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Ro'!$E$4:$E$9</c:f>
              <c:numCache>
                <c:formatCode>0.0</c:formatCode>
                <c:ptCount val="6"/>
                <c:pt idx="0">
                  <c:v>21.559200000000001</c:v>
                </c:pt>
                <c:pt idx="1">
                  <c:v>50.328400000000002</c:v>
                </c:pt>
                <c:pt idx="2">
                  <c:v>1.6637999999999999</c:v>
                </c:pt>
                <c:pt idx="3">
                  <c:v>18.187100000000001</c:v>
                </c:pt>
                <c:pt idx="4">
                  <c:v>42.539299999999997</c:v>
                </c:pt>
                <c:pt idx="5">
                  <c:v>1.8408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7E-4ECC-9C1E-2B8E47A045EB}"/>
            </c:ext>
          </c:extLst>
        </c:ser>
        <c:ser>
          <c:idx val="1"/>
          <c:order val="1"/>
          <c:tx>
            <c:strRef>
              <c:f>'Liberación Ro'!$F$3</c:f>
              <c:strCache>
                <c:ptCount val="1"/>
                <c:pt idx="0">
                  <c:v>≥10&lt;20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'Liberación Ro'!$D$4:$D$9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Ro'!$F$4:$F$9</c:f>
              <c:numCache>
                <c:formatCode>0.0</c:formatCode>
                <c:ptCount val="6"/>
                <c:pt idx="0">
                  <c:v>21.553699999999999</c:v>
                </c:pt>
                <c:pt idx="1">
                  <c:v>14.849</c:v>
                </c:pt>
                <c:pt idx="2">
                  <c:v>1.7815000000000001</c:v>
                </c:pt>
                <c:pt idx="3">
                  <c:v>7.9512999999999998</c:v>
                </c:pt>
                <c:pt idx="4">
                  <c:v>10.8202</c:v>
                </c:pt>
                <c:pt idx="5">
                  <c:v>2.0585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7E-4ECC-9C1E-2B8E47A045EB}"/>
            </c:ext>
          </c:extLst>
        </c:ser>
        <c:ser>
          <c:idx val="2"/>
          <c:order val="2"/>
          <c:tx>
            <c:strRef>
              <c:f>'Liberación Ro'!$G$3</c:f>
              <c:strCache>
                <c:ptCount val="1"/>
                <c:pt idx="0">
                  <c:v>≥20&lt;30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'Liberación Ro'!$D$4:$D$9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Ro'!$G$4:$G$9</c:f>
              <c:numCache>
                <c:formatCode>0.0</c:formatCode>
                <c:ptCount val="6"/>
                <c:pt idx="0">
                  <c:v>6.7423999999999999</c:v>
                </c:pt>
                <c:pt idx="1">
                  <c:v>26.4663</c:v>
                </c:pt>
                <c:pt idx="2">
                  <c:v>1.2444999999999999</c:v>
                </c:pt>
                <c:pt idx="3">
                  <c:v>2.617</c:v>
                </c:pt>
                <c:pt idx="4">
                  <c:v>18.713699999999999</c:v>
                </c:pt>
                <c:pt idx="5">
                  <c:v>1.5903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7E-4ECC-9C1E-2B8E47A045EB}"/>
            </c:ext>
          </c:extLst>
        </c:ser>
        <c:ser>
          <c:idx val="3"/>
          <c:order val="3"/>
          <c:tx>
            <c:strRef>
              <c:f>'Liberación Ro'!$H$3</c:f>
              <c:strCache>
                <c:ptCount val="1"/>
                <c:pt idx="0">
                  <c:v>≥30&lt;40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'Liberación Ro'!$D$4:$D$9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Ro'!$H$4:$H$9</c:f>
              <c:numCache>
                <c:formatCode>0.0</c:formatCode>
                <c:ptCount val="6"/>
                <c:pt idx="0">
                  <c:v>2.7955000000000001</c:v>
                </c:pt>
                <c:pt idx="1">
                  <c:v>0</c:v>
                </c:pt>
                <c:pt idx="2">
                  <c:v>3.2134999999999998</c:v>
                </c:pt>
                <c:pt idx="3">
                  <c:v>1.0206</c:v>
                </c:pt>
                <c:pt idx="4">
                  <c:v>10.603</c:v>
                </c:pt>
                <c:pt idx="5">
                  <c:v>2.7244000000000002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7E-4ECC-9C1E-2B8E47A045EB}"/>
            </c:ext>
          </c:extLst>
        </c:ser>
        <c:ser>
          <c:idx val="4"/>
          <c:order val="4"/>
          <c:tx>
            <c:strRef>
              <c:f>'Liberación Ro'!$I$3</c:f>
              <c:strCache>
                <c:ptCount val="1"/>
                <c:pt idx="0">
                  <c:v>≥40&lt;50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'Liberación Ro'!$D$4:$D$9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Ro'!$I$4:$I$9</c:f>
              <c:numCache>
                <c:formatCode>0.0</c:formatCode>
                <c:ptCount val="6"/>
                <c:pt idx="0">
                  <c:v>9.0135000000000005</c:v>
                </c:pt>
                <c:pt idx="1">
                  <c:v>0</c:v>
                </c:pt>
                <c:pt idx="2">
                  <c:v>1.2572000000000001</c:v>
                </c:pt>
                <c:pt idx="3">
                  <c:v>0.83750000000000002</c:v>
                </c:pt>
                <c:pt idx="4">
                  <c:v>5.1840000000000002</c:v>
                </c:pt>
                <c:pt idx="5">
                  <c:v>8.6277000000000008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7E-4ECC-9C1E-2B8E47A045EB}"/>
            </c:ext>
          </c:extLst>
        </c:ser>
        <c:ser>
          <c:idx val="5"/>
          <c:order val="5"/>
          <c:tx>
            <c:strRef>
              <c:f>'Liberación Ro'!$J$3</c:f>
              <c:strCache>
                <c:ptCount val="1"/>
                <c:pt idx="0">
                  <c:v>≥50&lt;60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'Liberación Ro'!$D$4:$D$9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Ro'!$J$4:$J$9</c:f>
              <c:numCache>
                <c:formatCode>0.0</c:formatCode>
                <c:ptCount val="6"/>
                <c:pt idx="0">
                  <c:v>4.0932000000000004</c:v>
                </c:pt>
                <c:pt idx="1">
                  <c:v>0.48089999999999999</c:v>
                </c:pt>
                <c:pt idx="2">
                  <c:v>4.6208999999999998</c:v>
                </c:pt>
                <c:pt idx="3">
                  <c:v>2.7543000000000002</c:v>
                </c:pt>
                <c:pt idx="4">
                  <c:v>0.14599999999999999</c:v>
                </c:pt>
                <c:pt idx="5">
                  <c:v>4.7069000000000001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07E-4ECC-9C1E-2B8E47A045EB}"/>
            </c:ext>
          </c:extLst>
        </c:ser>
        <c:ser>
          <c:idx val="6"/>
          <c:order val="6"/>
          <c:tx>
            <c:strRef>
              <c:f>'Liberación Ro'!$K$3</c:f>
              <c:strCache>
                <c:ptCount val="1"/>
                <c:pt idx="0">
                  <c:v>≥60&lt;70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'Liberación Ro'!$D$4:$D$9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Ro'!$K$4:$K$9</c:f>
              <c:numCache>
                <c:formatCode>0.0</c:formatCode>
                <c:ptCount val="6"/>
                <c:pt idx="0">
                  <c:v>3.7978000000000001</c:v>
                </c:pt>
                <c:pt idx="1">
                  <c:v>3.2463000000000002</c:v>
                </c:pt>
                <c:pt idx="2">
                  <c:v>5.1570999999999998</c:v>
                </c:pt>
                <c:pt idx="3">
                  <c:v>7.3105000000000002</c:v>
                </c:pt>
                <c:pt idx="4">
                  <c:v>0</c:v>
                </c:pt>
                <c:pt idx="5">
                  <c:v>2.6703999999999999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07E-4ECC-9C1E-2B8E47A045EB}"/>
            </c:ext>
          </c:extLst>
        </c:ser>
        <c:ser>
          <c:idx val="7"/>
          <c:order val="7"/>
          <c:tx>
            <c:strRef>
              <c:f>'Liberación Ro'!$L$3</c:f>
              <c:strCache>
                <c:ptCount val="1"/>
                <c:pt idx="0">
                  <c:v>≥70&lt;80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'Liberación Ro'!$D$4:$D$9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Ro'!$L$4:$L$9</c:f>
              <c:numCache>
                <c:formatCode>0.0</c:formatCode>
                <c:ptCount val="6"/>
                <c:pt idx="0">
                  <c:v>2.7534000000000001</c:v>
                </c:pt>
                <c:pt idx="1">
                  <c:v>0</c:v>
                </c:pt>
                <c:pt idx="2">
                  <c:v>5.1326000000000001</c:v>
                </c:pt>
                <c:pt idx="3">
                  <c:v>5.9687000000000001</c:v>
                </c:pt>
                <c:pt idx="4">
                  <c:v>0</c:v>
                </c:pt>
                <c:pt idx="5">
                  <c:v>4.3819999999999997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07E-4ECC-9C1E-2B8E47A045EB}"/>
            </c:ext>
          </c:extLst>
        </c:ser>
        <c:ser>
          <c:idx val="8"/>
          <c:order val="8"/>
          <c:tx>
            <c:strRef>
              <c:f>'Liberación Ro'!$M$3</c:f>
              <c:strCache>
                <c:ptCount val="1"/>
                <c:pt idx="0">
                  <c:v>≥80&lt;90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'Liberación Ro'!$D$4:$D$9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Ro'!$M$4:$M$9</c:f>
              <c:numCache>
                <c:formatCode>0.0</c:formatCode>
                <c:ptCount val="6"/>
                <c:pt idx="0">
                  <c:v>2.6402999999999999</c:v>
                </c:pt>
                <c:pt idx="1">
                  <c:v>0.36070000000000002</c:v>
                </c:pt>
                <c:pt idx="2">
                  <c:v>12.6714</c:v>
                </c:pt>
                <c:pt idx="3">
                  <c:v>4.7987000000000002</c:v>
                </c:pt>
                <c:pt idx="4">
                  <c:v>0</c:v>
                </c:pt>
                <c:pt idx="5">
                  <c:v>6.2709000000000001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07E-4ECC-9C1E-2B8E47A045EB}"/>
            </c:ext>
          </c:extLst>
        </c:ser>
        <c:ser>
          <c:idx val="9"/>
          <c:order val="9"/>
          <c:tx>
            <c:strRef>
              <c:f>'Liberación Ro'!$N$3</c:f>
              <c:strCache>
                <c:ptCount val="1"/>
                <c:pt idx="0">
                  <c:v>≥90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'Liberación Ro'!$D$4:$D$9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Ro'!$N$4:$N$9</c:f>
              <c:numCache>
                <c:formatCode>0.0</c:formatCode>
                <c:ptCount val="6"/>
                <c:pt idx="0">
                  <c:v>25.050999999999998</c:v>
                </c:pt>
                <c:pt idx="1">
                  <c:v>4.2683</c:v>
                </c:pt>
                <c:pt idx="2">
                  <c:v>63.2575</c:v>
                </c:pt>
                <c:pt idx="3">
                  <c:v>48.554200000000002</c:v>
                </c:pt>
                <c:pt idx="4">
                  <c:v>11.9938</c:v>
                </c:pt>
                <c:pt idx="5">
                  <c:v>65.127899999999997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07E-4ECC-9C1E-2B8E47A04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16941008"/>
        <c:axId val="1416957808"/>
      </c:barChart>
      <c:catAx>
        <c:axId val="141694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16957808"/>
        <c:crosses val="max"/>
        <c:auto val="1"/>
        <c:lblAlgn val="ctr"/>
        <c:lblOffset val="100"/>
        <c:noMultiLvlLbl val="0"/>
      </c:catAx>
      <c:valAx>
        <c:axId val="1416957808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1694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Liberacion Covelina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'Liberación Ro'!$E$3</c:f>
              <c:strCache>
                <c:ptCount val="1"/>
                <c:pt idx="0">
                  <c:v>&lt;10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'Liberación Ro'!$D$22:$D$27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Ro'!$E$22:$E$27</c:f>
              <c:numCache>
                <c:formatCode>0.0</c:formatCode>
                <c:ptCount val="6"/>
                <c:pt idx="0">
                  <c:v>21.167899999999999</c:v>
                </c:pt>
                <c:pt idx="1">
                  <c:v>60.563400000000001</c:v>
                </c:pt>
                <c:pt idx="2">
                  <c:v>0.84389999999999998</c:v>
                </c:pt>
                <c:pt idx="3">
                  <c:v>4.4728000000000003</c:v>
                </c:pt>
                <c:pt idx="4">
                  <c:v>14.6341</c:v>
                </c:pt>
                <c:pt idx="5">
                  <c:v>3.2258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3A-4469-BBD4-FC28E6660CCF}"/>
            </c:ext>
          </c:extLst>
        </c:ser>
        <c:ser>
          <c:idx val="1"/>
          <c:order val="1"/>
          <c:tx>
            <c:strRef>
              <c:f>'Liberación Ro'!$F$3</c:f>
              <c:strCache>
                <c:ptCount val="1"/>
                <c:pt idx="0">
                  <c:v>≥10&lt;20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'Liberación Ro'!$D$22:$D$27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Ro'!$F$22:$F$27</c:f>
              <c:numCache>
                <c:formatCode>0.0</c:formatCode>
                <c:ptCount val="6"/>
                <c:pt idx="0">
                  <c:v>13.1387</c:v>
                </c:pt>
                <c:pt idx="1">
                  <c:v>0</c:v>
                </c:pt>
                <c:pt idx="2">
                  <c:v>2.9535999999999998</c:v>
                </c:pt>
                <c:pt idx="3">
                  <c:v>24.281199999999998</c:v>
                </c:pt>
                <c:pt idx="4">
                  <c:v>12.1951</c:v>
                </c:pt>
                <c:pt idx="5">
                  <c:v>2.2176999999999998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3A-4469-BBD4-FC28E6660CCF}"/>
            </c:ext>
          </c:extLst>
        </c:ser>
        <c:ser>
          <c:idx val="2"/>
          <c:order val="2"/>
          <c:tx>
            <c:strRef>
              <c:f>'Liberación Ro'!$G$3</c:f>
              <c:strCache>
                <c:ptCount val="1"/>
                <c:pt idx="0">
                  <c:v>≥20&lt;30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'Liberación Ro'!$D$22:$D$27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Ro'!$G$22:$G$27</c:f>
              <c:numCache>
                <c:formatCode>0.0</c:formatCode>
                <c:ptCount val="6"/>
                <c:pt idx="0">
                  <c:v>23.357700000000001</c:v>
                </c:pt>
                <c:pt idx="1">
                  <c:v>0</c:v>
                </c:pt>
                <c:pt idx="2">
                  <c:v>0</c:v>
                </c:pt>
                <c:pt idx="3">
                  <c:v>4.1534000000000004</c:v>
                </c:pt>
                <c:pt idx="4">
                  <c:v>53.658499999999997</c:v>
                </c:pt>
                <c:pt idx="5">
                  <c:v>3.2258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3A-4469-BBD4-FC28E6660CCF}"/>
            </c:ext>
          </c:extLst>
        </c:ser>
        <c:ser>
          <c:idx val="3"/>
          <c:order val="3"/>
          <c:tx>
            <c:strRef>
              <c:f>'Liberación Ro'!$H$3</c:f>
              <c:strCache>
                <c:ptCount val="1"/>
                <c:pt idx="0">
                  <c:v>≥30&lt;40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'Liberación Ro'!$D$22:$D$27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Ro'!$H$22:$H$27</c:f>
              <c:numCache>
                <c:formatCode>0.0</c:formatCode>
                <c:ptCount val="6"/>
                <c:pt idx="0">
                  <c:v>0.72989999999999999</c:v>
                </c:pt>
                <c:pt idx="1">
                  <c:v>11.2676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3A-4469-BBD4-FC28E6660CCF}"/>
            </c:ext>
          </c:extLst>
        </c:ser>
        <c:ser>
          <c:idx val="4"/>
          <c:order val="4"/>
          <c:tx>
            <c:strRef>
              <c:f>'Liberación Ro'!$I$3</c:f>
              <c:strCache>
                <c:ptCount val="1"/>
                <c:pt idx="0">
                  <c:v>≥40&lt;50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'Liberación Ro'!$D$22:$D$27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Ro'!$I$22:$I$27</c:f>
              <c:numCache>
                <c:formatCode>0.0</c:formatCode>
                <c:ptCount val="6"/>
                <c:pt idx="0">
                  <c:v>2.1898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1.6129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3A-4469-BBD4-FC28E6660CCF}"/>
            </c:ext>
          </c:extLst>
        </c:ser>
        <c:ser>
          <c:idx val="5"/>
          <c:order val="5"/>
          <c:tx>
            <c:strRef>
              <c:f>'Liberación Ro'!$J$3</c:f>
              <c:strCache>
                <c:ptCount val="1"/>
                <c:pt idx="0">
                  <c:v>≥50&lt;60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'Liberación Ro'!$D$22:$D$27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Ro'!$J$22:$J$27</c:f>
              <c:numCache>
                <c:formatCode>0.0</c:formatCode>
                <c:ptCount val="6"/>
                <c:pt idx="0">
                  <c:v>10.9489</c:v>
                </c:pt>
                <c:pt idx="1">
                  <c:v>0</c:v>
                </c:pt>
                <c:pt idx="2">
                  <c:v>8.4388000000000005</c:v>
                </c:pt>
                <c:pt idx="3">
                  <c:v>50.159700000000001</c:v>
                </c:pt>
                <c:pt idx="4">
                  <c:v>0</c:v>
                </c:pt>
                <c:pt idx="5">
                  <c:v>11.491899999999999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93A-4469-BBD4-FC28E6660CCF}"/>
            </c:ext>
          </c:extLst>
        </c:ser>
        <c:ser>
          <c:idx val="6"/>
          <c:order val="6"/>
          <c:tx>
            <c:strRef>
              <c:f>'Liberación Ro'!$K$3</c:f>
              <c:strCache>
                <c:ptCount val="1"/>
                <c:pt idx="0">
                  <c:v>≥60&lt;70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'Liberación Ro'!$D$22:$D$27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Ro'!$K$22:$K$27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6.3291000000000004</c:v>
                </c:pt>
                <c:pt idx="3">
                  <c:v>0</c:v>
                </c:pt>
                <c:pt idx="4">
                  <c:v>0</c:v>
                </c:pt>
                <c:pt idx="5">
                  <c:v>1.0081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93A-4469-BBD4-FC28E6660CCF}"/>
            </c:ext>
          </c:extLst>
        </c:ser>
        <c:ser>
          <c:idx val="7"/>
          <c:order val="7"/>
          <c:tx>
            <c:strRef>
              <c:f>'Liberación Ro'!$L$3</c:f>
              <c:strCache>
                <c:ptCount val="1"/>
                <c:pt idx="0">
                  <c:v>≥70&lt;80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'Liberación Ro'!$D$22:$D$27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Ro'!$L$22:$L$27</c:f>
              <c:numCache>
                <c:formatCode>0.0</c:formatCode>
                <c:ptCount val="6"/>
                <c:pt idx="0">
                  <c:v>6.5693000000000001</c:v>
                </c:pt>
                <c:pt idx="1">
                  <c:v>0</c:v>
                </c:pt>
                <c:pt idx="2">
                  <c:v>17.721499999999999</c:v>
                </c:pt>
                <c:pt idx="3">
                  <c:v>0</c:v>
                </c:pt>
                <c:pt idx="4">
                  <c:v>17.0732</c:v>
                </c:pt>
                <c:pt idx="5">
                  <c:v>4.6371000000000002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93A-4469-BBD4-FC28E6660CCF}"/>
            </c:ext>
          </c:extLst>
        </c:ser>
        <c:ser>
          <c:idx val="8"/>
          <c:order val="8"/>
          <c:tx>
            <c:strRef>
              <c:f>'Liberación Ro'!$M$3</c:f>
              <c:strCache>
                <c:ptCount val="1"/>
                <c:pt idx="0">
                  <c:v>≥80&lt;90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'Liberación Ro'!$D$22:$D$27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Ro'!$M$22:$M$27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18.1435</c:v>
                </c:pt>
                <c:pt idx="3">
                  <c:v>2.8754</c:v>
                </c:pt>
                <c:pt idx="4">
                  <c:v>0</c:v>
                </c:pt>
                <c:pt idx="5">
                  <c:v>4.0323000000000002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93A-4469-BBD4-FC28E6660CCF}"/>
            </c:ext>
          </c:extLst>
        </c:ser>
        <c:ser>
          <c:idx val="9"/>
          <c:order val="9"/>
          <c:tx>
            <c:strRef>
              <c:f>'Liberación Ro'!$N$3</c:f>
              <c:strCache>
                <c:ptCount val="1"/>
                <c:pt idx="0">
                  <c:v>≥90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'Liberación Ro'!$D$22:$D$27</c:f>
              <c:strCache>
                <c:ptCount val="6"/>
                <c:pt idx="0">
                  <c:v>Alim Ro </c:v>
                </c:pt>
                <c:pt idx="1">
                  <c:v>Rel Ro</c:v>
                </c:pt>
                <c:pt idx="2">
                  <c:v>Conc Ro </c:v>
                </c:pt>
                <c:pt idx="3">
                  <c:v>Alim Ro </c:v>
                </c:pt>
                <c:pt idx="4">
                  <c:v>Rel Ro</c:v>
                </c:pt>
                <c:pt idx="5">
                  <c:v>Conc Ro </c:v>
                </c:pt>
              </c:strCache>
            </c:strRef>
          </c:cat>
          <c:val>
            <c:numRef>
              <c:f>'Liberación Ro'!$N$22:$N$27</c:f>
              <c:numCache>
                <c:formatCode>0.0</c:formatCode>
                <c:ptCount val="6"/>
                <c:pt idx="0">
                  <c:v>21.8978</c:v>
                </c:pt>
                <c:pt idx="1">
                  <c:v>28.169</c:v>
                </c:pt>
                <c:pt idx="2">
                  <c:v>45.569600000000001</c:v>
                </c:pt>
                <c:pt idx="3">
                  <c:v>14.057499999999999</c:v>
                </c:pt>
                <c:pt idx="4">
                  <c:v>2.4390000000000001</c:v>
                </c:pt>
                <c:pt idx="5">
                  <c:v>67.540300000000002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93A-4469-BBD4-FC28E6660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16941008"/>
        <c:axId val="1416957808"/>
      </c:barChart>
      <c:catAx>
        <c:axId val="141694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16957808"/>
        <c:crosses val="max"/>
        <c:auto val="1"/>
        <c:lblAlgn val="ctr"/>
        <c:lblOffset val="100"/>
        <c:noMultiLvlLbl val="0"/>
      </c:catAx>
      <c:valAx>
        <c:axId val="1416957808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1694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ALIMENTACION RO DIA 26-08-25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'Asociacion Mine Ro'!$AJ$2</c:f>
              <c:strCache>
                <c:ptCount val="1"/>
                <c:pt idx="0">
                  <c:v>Partículas libres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'Asociacion Mine Ro'!$AK$1:$AO$1</c:f>
              <c:strCache>
                <c:ptCount val="5"/>
                <c:pt idx="0">
                  <c:v>Bornita</c:v>
                </c:pt>
                <c:pt idx="1">
                  <c:v>Calcosina/digenita</c:v>
                </c:pt>
                <c:pt idx="2">
                  <c:v>Calcopirita</c:v>
                </c:pt>
                <c:pt idx="3">
                  <c:v>Pirita</c:v>
                </c:pt>
                <c:pt idx="4">
                  <c:v>Covelina</c:v>
                </c:pt>
              </c:strCache>
            </c:strRef>
          </c:cat>
          <c:val>
            <c:numRef>
              <c:f>'Asociacion Mine Ro'!$AK$2:$AO$2</c:f>
              <c:numCache>
                <c:formatCode>General</c:formatCode>
                <c:ptCount val="5"/>
                <c:pt idx="0">
                  <c:v>29.5</c:v>
                </c:pt>
                <c:pt idx="1">
                  <c:v>27.67</c:v>
                </c:pt>
                <c:pt idx="2">
                  <c:v>26.37</c:v>
                </c:pt>
                <c:pt idx="3">
                  <c:v>57.71</c:v>
                </c:pt>
                <c:pt idx="4">
                  <c:v>21.9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A3-4AC5-BD96-D4542C53B87B}"/>
            </c:ext>
          </c:extLst>
        </c:ser>
        <c:ser>
          <c:idx val="1"/>
          <c:order val="1"/>
          <c:tx>
            <c:strRef>
              <c:f>'Asociacion Mine Ro'!$AJ$3</c:f>
              <c:strCache>
                <c:ptCount val="1"/>
                <c:pt idx="0">
                  <c:v>Partículas binarias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'Asociacion Mine Ro'!$AK$1:$AO$1</c:f>
              <c:strCache>
                <c:ptCount val="5"/>
                <c:pt idx="0">
                  <c:v>Bornita</c:v>
                </c:pt>
                <c:pt idx="1">
                  <c:v>Calcosina/digenita</c:v>
                </c:pt>
                <c:pt idx="2">
                  <c:v>Calcopirita</c:v>
                </c:pt>
                <c:pt idx="3">
                  <c:v>Pirita</c:v>
                </c:pt>
                <c:pt idx="4">
                  <c:v>Covelina</c:v>
                </c:pt>
              </c:strCache>
            </c:strRef>
          </c:cat>
          <c:val>
            <c:numRef>
              <c:f>'Asociacion Mine Ro'!$AK$3:$AO$3</c:f>
              <c:numCache>
                <c:formatCode>General</c:formatCode>
                <c:ptCount val="5"/>
                <c:pt idx="0">
                  <c:v>0</c:v>
                </c:pt>
                <c:pt idx="1">
                  <c:v>4.3</c:v>
                </c:pt>
                <c:pt idx="2">
                  <c:v>27.31</c:v>
                </c:pt>
                <c:pt idx="3">
                  <c:v>26.05</c:v>
                </c:pt>
                <c:pt idx="4">
                  <c:v>20.440000000000001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A3-4AC5-BD96-D4542C53B87B}"/>
            </c:ext>
          </c:extLst>
        </c:ser>
        <c:ser>
          <c:idx val="2"/>
          <c:order val="2"/>
          <c:tx>
            <c:strRef>
              <c:f>'Asociacion Mine Ro'!$AJ$4</c:f>
              <c:strCache>
                <c:ptCount val="1"/>
                <c:pt idx="0">
                  <c:v>Partículas complejas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'Asociacion Mine Ro'!$AK$1:$AO$1</c:f>
              <c:strCache>
                <c:ptCount val="5"/>
                <c:pt idx="0">
                  <c:v>Bornita</c:v>
                </c:pt>
                <c:pt idx="1">
                  <c:v>Calcosina/digenita</c:v>
                </c:pt>
                <c:pt idx="2">
                  <c:v>Calcopirita</c:v>
                </c:pt>
                <c:pt idx="3">
                  <c:v>Pirita</c:v>
                </c:pt>
                <c:pt idx="4">
                  <c:v>Covelina</c:v>
                </c:pt>
              </c:strCache>
            </c:strRef>
          </c:cat>
          <c:val>
            <c:numRef>
              <c:f>'Asociacion Mine Ro'!$AK$4:$AO$4</c:f>
              <c:numCache>
                <c:formatCode>General</c:formatCode>
                <c:ptCount val="5"/>
                <c:pt idx="0">
                  <c:v>70.5</c:v>
                </c:pt>
                <c:pt idx="1">
                  <c:v>68.03</c:v>
                </c:pt>
                <c:pt idx="2">
                  <c:v>46.33</c:v>
                </c:pt>
                <c:pt idx="3">
                  <c:v>16.239999999999998</c:v>
                </c:pt>
                <c:pt idx="4">
                  <c:v>57.66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A3-4AC5-BD96-D4542C53B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5605376"/>
        <c:axId val="915606816"/>
      </c:barChart>
      <c:catAx>
        <c:axId val="91560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15606816"/>
        <c:crosses val="autoZero"/>
        <c:auto val="1"/>
        <c:lblAlgn val="ctr"/>
        <c:lblOffset val="100"/>
        <c:noMultiLvlLbl val="0"/>
      </c:catAx>
      <c:valAx>
        <c:axId val="91560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1560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RELAVE DIA 26-08-25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'Asociacion Mine Ro'!$AJ$25</c:f>
              <c:strCache>
                <c:ptCount val="1"/>
                <c:pt idx="0">
                  <c:v>Partículas libres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'Asociacion Mine Ro'!$AK$1:$AO$1</c:f>
              <c:strCache>
                <c:ptCount val="5"/>
                <c:pt idx="0">
                  <c:v>Bornita</c:v>
                </c:pt>
                <c:pt idx="1">
                  <c:v>Calcosina/digenita</c:v>
                </c:pt>
                <c:pt idx="2">
                  <c:v>Calcopirita</c:v>
                </c:pt>
                <c:pt idx="3">
                  <c:v>Pirita</c:v>
                </c:pt>
                <c:pt idx="4">
                  <c:v>Covelina</c:v>
                </c:pt>
              </c:strCache>
            </c:strRef>
          </c:cat>
          <c:val>
            <c:numRef>
              <c:f>'Asociacion Mine Ro'!$AK$25:$AO$25</c:f>
              <c:numCache>
                <c:formatCode>General</c:formatCode>
                <c:ptCount val="5"/>
                <c:pt idx="0">
                  <c:v>0.55000000000000004</c:v>
                </c:pt>
                <c:pt idx="1">
                  <c:v>0</c:v>
                </c:pt>
                <c:pt idx="2">
                  <c:v>1.49</c:v>
                </c:pt>
                <c:pt idx="3">
                  <c:v>26.68</c:v>
                </c:pt>
                <c:pt idx="4">
                  <c:v>38.46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D1-4B4F-AEE4-6C26BF70325E}"/>
            </c:ext>
          </c:extLst>
        </c:ser>
        <c:ser>
          <c:idx val="1"/>
          <c:order val="1"/>
          <c:tx>
            <c:strRef>
              <c:f>'Asociacion Mine Ro'!$AJ$26</c:f>
              <c:strCache>
                <c:ptCount val="1"/>
                <c:pt idx="0">
                  <c:v>Partículas binarias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'Asociacion Mine Ro'!$AK$1:$AO$1</c:f>
              <c:strCache>
                <c:ptCount val="5"/>
                <c:pt idx="0">
                  <c:v>Bornita</c:v>
                </c:pt>
                <c:pt idx="1">
                  <c:v>Calcosina/digenita</c:v>
                </c:pt>
                <c:pt idx="2">
                  <c:v>Calcopirita</c:v>
                </c:pt>
                <c:pt idx="3">
                  <c:v>Pirita</c:v>
                </c:pt>
                <c:pt idx="4">
                  <c:v>Covelina</c:v>
                </c:pt>
              </c:strCache>
            </c:strRef>
          </c:cat>
          <c:val>
            <c:numRef>
              <c:f>'Asociacion Mine Ro'!$AK$26:$AO$26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9.4600000000000009</c:v>
                </c:pt>
                <c:pt idx="3">
                  <c:v>30.4</c:v>
                </c:pt>
                <c:pt idx="4">
                  <c:v>55.77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D1-4B4F-AEE4-6C26BF70325E}"/>
            </c:ext>
          </c:extLst>
        </c:ser>
        <c:ser>
          <c:idx val="2"/>
          <c:order val="2"/>
          <c:tx>
            <c:strRef>
              <c:f>'Asociacion Mine Ro'!$AJ$27</c:f>
              <c:strCache>
                <c:ptCount val="1"/>
                <c:pt idx="0">
                  <c:v>Partículas complejas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'Asociacion Mine Ro'!$AK$1:$AO$1</c:f>
              <c:strCache>
                <c:ptCount val="5"/>
                <c:pt idx="0">
                  <c:v>Bornita</c:v>
                </c:pt>
                <c:pt idx="1">
                  <c:v>Calcosina/digenita</c:v>
                </c:pt>
                <c:pt idx="2">
                  <c:v>Calcopirita</c:v>
                </c:pt>
                <c:pt idx="3">
                  <c:v>Pirita</c:v>
                </c:pt>
                <c:pt idx="4">
                  <c:v>Covelina</c:v>
                </c:pt>
              </c:strCache>
            </c:strRef>
          </c:cat>
          <c:val>
            <c:numRef>
              <c:f>'Asociacion Mine Ro'!$AK$27:$AO$27</c:f>
              <c:numCache>
                <c:formatCode>General</c:formatCode>
                <c:ptCount val="5"/>
                <c:pt idx="0">
                  <c:v>99.45</c:v>
                </c:pt>
                <c:pt idx="1">
                  <c:v>100</c:v>
                </c:pt>
                <c:pt idx="2">
                  <c:v>89.05</c:v>
                </c:pt>
                <c:pt idx="3">
                  <c:v>42.93</c:v>
                </c:pt>
                <c:pt idx="4">
                  <c:v>5.77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D1-4B4F-AEE4-6C26BF703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5605376"/>
        <c:axId val="915606816"/>
      </c:barChart>
      <c:catAx>
        <c:axId val="91560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15606816"/>
        <c:crosses val="autoZero"/>
        <c:auto val="1"/>
        <c:lblAlgn val="ctr"/>
        <c:lblOffset val="100"/>
        <c:noMultiLvlLbl val="0"/>
      </c:catAx>
      <c:valAx>
        <c:axId val="91560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1560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CONCENTRADO RO DIA 26-08-25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'Asociacion Mine Ro'!$AJ$47</c:f>
              <c:strCache>
                <c:ptCount val="1"/>
                <c:pt idx="0">
                  <c:v>Partículas libres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'Asociacion Mine Ro'!$AK$1:$AO$1</c:f>
              <c:strCache>
                <c:ptCount val="5"/>
                <c:pt idx="0">
                  <c:v>Bornita</c:v>
                </c:pt>
                <c:pt idx="1">
                  <c:v>Calcosina/digenita</c:v>
                </c:pt>
                <c:pt idx="2">
                  <c:v>Calcopirita</c:v>
                </c:pt>
                <c:pt idx="3">
                  <c:v>Pirita</c:v>
                </c:pt>
                <c:pt idx="4">
                  <c:v>Covelina</c:v>
                </c:pt>
              </c:strCache>
            </c:strRef>
          </c:cat>
          <c:val>
            <c:numRef>
              <c:f>'Asociacion Mine Ro'!$AK$47:$AO$47</c:f>
              <c:numCache>
                <c:formatCode>General</c:formatCode>
                <c:ptCount val="5"/>
                <c:pt idx="0">
                  <c:v>33.67</c:v>
                </c:pt>
                <c:pt idx="1">
                  <c:v>38.9</c:v>
                </c:pt>
                <c:pt idx="2">
                  <c:v>52.54</c:v>
                </c:pt>
                <c:pt idx="3">
                  <c:v>65.69</c:v>
                </c:pt>
                <c:pt idx="4">
                  <c:v>40.51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1B-4FC5-B274-4257D55DFF84}"/>
            </c:ext>
          </c:extLst>
        </c:ser>
        <c:ser>
          <c:idx val="1"/>
          <c:order val="1"/>
          <c:tx>
            <c:strRef>
              <c:f>'Asociacion Mine Ro'!$AJ$48</c:f>
              <c:strCache>
                <c:ptCount val="1"/>
                <c:pt idx="0">
                  <c:v>Partículas binarias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'Asociacion Mine Ro'!$AK$1:$AO$1</c:f>
              <c:strCache>
                <c:ptCount val="5"/>
                <c:pt idx="0">
                  <c:v>Bornita</c:v>
                </c:pt>
                <c:pt idx="1">
                  <c:v>Calcosina/digenita</c:v>
                </c:pt>
                <c:pt idx="2">
                  <c:v>Calcopirita</c:v>
                </c:pt>
                <c:pt idx="3">
                  <c:v>Pirita</c:v>
                </c:pt>
                <c:pt idx="4">
                  <c:v>Covelina</c:v>
                </c:pt>
              </c:strCache>
            </c:strRef>
          </c:cat>
          <c:val>
            <c:numRef>
              <c:f>'Asociacion Mine Ro'!$AK$48:$AO$48</c:f>
              <c:numCache>
                <c:formatCode>General</c:formatCode>
                <c:ptCount val="5"/>
                <c:pt idx="0">
                  <c:v>14.1</c:v>
                </c:pt>
                <c:pt idx="1">
                  <c:v>30.36</c:v>
                </c:pt>
                <c:pt idx="2">
                  <c:v>34.75</c:v>
                </c:pt>
                <c:pt idx="3">
                  <c:v>16.78</c:v>
                </c:pt>
                <c:pt idx="4">
                  <c:v>51.48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1B-4FC5-B274-4257D55DFF84}"/>
            </c:ext>
          </c:extLst>
        </c:ser>
        <c:ser>
          <c:idx val="2"/>
          <c:order val="2"/>
          <c:tx>
            <c:strRef>
              <c:f>'Asociacion Mine Ro'!$AJ$49</c:f>
              <c:strCache>
                <c:ptCount val="1"/>
                <c:pt idx="0">
                  <c:v>Partículas complejas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'Asociacion Mine Ro'!$AK$1:$AO$1</c:f>
              <c:strCache>
                <c:ptCount val="5"/>
                <c:pt idx="0">
                  <c:v>Bornita</c:v>
                </c:pt>
                <c:pt idx="1">
                  <c:v>Calcosina/digenita</c:v>
                </c:pt>
                <c:pt idx="2">
                  <c:v>Calcopirita</c:v>
                </c:pt>
                <c:pt idx="3">
                  <c:v>Pirita</c:v>
                </c:pt>
                <c:pt idx="4">
                  <c:v>Covelina</c:v>
                </c:pt>
              </c:strCache>
            </c:strRef>
          </c:cat>
          <c:val>
            <c:numRef>
              <c:f>'Asociacion Mine Ro'!$AK$49:$AO$49</c:f>
              <c:numCache>
                <c:formatCode>General</c:formatCode>
                <c:ptCount val="5"/>
                <c:pt idx="0">
                  <c:v>52.23</c:v>
                </c:pt>
                <c:pt idx="1">
                  <c:v>30.74</c:v>
                </c:pt>
                <c:pt idx="2">
                  <c:v>12.71</c:v>
                </c:pt>
                <c:pt idx="3">
                  <c:v>17.53</c:v>
                </c:pt>
                <c:pt idx="4">
                  <c:v>8.02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1B-4FC5-B274-4257D55DF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5605376"/>
        <c:axId val="915606816"/>
      </c:barChart>
      <c:catAx>
        <c:axId val="91560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15606816"/>
        <c:crosses val="autoZero"/>
        <c:auto val="1"/>
        <c:lblAlgn val="ctr"/>
        <c:lblOffset val="100"/>
        <c:noMultiLvlLbl val="0"/>
      </c:catAx>
      <c:valAx>
        <c:axId val="91560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1560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 ALIMENTACION RO NOCHE 07-08-25 </a:t>
            </a:r>
          </a:p>
        </c:rich>
      </c:tx>
      <c:layout>
        <c:manualLayout>
          <c:xMode val="edge"/>
          <c:yMode val="edge"/>
          <c:x val="0.24977777777777777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'Asociacion Mine Ro'!$AJ$73</c:f>
              <c:strCache>
                <c:ptCount val="1"/>
                <c:pt idx="0">
                  <c:v>Partículas libres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'Asociacion Mine Ro'!$AK$1:$AO$1</c:f>
              <c:strCache>
                <c:ptCount val="5"/>
                <c:pt idx="0">
                  <c:v>Bornita</c:v>
                </c:pt>
                <c:pt idx="1">
                  <c:v>Calcosina/digenita</c:v>
                </c:pt>
                <c:pt idx="2">
                  <c:v>Calcopirita</c:v>
                </c:pt>
                <c:pt idx="3">
                  <c:v>Pirita</c:v>
                </c:pt>
                <c:pt idx="4">
                  <c:v>Covelina</c:v>
                </c:pt>
              </c:strCache>
            </c:strRef>
          </c:cat>
          <c:val>
            <c:numRef>
              <c:f>'Asociacion Mine Ro'!$AK$73:$AO$73</c:f>
              <c:numCache>
                <c:formatCode>General</c:formatCode>
                <c:ptCount val="5"/>
                <c:pt idx="0">
                  <c:v>4.83</c:v>
                </c:pt>
                <c:pt idx="1">
                  <c:v>21.41</c:v>
                </c:pt>
                <c:pt idx="2">
                  <c:v>36.11</c:v>
                </c:pt>
                <c:pt idx="3">
                  <c:v>56.85</c:v>
                </c:pt>
                <c:pt idx="4">
                  <c:v>14.06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1F-44A9-A916-DC320443A4DA}"/>
            </c:ext>
          </c:extLst>
        </c:ser>
        <c:ser>
          <c:idx val="1"/>
          <c:order val="1"/>
          <c:tx>
            <c:strRef>
              <c:f>'Asociacion Mine Ro'!$AJ$74</c:f>
              <c:strCache>
                <c:ptCount val="1"/>
                <c:pt idx="0">
                  <c:v>Partículas binarias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'Asociacion Mine Ro'!$AK$1:$AO$1</c:f>
              <c:strCache>
                <c:ptCount val="5"/>
                <c:pt idx="0">
                  <c:v>Bornita</c:v>
                </c:pt>
                <c:pt idx="1">
                  <c:v>Calcosina/digenita</c:v>
                </c:pt>
                <c:pt idx="2">
                  <c:v>Calcopirita</c:v>
                </c:pt>
                <c:pt idx="3">
                  <c:v>Pirita</c:v>
                </c:pt>
                <c:pt idx="4">
                  <c:v>Covelina</c:v>
                </c:pt>
              </c:strCache>
            </c:strRef>
          </c:cat>
          <c:val>
            <c:numRef>
              <c:f>'Asociacion Mine Ro'!$AK$74:$AO$74</c:f>
              <c:numCache>
                <c:formatCode>General</c:formatCode>
                <c:ptCount val="5"/>
                <c:pt idx="0">
                  <c:v>43.62</c:v>
                </c:pt>
                <c:pt idx="1">
                  <c:v>6.4</c:v>
                </c:pt>
                <c:pt idx="2">
                  <c:v>34.229999999999997</c:v>
                </c:pt>
                <c:pt idx="3">
                  <c:v>16.100000000000001</c:v>
                </c:pt>
                <c:pt idx="4">
                  <c:v>5.1100000000000003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1F-44A9-A916-DC320443A4DA}"/>
            </c:ext>
          </c:extLst>
        </c:ser>
        <c:ser>
          <c:idx val="2"/>
          <c:order val="2"/>
          <c:tx>
            <c:strRef>
              <c:f>'Asociacion Mine Ro'!$AJ$75</c:f>
              <c:strCache>
                <c:ptCount val="1"/>
                <c:pt idx="0">
                  <c:v>Partículas complejas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'Asociacion Mine Ro'!$AK$1:$AO$1</c:f>
              <c:strCache>
                <c:ptCount val="5"/>
                <c:pt idx="0">
                  <c:v>Bornita</c:v>
                </c:pt>
                <c:pt idx="1">
                  <c:v>Calcosina/digenita</c:v>
                </c:pt>
                <c:pt idx="2">
                  <c:v>Calcopirita</c:v>
                </c:pt>
                <c:pt idx="3">
                  <c:v>Pirita</c:v>
                </c:pt>
                <c:pt idx="4">
                  <c:v>Covelina</c:v>
                </c:pt>
              </c:strCache>
            </c:strRef>
          </c:cat>
          <c:val>
            <c:numRef>
              <c:f>'Asociacion Mine Ro'!$AK$75:$AO$75</c:f>
              <c:numCache>
                <c:formatCode>General</c:formatCode>
                <c:ptCount val="5"/>
                <c:pt idx="0">
                  <c:v>51.54</c:v>
                </c:pt>
                <c:pt idx="1">
                  <c:v>72.19</c:v>
                </c:pt>
                <c:pt idx="2">
                  <c:v>29.65</c:v>
                </c:pt>
                <c:pt idx="3">
                  <c:v>27.05</c:v>
                </c:pt>
                <c:pt idx="4">
                  <c:v>80.83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1F-44A9-A916-DC320443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5605376"/>
        <c:axId val="915606816"/>
      </c:barChart>
      <c:catAx>
        <c:axId val="91560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15606816"/>
        <c:crosses val="autoZero"/>
        <c:auto val="1"/>
        <c:lblAlgn val="ctr"/>
        <c:lblOffset val="100"/>
        <c:noMultiLvlLbl val="0"/>
      </c:catAx>
      <c:valAx>
        <c:axId val="91560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1560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RELAVE RO NOCHE 07-08-25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'Asociacion Mine Ro'!$AJ$101</c:f>
              <c:strCache>
                <c:ptCount val="1"/>
                <c:pt idx="0">
                  <c:v>Partículas libres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'Asociacion Mine Ro'!$AK$1:$AO$1</c:f>
              <c:strCache>
                <c:ptCount val="5"/>
                <c:pt idx="0">
                  <c:v>Bornita</c:v>
                </c:pt>
                <c:pt idx="1">
                  <c:v>Calcosina/digenita</c:v>
                </c:pt>
                <c:pt idx="2">
                  <c:v>Calcopirita</c:v>
                </c:pt>
                <c:pt idx="3">
                  <c:v>Pirita</c:v>
                </c:pt>
                <c:pt idx="4">
                  <c:v>Covelina</c:v>
                </c:pt>
              </c:strCache>
            </c:strRef>
          </c:cat>
          <c:val>
            <c:numRef>
              <c:f>'Asociacion Mine Ro'!$AK$101:$AO$101</c:f>
              <c:numCache>
                <c:formatCode>General</c:formatCode>
                <c:ptCount val="5"/>
                <c:pt idx="0">
                  <c:v>1.31</c:v>
                </c:pt>
                <c:pt idx="1">
                  <c:v>0</c:v>
                </c:pt>
                <c:pt idx="2">
                  <c:v>1.61</c:v>
                </c:pt>
                <c:pt idx="3">
                  <c:v>35.11</c:v>
                </c:pt>
                <c:pt idx="4">
                  <c:v>2.5299999999999998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3D-494C-A1EA-14D39B195FC4}"/>
            </c:ext>
          </c:extLst>
        </c:ser>
        <c:ser>
          <c:idx val="1"/>
          <c:order val="1"/>
          <c:tx>
            <c:strRef>
              <c:f>'Asociacion Mine Ro'!$AJ$102</c:f>
              <c:strCache>
                <c:ptCount val="1"/>
                <c:pt idx="0">
                  <c:v>Partículas binarias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'Asociacion Mine Ro'!$AK$1:$AO$1</c:f>
              <c:strCache>
                <c:ptCount val="5"/>
                <c:pt idx="0">
                  <c:v>Bornita</c:v>
                </c:pt>
                <c:pt idx="1">
                  <c:v>Calcosina/digenita</c:v>
                </c:pt>
                <c:pt idx="2">
                  <c:v>Calcopirita</c:v>
                </c:pt>
                <c:pt idx="3">
                  <c:v>Pirita</c:v>
                </c:pt>
                <c:pt idx="4">
                  <c:v>Covelina</c:v>
                </c:pt>
              </c:strCache>
            </c:strRef>
          </c:cat>
          <c:val>
            <c:numRef>
              <c:f>'Asociacion Mine Ro'!$AK$102:$AO$102</c:f>
              <c:numCache>
                <c:formatCode>General</c:formatCode>
                <c:ptCount val="5"/>
                <c:pt idx="0">
                  <c:v>0</c:v>
                </c:pt>
                <c:pt idx="1">
                  <c:v>52.68</c:v>
                </c:pt>
                <c:pt idx="2">
                  <c:v>26.24</c:v>
                </c:pt>
                <c:pt idx="3">
                  <c:v>24.21</c:v>
                </c:pt>
                <c:pt idx="4">
                  <c:v>21.52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3D-494C-A1EA-14D39B195FC4}"/>
            </c:ext>
          </c:extLst>
        </c:ser>
        <c:ser>
          <c:idx val="2"/>
          <c:order val="2"/>
          <c:tx>
            <c:strRef>
              <c:f>'Asociacion Mine Ro'!$AJ$103</c:f>
              <c:strCache>
                <c:ptCount val="1"/>
                <c:pt idx="0">
                  <c:v>Partículas complejas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'Asociacion Mine Ro'!$AK$1:$AO$1</c:f>
              <c:strCache>
                <c:ptCount val="5"/>
                <c:pt idx="0">
                  <c:v>Bornita</c:v>
                </c:pt>
                <c:pt idx="1">
                  <c:v>Calcosina/digenita</c:v>
                </c:pt>
                <c:pt idx="2">
                  <c:v>Calcopirita</c:v>
                </c:pt>
                <c:pt idx="3">
                  <c:v>Pirita</c:v>
                </c:pt>
                <c:pt idx="4">
                  <c:v>Covelina</c:v>
                </c:pt>
              </c:strCache>
            </c:strRef>
          </c:cat>
          <c:val>
            <c:numRef>
              <c:f>'Asociacion Mine Ro'!$AK$103:$AO$103</c:f>
              <c:numCache>
                <c:formatCode>General</c:formatCode>
                <c:ptCount val="5"/>
                <c:pt idx="0">
                  <c:v>98.69</c:v>
                </c:pt>
                <c:pt idx="1">
                  <c:v>47.32</c:v>
                </c:pt>
                <c:pt idx="2">
                  <c:v>72.150000000000006</c:v>
                </c:pt>
                <c:pt idx="3">
                  <c:v>40.68</c:v>
                </c:pt>
                <c:pt idx="4">
                  <c:v>75.95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3D-494C-A1EA-14D39B195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5605376"/>
        <c:axId val="915606816"/>
      </c:barChart>
      <c:catAx>
        <c:axId val="91560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15606816"/>
        <c:crosses val="autoZero"/>
        <c:auto val="1"/>
        <c:lblAlgn val="ctr"/>
        <c:lblOffset val="100"/>
        <c:noMultiLvlLbl val="0"/>
      </c:catAx>
      <c:valAx>
        <c:axId val="91560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1560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CONCENTRADO RO NOCHE 07-08-25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'Asociacion Mine Ro'!$AJ$123</c:f>
              <c:strCache>
                <c:ptCount val="1"/>
                <c:pt idx="0">
                  <c:v>Partículas libres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'Asociacion Mine Ro'!$AK$1:$AO$1</c:f>
              <c:strCache>
                <c:ptCount val="5"/>
                <c:pt idx="0">
                  <c:v>Bornita</c:v>
                </c:pt>
                <c:pt idx="1">
                  <c:v>Calcosina/digenita</c:v>
                </c:pt>
                <c:pt idx="2">
                  <c:v>Calcopirita</c:v>
                </c:pt>
                <c:pt idx="3">
                  <c:v>Pirita</c:v>
                </c:pt>
                <c:pt idx="4">
                  <c:v>Covelina</c:v>
                </c:pt>
              </c:strCache>
            </c:strRef>
          </c:cat>
          <c:val>
            <c:numRef>
              <c:f>'Asociacion Mine Ro'!$AK$123:$AO$123</c:f>
              <c:numCache>
                <c:formatCode>General</c:formatCode>
                <c:ptCount val="5"/>
                <c:pt idx="0">
                  <c:v>52.1</c:v>
                </c:pt>
                <c:pt idx="1">
                  <c:v>56.21</c:v>
                </c:pt>
                <c:pt idx="2">
                  <c:v>54.45</c:v>
                </c:pt>
                <c:pt idx="3">
                  <c:v>63.2</c:v>
                </c:pt>
                <c:pt idx="4">
                  <c:v>67.540000000000006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9-4A98-80C8-0A2D222854C2}"/>
            </c:ext>
          </c:extLst>
        </c:ser>
        <c:ser>
          <c:idx val="1"/>
          <c:order val="1"/>
          <c:tx>
            <c:strRef>
              <c:f>'Asociacion Mine Ro'!$AJ$124</c:f>
              <c:strCache>
                <c:ptCount val="1"/>
                <c:pt idx="0">
                  <c:v>Partículas binarias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'Asociacion Mine Ro'!$AK$1:$AO$1</c:f>
              <c:strCache>
                <c:ptCount val="5"/>
                <c:pt idx="0">
                  <c:v>Bornita</c:v>
                </c:pt>
                <c:pt idx="1">
                  <c:v>Calcosina/digenita</c:v>
                </c:pt>
                <c:pt idx="2">
                  <c:v>Calcopirita</c:v>
                </c:pt>
                <c:pt idx="3">
                  <c:v>Pirita</c:v>
                </c:pt>
                <c:pt idx="4">
                  <c:v>Covelina</c:v>
                </c:pt>
              </c:strCache>
            </c:strRef>
          </c:cat>
          <c:val>
            <c:numRef>
              <c:f>'Asociacion Mine Ro'!$AK$124:$AO$124</c:f>
              <c:numCache>
                <c:formatCode>General</c:formatCode>
                <c:ptCount val="5"/>
                <c:pt idx="0">
                  <c:v>37.71</c:v>
                </c:pt>
                <c:pt idx="1">
                  <c:v>26.77</c:v>
                </c:pt>
                <c:pt idx="2">
                  <c:v>28.29</c:v>
                </c:pt>
                <c:pt idx="3">
                  <c:v>25.6</c:v>
                </c:pt>
                <c:pt idx="4">
                  <c:v>27.62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9-4A98-80C8-0A2D222854C2}"/>
            </c:ext>
          </c:extLst>
        </c:ser>
        <c:ser>
          <c:idx val="2"/>
          <c:order val="2"/>
          <c:tx>
            <c:strRef>
              <c:f>'Asociacion Mine Ro'!$AJ$125</c:f>
              <c:strCache>
                <c:ptCount val="1"/>
                <c:pt idx="0">
                  <c:v>Partículas complejas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'Asociacion Mine Ro'!$AK$1:$AO$1</c:f>
              <c:strCache>
                <c:ptCount val="5"/>
                <c:pt idx="0">
                  <c:v>Bornita</c:v>
                </c:pt>
                <c:pt idx="1">
                  <c:v>Calcosina/digenita</c:v>
                </c:pt>
                <c:pt idx="2">
                  <c:v>Calcopirita</c:v>
                </c:pt>
                <c:pt idx="3">
                  <c:v>Pirita</c:v>
                </c:pt>
                <c:pt idx="4">
                  <c:v>Covelina</c:v>
                </c:pt>
              </c:strCache>
            </c:strRef>
          </c:cat>
          <c:val>
            <c:numRef>
              <c:f>'Asociacion Mine Ro'!$AK$125:$AO$125</c:f>
              <c:numCache>
                <c:formatCode>General</c:formatCode>
                <c:ptCount val="5"/>
                <c:pt idx="0">
                  <c:v>10.18</c:v>
                </c:pt>
                <c:pt idx="1">
                  <c:v>17.02</c:v>
                </c:pt>
                <c:pt idx="2">
                  <c:v>17.27</c:v>
                </c:pt>
                <c:pt idx="3">
                  <c:v>11.19</c:v>
                </c:pt>
                <c:pt idx="4">
                  <c:v>4.84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9-4A98-80C8-0A2D22285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5605376"/>
        <c:axId val="915606816"/>
      </c:barChart>
      <c:catAx>
        <c:axId val="91560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15606816"/>
        <c:crosses val="autoZero"/>
        <c:auto val="1"/>
        <c:lblAlgn val="ctr"/>
        <c:lblOffset val="100"/>
        <c:noMultiLvlLbl val="0"/>
      </c:catAx>
      <c:valAx>
        <c:axId val="91560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1560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Mineralogia</a:t>
            </a:r>
            <a:r>
              <a:rPr lang="es-CL" baseline="0"/>
              <a:t> Modal 26-08-25 &amp; 07-08-25 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7.2909368988334472E-2"/>
          <c:y val="8.1832195406494057E-2"/>
          <c:w val="0.89064859054121459"/>
          <c:h val="0.65355274951951903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'Mine Modal Jms'!$B$5</c:f>
              <c:strCache>
                <c:ptCount val="1"/>
                <c:pt idx="0">
                  <c:v>Cuarzo</c:v>
                </c:pt>
              </c:strCache>
            </c:strRef>
          </c:tx>
          <c:spPr>
            <a:solidFill>
              <a:srgbClr val="C8C6AE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'Mine Modal Jms'!$C$2:$F$4</c:f>
              <c:multiLvlStrCache>
                <c:ptCount val="4"/>
                <c:lvl>
                  <c:pt idx="0">
                    <c:v>Conc Jms</c:v>
                  </c:pt>
                  <c:pt idx="1">
                    <c:v>Rel Jms </c:v>
                  </c:pt>
                  <c:pt idx="2">
                    <c:v>Conc Jms</c:v>
                  </c:pt>
                  <c:pt idx="3">
                    <c:v>Rel Jms </c:v>
                  </c:pt>
                </c:lvl>
                <c:lvl>
                  <c:pt idx="0">
                    <c:v>05-12-2025</c:v>
                  </c:pt>
                  <c:pt idx="1">
                    <c:v>05-12-2025</c:v>
                  </c:pt>
                  <c:pt idx="2">
                    <c:v>04-12-2025</c:v>
                  </c:pt>
                  <c:pt idx="3">
                    <c:v>04-12-2025</c:v>
                  </c:pt>
                </c:lvl>
              </c:multiLvlStrCache>
            </c:multiLvlStrRef>
          </c:cat>
          <c:val>
            <c:numRef>
              <c:f>'Mine Modal Jms'!$C$5:$F$5</c:f>
              <c:numCache>
                <c:formatCode>0.000</c:formatCode>
                <c:ptCount val="4"/>
                <c:pt idx="0">
                  <c:v>21.919</c:v>
                </c:pt>
                <c:pt idx="1">
                  <c:v>47.844000000000001</c:v>
                </c:pt>
                <c:pt idx="2">
                  <c:v>4.5369999999999999</c:v>
                </c:pt>
                <c:pt idx="3">
                  <c:v>49.095999999999997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23-44DC-8231-6CB00AA35518}"/>
            </c:ext>
          </c:extLst>
        </c:ser>
        <c:ser>
          <c:idx val="2"/>
          <c:order val="1"/>
          <c:tx>
            <c:strRef>
              <c:f>'Mine Modal Jms'!$B$7</c:f>
              <c:strCache>
                <c:ptCount val="1"/>
                <c:pt idx="0">
                  <c:v>Muscovita/illita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'Mine Modal Jms'!$C$2:$F$4</c:f>
              <c:multiLvlStrCache>
                <c:ptCount val="4"/>
                <c:lvl>
                  <c:pt idx="0">
                    <c:v>Conc Jms</c:v>
                  </c:pt>
                  <c:pt idx="1">
                    <c:v>Rel Jms </c:v>
                  </c:pt>
                  <c:pt idx="2">
                    <c:v>Conc Jms</c:v>
                  </c:pt>
                  <c:pt idx="3">
                    <c:v>Rel Jms </c:v>
                  </c:pt>
                </c:lvl>
                <c:lvl>
                  <c:pt idx="0">
                    <c:v>05-12-2025</c:v>
                  </c:pt>
                  <c:pt idx="1">
                    <c:v>05-12-2025</c:v>
                  </c:pt>
                  <c:pt idx="2">
                    <c:v>04-12-2025</c:v>
                  </c:pt>
                  <c:pt idx="3">
                    <c:v>04-12-2025</c:v>
                  </c:pt>
                </c:lvl>
              </c:multiLvlStrCache>
            </c:multiLvlStrRef>
          </c:cat>
          <c:val>
            <c:numRef>
              <c:f>'Mine Modal Jms'!$C$7:$F$7</c:f>
              <c:numCache>
                <c:formatCode>0.000</c:formatCode>
                <c:ptCount val="4"/>
                <c:pt idx="0">
                  <c:v>24.638000000000002</c:v>
                </c:pt>
                <c:pt idx="1">
                  <c:v>5.9560000000000004</c:v>
                </c:pt>
                <c:pt idx="2">
                  <c:v>6.5739999999999998</c:v>
                </c:pt>
                <c:pt idx="3">
                  <c:v>30.106999999999999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23-44DC-8231-6CB00AA35518}"/>
            </c:ext>
          </c:extLst>
        </c:ser>
        <c:ser>
          <c:idx val="3"/>
          <c:order val="2"/>
          <c:tx>
            <c:strRef>
              <c:f>'Mine Modal Jms'!$B$8</c:f>
              <c:strCache>
                <c:ptCount val="1"/>
                <c:pt idx="0">
                  <c:v>Pirita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E4D-45BC-81FC-F717FFE29A2A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'Mine Modal Jms'!$C$2:$F$4</c:f>
              <c:multiLvlStrCache>
                <c:ptCount val="4"/>
                <c:lvl>
                  <c:pt idx="0">
                    <c:v>Conc Jms</c:v>
                  </c:pt>
                  <c:pt idx="1">
                    <c:v>Rel Jms </c:v>
                  </c:pt>
                  <c:pt idx="2">
                    <c:v>Conc Jms</c:v>
                  </c:pt>
                  <c:pt idx="3">
                    <c:v>Rel Jms </c:v>
                  </c:pt>
                </c:lvl>
                <c:lvl>
                  <c:pt idx="0">
                    <c:v>05-12-2025</c:v>
                  </c:pt>
                  <c:pt idx="1">
                    <c:v>05-12-2025</c:v>
                  </c:pt>
                  <c:pt idx="2">
                    <c:v>04-12-2025</c:v>
                  </c:pt>
                  <c:pt idx="3">
                    <c:v>04-12-2025</c:v>
                  </c:pt>
                </c:lvl>
              </c:multiLvlStrCache>
            </c:multiLvlStrRef>
          </c:cat>
          <c:val>
            <c:numRef>
              <c:f>'Mine Modal Jms'!$C$8:$F$8</c:f>
              <c:numCache>
                <c:formatCode>0.000</c:formatCode>
                <c:ptCount val="4"/>
                <c:pt idx="0">
                  <c:v>21.853999999999999</c:v>
                </c:pt>
                <c:pt idx="1">
                  <c:v>1.627</c:v>
                </c:pt>
                <c:pt idx="2">
                  <c:v>17.693999999999999</c:v>
                </c:pt>
                <c:pt idx="3">
                  <c:v>7.0259999999999998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423-44DC-8231-6CB00AA35518}"/>
            </c:ext>
          </c:extLst>
        </c:ser>
        <c:ser>
          <c:idx val="1"/>
          <c:order val="3"/>
          <c:tx>
            <c:strRef>
              <c:f>'Mine Modal Jms'!$B$6</c:f>
              <c:strCache>
                <c:ptCount val="1"/>
                <c:pt idx="0">
                  <c:v>Calcopirita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A423-44DC-8231-6CB00AA3551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'Mine Modal Jms'!$C$2:$F$4</c:f>
              <c:multiLvlStrCache>
                <c:ptCount val="4"/>
                <c:lvl>
                  <c:pt idx="0">
                    <c:v>Conc Jms</c:v>
                  </c:pt>
                  <c:pt idx="1">
                    <c:v>Rel Jms </c:v>
                  </c:pt>
                  <c:pt idx="2">
                    <c:v>Conc Jms</c:v>
                  </c:pt>
                  <c:pt idx="3">
                    <c:v>Rel Jms </c:v>
                  </c:pt>
                </c:lvl>
                <c:lvl>
                  <c:pt idx="0">
                    <c:v>05-12-2025</c:v>
                  </c:pt>
                  <c:pt idx="1">
                    <c:v>05-12-2025</c:v>
                  </c:pt>
                  <c:pt idx="2">
                    <c:v>04-12-2025</c:v>
                  </c:pt>
                  <c:pt idx="3">
                    <c:v>04-12-2025</c:v>
                  </c:pt>
                </c:lvl>
              </c:multiLvlStrCache>
            </c:multiLvlStrRef>
          </c:cat>
          <c:val>
            <c:numRef>
              <c:f>'Mine Modal Jms'!$C$6:$F$6</c:f>
              <c:numCache>
                <c:formatCode>0.000</c:formatCode>
                <c:ptCount val="4"/>
                <c:pt idx="0">
                  <c:v>20.311</c:v>
                </c:pt>
                <c:pt idx="1">
                  <c:v>31.292999999999999</c:v>
                </c:pt>
                <c:pt idx="2">
                  <c:v>49.750999999999998</c:v>
                </c:pt>
                <c:pt idx="3">
                  <c:v>1.135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23-44DC-8231-6CB00AA35518}"/>
            </c:ext>
          </c:extLst>
        </c:ser>
        <c:ser>
          <c:idx val="4"/>
          <c:order val="4"/>
          <c:tx>
            <c:strRef>
              <c:f>'Mine Modal Jms'!$B$9</c:f>
              <c:strCache>
                <c:ptCount val="1"/>
                <c:pt idx="0">
                  <c:v>Calcosina/digenita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A423-44DC-8231-6CB00AA3551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A423-44DC-8231-6CB00AA35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'Mine Modal Jms'!$C$2:$F$4</c:f>
              <c:multiLvlStrCache>
                <c:ptCount val="4"/>
                <c:lvl>
                  <c:pt idx="0">
                    <c:v>Conc Jms</c:v>
                  </c:pt>
                  <c:pt idx="1">
                    <c:v>Rel Jms </c:v>
                  </c:pt>
                  <c:pt idx="2">
                    <c:v>Conc Jms</c:v>
                  </c:pt>
                  <c:pt idx="3">
                    <c:v>Rel Jms </c:v>
                  </c:pt>
                </c:lvl>
                <c:lvl>
                  <c:pt idx="0">
                    <c:v>05-12-2025</c:v>
                  </c:pt>
                  <c:pt idx="1">
                    <c:v>05-12-2025</c:v>
                  </c:pt>
                  <c:pt idx="2">
                    <c:v>04-12-2025</c:v>
                  </c:pt>
                  <c:pt idx="3">
                    <c:v>04-12-2025</c:v>
                  </c:pt>
                </c:lvl>
              </c:multiLvlStrCache>
            </c:multiLvlStrRef>
          </c:cat>
          <c:val>
            <c:numRef>
              <c:f>'Mine Modal Jms'!$C$9:$F$9</c:f>
              <c:numCache>
                <c:formatCode>0.000</c:formatCode>
                <c:ptCount val="4"/>
                <c:pt idx="0">
                  <c:v>1.3580000000000001</c:v>
                </c:pt>
                <c:pt idx="1">
                  <c:v>5.4710000000000001</c:v>
                </c:pt>
                <c:pt idx="2">
                  <c:v>11.696</c:v>
                </c:pt>
                <c:pt idx="3">
                  <c:v>0.159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423-44DC-8231-6CB00AA35518}"/>
            </c:ext>
          </c:extLst>
        </c:ser>
        <c:ser>
          <c:idx val="5"/>
          <c:order val="5"/>
          <c:tx>
            <c:strRef>
              <c:f>'Mine Modal Jms'!$B$10</c:f>
              <c:strCache>
                <c:ptCount val="1"/>
                <c:pt idx="0">
                  <c:v>Plagioclasa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A423-44DC-8231-6CB00AA3551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A423-44DC-8231-6CB00AA35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'Mine Modal Jms'!$C$2:$F$4</c:f>
              <c:multiLvlStrCache>
                <c:ptCount val="4"/>
                <c:lvl>
                  <c:pt idx="0">
                    <c:v>Conc Jms</c:v>
                  </c:pt>
                  <c:pt idx="1">
                    <c:v>Rel Jms </c:v>
                  </c:pt>
                  <c:pt idx="2">
                    <c:v>Conc Jms</c:v>
                  </c:pt>
                  <c:pt idx="3">
                    <c:v>Rel Jms </c:v>
                  </c:pt>
                </c:lvl>
                <c:lvl>
                  <c:pt idx="0">
                    <c:v>05-12-2025</c:v>
                  </c:pt>
                  <c:pt idx="1">
                    <c:v>05-12-2025</c:v>
                  </c:pt>
                  <c:pt idx="2">
                    <c:v>04-12-2025</c:v>
                  </c:pt>
                  <c:pt idx="3">
                    <c:v>04-12-2025</c:v>
                  </c:pt>
                </c:lvl>
              </c:multiLvlStrCache>
            </c:multiLvlStrRef>
          </c:cat>
          <c:val>
            <c:numRef>
              <c:f>'Mine Modal Jms'!$C$10:$F$10</c:f>
              <c:numCache>
                <c:formatCode>0.000</c:formatCode>
                <c:ptCount val="4"/>
                <c:pt idx="0">
                  <c:v>4.218</c:v>
                </c:pt>
                <c:pt idx="1">
                  <c:v>0.13400000000000001</c:v>
                </c:pt>
                <c:pt idx="2">
                  <c:v>0.378</c:v>
                </c:pt>
                <c:pt idx="3">
                  <c:v>5.4279999999999999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423-44DC-8231-6CB00AA35518}"/>
            </c:ext>
          </c:extLst>
        </c:ser>
        <c:ser>
          <c:idx val="6"/>
          <c:order val="6"/>
          <c:tx>
            <c:strRef>
              <c:f>'Mine Modal Jms'!$B$11</c:f>
              <c:strCache>
                <c:ptCount val="1"/>
                <c:pt idx="0">
                  <c:v>Bornita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A423-44DC-8231-6CB00AA3551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A423-44DC-8231-6CB00AA35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'Mine Modal Jms'!$C$2:$F$4</c:f>
              <c:multiLvlStrCache>
                <c:ptCount val="4"/>
                <c:lvl>
                  <c:pt idx="0">
                    <c:v>Conc Jms</c:v>
                  </c:pt>
                  <c:pt idx="1">
                    <c:v>Rel Jms </c:v>
                  </c:pt>
                  <c:pt idx="2">
                    <c:v>Conc Jms</c:v>
                  </c:pt>
                  <c:pt idx="3">
                    <c:v>Rel Jms </c:v>
                  </c:pt>
                </c:lvl>
                <c:lvl>
                  <c:pt idx="0">
                    <c:v>05-12-2025</c:v>
                  </c:pt>
                  <c:pt idx="1">
                    <c:v>05-12-2025</c:v>
                  </c:pt>
                  <c:pt idx="2">
                    <c:v>04-12-2025</c:v>
                  </c:pt>
                  <c:pt idx="3">
                    <c:v>04-12-2025</c:v>
                  </c:pt>
                </c:lvl>
              </c:multiLvlStrCache>
            </c:multiLvlStrRef>
          </c:cat>
          <c:val>
            <c:numRef>
              <c:f>'Mine Modal Jms'!$C$11:$F$11</c:f>
              <c:numCache>
                <c:formatCode>General</c:formatCode>
                <c:ptCount val="4"/>
                <c:pt idx="0">
                  <c:v>1.1910000000000001</c:v>
                </c:pt>
                <c:pt idx="1">
                  <c:v>2.629</c:v>
                </c:pt>
                <c:pt idx="2">
                  <c:v>4.3319999999999999</c:v>
                </c:pt>
                <c:pt idx="3">
                  <c:v>0.20300000000000001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423-44DC-8231-6CB00AA35518}"/>
            </c:ext>
          </c:extLst>
        </c:ser>
        <c:ser>
          <c:idx val="7"/>
          <c:order val="7"/>
          <c:tx>
            <c:strRef>
              <c:f>'Mine Modal Jms'!$B$12</c:f>
              <c:strCache>
                <c:ptCount val="1"/>
                <c:pt idx="0">
                  <c:v>Covelina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A423-44DC-8231-6CB00AA3551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A423-44DC-8231-6CB00AA35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'Mine Modal Jms'!$C$2:$F$4</c:f>
              <c:multiLvlStrCache>
                <c:ptCount val="4"/>
                <c:lvl>
                  <c:pt idx="0">
                    <c:v>Conc Jms</c:v>
                  </c:pt>
                  <c:pt idx="1">
                    <c:v>Rel Jms </c:v>
                  </c:pt>
                  <c:pt idx="2">
                    <c:v>Conc Jms</c:v>
                  </c:pt>
                  <c:pt idx="3">
                    <c:v>Rel Jms </c:v>
                  </c:pt>
                </c:lvl>
                <c:lvl>
                  <c:pt idx="0">
                    <c:v>05-12-2025</c:v>
                  </c:pt>
                  <c:pt idx="1">
                    <c:v>05-12-2025</c:v>
                  </c:pt>
                  <c:pt idx="2">
                    <c:v>04-12-2025</c:v>
                  </c:pt>
                  <c:pt idx="3">
                    <c:v>04-12-2025</c:v>
                  </c:pt>
                </c:lvl>
              </c:multiLvlStrCache>
            </c:multiLvlStrRef>
          </c:cat>
          <c:val>
            <c:numRef>
              <c:f>'Mine Modal Jms'!$C$12:$F$12</c:f>
              <c:numCache>
                <c:formatCode>General</c:formatCode>
                <c:ptCount val="4"/>
                <c:pt idx="0">
                  <c:v>0.69099999999999995</c:v>
                </c:pt>
                <c:pt idx="1">
                  <c:v>2.6840000000000002</c:v>
                </c:pt>
                <c:pt idx="2">
                  <c:v>3.1909999999999998</c:v>
                </c:pt>
                <c:pt idx="3">
                  <c:v>0.13300000000000001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423-44DC-8231-6CB00AA35518}"/>
            </c:ext>
          </c:extLst>
        </c:ser>
        <c:ser>
          <c:idx val="8"/>
          <c:order val="8"/>
          <c:tx>
            <c:strRef>
              <c:f>'Mine Modal Jms'!$B$13</c:f>
              <c:strCache>
                <c:ptCount val="1"/>
                <c:pt idx="0">
                  <c:v>Clorita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'Mine Modal Jms'!$C$2:$F$4</c:f>
              <c:multiLvlStrCache>
                <c:ptCount val="4"/>
                <c:lvl>
                  <c:pt idx="0">
                    <c:v>Conc Jms</c:v>
                  </c:pt>
                  <c:pt idx="1">
                    <c:v>Rel Jms </c:v>
                  </c:pt>
                  <c:pt idx="2">
                    <c:v>Conc Jms</c:v>
                  </c:pt>
                  <c:pt idx="3">
                    <c:v>Rel Jms </c:v>
                  </c:pt>
                </c:lvl>
                <c:lvl>
                  <c:pt idx="0">
                    <c:v>05-12-2025</c:v>
                  </c:pt>
                  <c:pt idx="1">
                    <c:v>05-12-2025</c:v>
                  </c:pt>
                  <c:pt idx="2">
                    <c:v>04-12-2025</c:v>
                  </c:pt>
                  <c:pt idx="3">
                    <c:v>04-12-2025</c:v>
                  </c:pt>
                </c:lvl>
              </c:multiLvlStrCache>
            </c:multiLvlStrRef>
          </c:cat>
          <c:val>
            <c:numRef>
              <c:f>'Mine Modal Jms'!$C$13:$F$13</c:f>
              <c:numCache>
                <c:formatCode>General</c:formatCode>
                <c:ptCount val="4"/>
                <c:pt idx="0">
                  <c:v>1.482</c:v>
                </c:pt>
                <c:pt idx="1">
                  <c:v>9.9000000000000005E-2</c:v>
                </c:pt>
                <c:pt idx="2">
                  <c:v>0.33600000000000002</c:v>
                </c:pt>
                <c:pt idx="3">
                  <c:v>2.339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423-44DC-8231-6CB00AA35518}"/>
            </c:ext>
          </c:extLst>
        </c:ser>
        <c:ser>
          <c:idx val="9"/>
          <c:order val="9"/>
          <c:tx>
            <c:strRef>
              <c:f>'Mine Modal Jms'!$B$14</c:f>
              <c:strCache>
                <c:ptCount val="1"/>
                <c:pt idx="0">
                  <c:v>Arcillas Al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'Mine Modal Jms'!$C$2:$F$4</c:f>
              <c:multiLvlStrCache>
                <c:ptCount val="4"/>
                <c:lvl>
                  <c:pt idx="0">
                    <c:v>Conc Jms</c:v>
                  </c:pt>
                  <c:pt idx="1">
                    <c:v>Rel Jms </c:v>
                  </c:pt>
                  <c:pt idx="2">
                    <c:v>Conc Jms</c:v>
                  </c:pt>
                  <c:pt idx="3">
                    <c:v>Rel Jms </c:v>
                  </c:pt>
                </c:lvl>
                <c:lvl>
                  <c:pt idx="0">
                    <c:v>05-12-2025</c:v>
                  </c:pt>
                  <c:pt idx="1">
                    <c:v>05-12-2025</c:v>
                  </c:pt>
                  <c:pt idx="2">
                    <c:v>04-12-2025</c:v>
                  </c:pt>
                  <c:pt idx="3">
                    <c:v>04-12-2025</c:v>
                  </c:pt>
                </c:lvl>
              </c:multiLvlStrCache>
            </c:multiLvlStrRef>
          </c:cat>
          <c:val>
            <c:numRef>
              <c:f>'Mine Modal Jms'!$C$14:$F$14</c:f>
              <c:numCache>
                <c:formatCode>General</c:formatCode>
                <c:ptCount val="4"/>
                <c:pt idx="0">
                  <c:v>0.66600000000000004</c:v>
                </c:pt>
                <c:pt idx="1">
                  <c:v>7.0999999999999994E-2</c:v>
                </c:pt>
                <c:pt idx="2">
                  <c:v>0.13800000000000001</c:v>
                </c:pt>
                <c:pt idx="3">
                  <c:v>1.9390000000000001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423-44DC-8231-6CB00AA35518}"/>
            </c:ext>
          </c:extLst>
        </c:ser>
        <c:ser>
          <c:idx val="10"/>
          <c:order val="10"/>
          <c:tx>
            <c:strRef>
              <c:f>'Mine Modal Jms'!$B$15</c:f>
              <c:strCache>
                <c:ptCount val="1"/>
                <c:pt idx="0">
                  <c:v>Rutilo/anatase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'Mine Modal Jms'!$C$2:$F$4</c:f>
              <c:multiLvlStrCache>
                <c:ptCount val="4"/>
                <c:lvl>
                  <c:pt idx="0">
                    <c:v>Conc Jms</c:v>
                  </c:pt>
                  <c:pt idx="1">
                    <c:v>Rel Jms </c:v>
                  </c:pt>
                  <c:pt idx="2">
                    <c:v>Conc Jms</c:v>
                  </c:pt>
                  <c:pt idx="3">
                    <c:v>Rel Jms </c:v>
                  </c:pt>
                </c:lvl>
                <c:lvl>
                  <c:pt idx="0">
                    <c:v>05-12-2025</c:v>
                  </c:pt>
                  <c:pt idx="1">
                    <c:v>05-12-2025</c:v>
                  </c:pt>
                  <c:pt idx="2">
                    <c:v>04-12-2025</c:v>
                  </c:pt>
                  <c:pt idx="3">
                    <c:v>04-12-2025</c:v>
                  </c:pt>
                </c:lvl>
              </c:multiLvlStrCache>
            </c:multiLvlStrRef>
          </c:cat>
          <c:val>
            <c:numRef>
              <c:f>'Mine Modal Jms'!$C$15:$F$15</c:f>
              <c:numCache>
                <c:formatCode>General</c:formatCode>
                <c:ptCount val="4"/>
                <c:pt idx="0">
                  <c:v>6.4000000000000001E-2</c:v>
                </c:pt>
                <c:pt idx="1">
                  <c:v>0.59099999999999997</c:v>
                </c:pt>
                <c:pt idx="2">
                  <c:v>0.157</c:v>
                </c:pt>
                <c:pt idx="3">
                  <c:v>0.56299999999999994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423-44DC-8231-6CB00AA35518}"/>
            </c:ext>
          </c:extLst>
        </c:ser>
        <c:ser>
          <c:idx val="11"/>
          <c:order val="11"/>
          <c:tx>
            <c:strRef>
              <c:f>'Mine Modal Jms'!$B$16</c:f>
              <c:strCache>
                <c:ptCount val="1"/>
                <c:pt idx="0">
                  <c:v>Alunita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'Mine Modal Jms'!$C$2:$F$4</c:f>
              <c:multiLvlStrCache>
                <c:ptCount val="4"/>
                <c:lvl>
                  <c:pt idx="0">
                    <c:v>Conc Jms</c:v>
                  </c:pt>
                  <c:pt idx="1">
                    <c:v>Rel Jms </c:v>
                  </c:pt>
                  <c:pt idx="2">
                    <c:v>Conc Jms</c:v>
                  </c:pt>
                  <c:pt idx="3">
                    <c:v>Rel Jms </c:v>
                  </c:pt>
                </c:lvl>
                <c:lvl>
                  <c:pt idx="0">
                    <c:v>05-12-2025</c:v>
                  </c:pt>
                  <c:pt idx="1">
                    <c:v>05-12-2025</c:v>
                  </c:pt>
                  <c:pt idx="2">
                    <c:v>04-12-2025</c:v>
                  </c:pt>
                  <c:pt idx="3">
                    <c:v>04-12-2025</c:v>
                  </c:pt>
                </c:lvl>
              </c:multiLvlStrCache>
            </c:multiLvlStrRef>
          </c:cat>
          <c:val>
            <c:numRef>
              <c:f>'Mine Modal Jms'!$C$16:$F$16</c:f>
              <c:numCache>
                <c:formatCode>General</c:formatCode>
                <c:ptCount val="4"/>
                <c:pt idx="0">
                  <c:v>0.30399999999999999</c:v>
                </c:pt>
                <c:pt idx="1">
                  <c:v>0.30199999999999999</c:v>
                </c:pt>
                <c:pt idx="2">
                  <c:v>0.17299999999999999</c:v>
                </c:pt>
                <c:pt idx="3">
                  <c:v>0.46500000000000002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423-44DC-8231-6CB00AA35518}"/>
            </c:ext>
          </c:extLst>
        </c:ser>
        <c:ser>
          <c:idx val="12"/>
          <c:order val="12"/>
          <c:tx>
            <c:strRef>
              <c:f>'Mine Modal Jms'!$B$17</c:f>
              <c:strCache>
                <c:ptCount val="1"/>
                <c:pt idx="0">
                  <c:v>Enargita/Tennantita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'Mine Modal Jms'!$C$2:$F$4</c:f>
              <c:multiLvlStrCache>
                <c:ptCount val="4"/>
                <c:lvl>
                  <c:pt idx="0">
                    <c:v>Conc Jms</c:v>
                  </c:pt>
                  <c:pt idx="1">
                    <c:v>Rel Jms </c:v>
                  </c:pt>
                  <c:pt idx="2">
                    <c:v>Conc Jms</c:v>
                  </c:pt>
                  <c:pt idx="3">
                    <c:v>Rel Jms </c:v>
                  </c:pt>
                </c:lvl>
                <c:lvl>
                  <c:pt idx="0">
                    <c:v>05-12-2025</c:v>
                  </c:pt>
                  <c:pt idx="1">
                    <c:v>05-12-2025</c:v>
                  </c:pt>
                  <c:pt idx="2">
                    <c:v>04-12-2025</c:v>
                  </c:pt>
                  <c:pt idx="3">
                    <c:v>04-12-2025</c:v>
                  </c:pt>
                </c:lvl>
              </c:multiLvlStrCache>
            </c:multiLvlStrRef>
          </c:cat>
          <c:val>
            <c:numRef>
              <c:f>'Mine Modal Jms'!$C$17:$F$17</c:f>
              <c:numCache>
                <c:formatCode>General</c:formatCode>
                <c:ptCount val="4"/>
                <c:pt idx="0">
                  <c:v>0.17699999999999999</c:v>
                </c:pt>
                <c:pt idx="1">
                  <c:v>0.29299999999999998</c:v>
                </c:pt>
                <c:pt idx="2">
                  <c:v>0.51600000000000001</c:v>
                </c:pt>
                <c:pt idx="3">
                  <c:v>0.10299999999999999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423-44DC-8231-6CB00AA35518}"/>
            </c:ext>
          </c:extLst>
        </c:ser>
        <c:ser>
          <c:idx val="13"/>
          <c:order val="13"/>
          <c:tx>
            <c:strRef>
              <c:f>'Mine Modal Jms'!$B$18</c:f>
              <c:strCache>
                <c:ptCount val="1"/>
                <c:pt idx="0">
                  <c:v>Hematita/Magnetita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'Mine Modal Jms'!$C$2:$F$4</c:f>
              <c:multiLvlStrCache>
                <c:ptCount val="4"/>
                <c:lvl>
                  <c:pt idx="0">
                    <c:v>Conc Jms</c:v>
                  </c:pt>
                  <c:pt idx="1">
                    <c:v>Rel Jms </c:v>
                  </c:pt>
                  <c:pt idx="2">
                    <c:v>Conc Jms</c:v>
                  </c:pt>
                  <c:pt idx="3">
                    <c:v>Rel Jms </c:v>
                  </c:pt>
                </c:lvl>
                <c:lvl>
                  <c:pt idx="0">
                    <c:v>05-12-2025</c:v>
                  </c:pt>
                  <c:pt idx="1">
                    <c:v>05-12-2025</c:v>
                  </c:pt>
                  <c:pt idx="2">
                    <c:v>04-12-2025</c:v>
                  </c:pt>
                  <c:pt idx="3">
                    <c:v>04-12-2025</c:v>
                  </c:pt>
                </c:lvl>
              </c:multiLvlStrCache>
            </c:multiLvlStrRef>
          </c:cat>
          <c:val>
            <c:numRef>
              <c:f>'Mine Modal Jms'!$C$18:$F$18</c:f>
              <c:numCache>
                <c:formatCode>General</c:formatCode>
                <c:ptCount val="4"/>
                <c:pt idx="0">
                  <c:v>0.38600000000000001</c:v>
                </c:pt>
                <c:pt idx="1">
                  <c:v>4.5999999999999999E-2</c:v>
                </c:pt>
                <c:pt idx="2">
                  <c:v>4.3999999999999997E-2</c:v>
                </c:pt>
                <c:pt idx="3">
                  <c:v>0.55100000000000005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423-44DC-8231-6CB00AA35518}"/>
            </c:ext>
          </c:extLst>
        </c:ser>
        <c:ser>
          <c:idx val="14"/>
          <c:order val="14"/>
          <c:tx>
            <c:strRef>
              <c:f>'Mine Modal Jms'!$B$19</c:f>
              <c:strCache>
                <c:ptCount val="1"/>
                <c:pt idx="0">
                  <c:v>Calcita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'Mine Modal Jms'!$C$2:$F$4</c:f>
              <c:multiLvlStrCache>
                <c:ptCount val="4"/>
                <c:lvl>
                  <c:pt idx="0">
                    <c:v>Conc Jms</c:v>
                  </c:pt>
                  <c:pt idx="1">
                    <c:v>Rel Jms </c:v>
                  </c:pt>
                  <c:pt idx="2">
                    <c:v>Conc Jms</c:v>
                  </c:pt>
                  <c:pt idx="3">
                    <c:v>Rel Jms </c:v>
                  </c:pt>
                </c:lvl>
                <c:lvl>
                  <c:pt idx="0">
                    <c:v>05-12-2025</c:v>
                  </c:pt>
                  <c:pt idx="1">
                    <c:v>05-12-2025</c:v>
                  </c:pt>
                  <c:pt idx="2">
                    <c:v>04-12-2025</c:v>
                  </c:pt>
                  <c:pt idx="3">
                    <c:v>04-12-2025</c:v>
                  </c:pt>
                </c:lvl>
              </c:multiLvlStrCache>
            </c:multiLvlStrRef>
          </c:cat>
          <c:val>
            <c:numRef>
              <c:f>'Mine Modal Jms'!$C$19:$F$19</c:f>
              <c:numCache>
                <c:formatCode>General</c:formatCode>
                <c:ptCount val="4"/>
                <c:pt idx="0">
                  <c:v>0.124</c:v>
                </c:pt>
                <c:pt idx="1">
                  <c:v>0.192</c:v>
                </c:pt>
                <c:pt idx="2">
                  <c:v>3.0000000000000001E-3</c:v>
                </c:pt>
                <c:pt idx="3">
                  <c:v>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423-44DC-8231-6CB00AA35518}"/>
            </c:ext>
          </c:extLst>
        </c:ser>
        <c:ser>
          <c:idx val="15"/>
          <c:order val="15"/>
          <c:tx>
            <c:strRef>
              <c:f>'Mine Modal Jms'!$B$20</c:f>
              <c:strCache>
                <c:ptCount val="1"/>
                <c:pt idx="0">
                  <c:v>Biotita/flogopita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'Mine Modal Jms'!$C$2:$F$4</c:f>
              <c:multiLvlStrCache>
                <c:ptCount val="4"/>
                <c:lvl>
                  <c:pt idx="0">
                    <c:v>Conc Jms</c:v>
                  </c:pt>
                  <c:pt idx="1">
                    <c:v>Rel Jms </c:v>
                  </c:pt>
                  <c:pt idx="2">
                    <c:v>Conc Jms</c:v>
                  </c:pt>
                  <c:pt idx="3">
                    <c:v>Rel Jms </c:v>
                  </c:pt>
                </c:lvl>
                <c:lvl>
                  <c:pt idx="0">
                    <c:v>05-12-2025</c:v>
                  </c:pt>
                  <c:pt idx="1">
                    <c:v>05-12-2025</c:v>
                  </c:pt>
                  <c:pt idx="2">
                    <c:v>04-12-2025</c:v>
                  </c:pt>
                  <c:pt idx="3">
                    <c:v>04-12-2025</c:v>
                  </c:pt>
                </c:lvl>
              </c:multiLvlStrCache>
            </c:multiLvlStrRef>
          </c:cat>
          <c:val>
            <c:numRef>
              <c:f>'Mine Modal Jms'!$C$20:$F$20</c:f>
              <c:numCache>
                <c:formatCode>General</c:formatCode>
                <c:ptCount val="4"/>
                <c:pt idx="0">
                  <c:v>0.22700000000000001</c:v>
                </c:pt>
                <c:pt idx="1">
                  <c:v>5.0999999999999997E-2</c:v>
                </c:pt>
                <c:pt idx="2">
                  <c:v>4.1000000000000002E-2</c:v>
                </c:pt>
                <c:pt idx="3">
                  <c:v>0.19900000000000001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423-44DC-8231-6CB00AA35518}"/>
            </c:ext>
          </c:extLst>
        </c:ser>
        <c:ser>
          <c:idx val="16"/>
          <c:order val="16"/>
          <c:tx>
            <c:strRef>
              <c:f>'Mine Modal Jms'!$B$21</c:f>
              <c:strCache>
                <c:ptCount val="1"/>
                <c:pt idx="0">
                  <c:v>Molibdenita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'Mine Modal Jms'!$C$2:$F$4</c:f>
              <c:multiLvlStrCache>
                <c:ptCount val="4"/>
                <c:lvl>
                  <c:pt idx="0">
                    <c:v>Conc Jms</c:v>
                  </c:pt>
                  <c:pt idx="1">
                    <c:v>Rel Jms </c:v>
                  </c:pt>
                  <c:pt idx="2">
                    <c:v>Conc Jms</c:v>
                  </c:pt>
                  <c:pt idx="3">
                    <c:v>Rel Jms </c:v>
                  </c:pt>
                </c:lvl>
                <c:lvl>
                  <c:pt idx="0">
                    <c:v>05-12-2025</c:v>
                  </c:pt>
                  <c:pt idx="1">
                    <c:v>05-12-2025</c:v>
                  </c:pt>
                  <c:pt idx="2">
                    <c:v>04-12-2025</c:v>
                  </c:pt>
                  <c:pt idx="3">
                    <c:v>04-12-2025</c:v>
                  </c:pt>
                </c:lvl>
              </c:multiLvlStrCache>
            </c:multiLvlStrRef>
          </c:cat>
          <c:val>
            <c:numRef>
              <c:f>'Mine Modal Jms'!$C$21:$F$21</c:f>
              <c:numCache>
                <c:formatCode>General</c:formatCode>
                <c:ptCount val="4"/>
                <c:pt idx="0">
                  <c:v>1.4E-2</c:v>
                </c:pt>
                <c:pt idx="1">
                  <c:v>0.24099999999999999</c:v>
                </c:pt>
                <c:pt idx="2">
                  <c:v>0.13900000000000001</c:v>
                </c:pt>
                <c:pt idx="3">
                  <c:v>2.1000000000000001E-2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423-44DC-8231-6CB00AA35518}"/>
            </c:ext>
          </c:extLst>
        </c:ser>
        <c:ser>
          <c:idx val="17"/>
          <c:order val="17"/>
          <c:tx>
            <c:strRef>
              <c:f>'Mine Modal Jms'!$B$22</c:f>
              <c:strCache>
                <c:ptCount val="1"/>
                <c:pt idx="0">
                  <c:v>Feldespato K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'Mine Modal Jms'!$C$2:$F$4</c:f>
              <c:multiLvlStrCache>
                <c:ptCount val="4"/>
                <c:lvl>
                  <c:pt idx="0">
                    <c:v>Conc Jms</c:v>
                  </c:pt>
                  <c:pt idx="1">
                    <c:v>Rel Jms </c:v>
                  </c:pt>
                  <c:pt idx="2">
                    <c:v>Conc Jms</c:v>
                  </c:pt>
                  <c:pt idx="3">
                    <c:v>Rel Jms </c:v>
                  </c:pt>
                </c:lvl>
                <c:lvl>
                  <c:pt idx="0">
                    <c:v>05-12-2025</c:v>
                  </c:pt>
                  <c:pt idx="1">
                    <c:v>05-12-2025</c:v>
                  </c:pt>
                  <c:pt idx="2">
                    <c:v>04-12-2025</c:v>
                  </c:pt>
                  <c:pt idx="3">
                    <c:v>04-12-2025</c:v>
                  </c:pt>
                </c:lvl>
              </c:multiLvlStrCache>
            </c:multiLvlStrRef>
          </c:cat>
          <c:val>
            <c:numRef>
              <c:f>'Mine Modal Jms'!$C$22:$F$22</c:f>
              <c:numCache>
                <c:formatCode>General</c:formatCode>
                <c:ptCount val="4"/>
                <c:pt idx="0">
                  <c:v>9.0999999999999998E-2</c:v>
                </c:pt>
                <c:pt idx="1">
                  <c:v>9.2999999999999999E-2</c:v>
                </c:pt>
                <c:pt idx="2">
                  <c:v>6.4000000000000001E-2</c:v>
                </c:pt>
                <c:pt idx="3">
                  <c:v>5.0999999999999997E-2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423-44DC-8231-6CB00AA35518}"/>
            </c:ext>
          </c:extLst>
        </c:ser>
        <c:ser>
          <c:idx val="18"/>
          <c:order val="18"/>
          <c:tx>
            <c:strRef>
              <c:f>'Mine Modal Jms'!$B$23</c:f>
              <c:strCache>
                <c:ptCount val="1"/>
                <c:pt idx="0">
                  <c:v>Ilmenita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'Mine Modal Jms'!$C$2:$F$4</c:f>
              <c:multiLvlStrCache>
                <c:ptCount val="4"/>
                <c:lvl>
                  <c:pt idx="0">
                    <c:v>Conc Jms</c:v>
                  </c:pt>
                  <c:pt idx="1">
                    <c:v>Rel Jms </c:v>
                  </c:pt>
                  <c:pt idx="2">
                    <c:v>Conc Jms</c:v>
                  </c:pt>
                  <c:pt idx="3">
                    <c:v>Rel Jms </c:v>
                  </c:pt>
                </c:lvl>
                <c:lvl>
                  <c:pt idx="0">
                    <c:v>05-12-2025</c:v>
                  </c:pt>
                  <c:pt idx="1">
                    <c:v>05-12-2025</c:v>
                  </c:pt>
                  <c:pt idx="2">
                    <c:v>04-12-2025</c:v>
                  </c:pt>
                  <c:pt idx="3">
                    <c:v>04-12-2025</c:v>
                  </c:pt>
                </c:lvl>
              </c:multiLvlStrCache>
            </c:multiLvlStrRef>
          </c:cat>
          <c:val>
            <c:numRef>
              <c:f>'Mine Modal Jms'!$C$23:$F$23</c:f>
              <c:numCache>
                <c:formatCode>General</c:formatCode>
                <c:ptCount val="4"/>
                <c:pt idx="0">
                  <c:v>4.9000000000000002E-2</c:v>
                </c:pt>
                <c:pt idx="1">
                  <c:v>9.0999999999999998E-2</c:v>
                </c:pt>
                <c:pt idx="2">
                  <c:v>2.3E-2</c:v>
                </c:pt>
                <c:pt idx="3">
                  <c:v>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423-44DC-8231-6CB00AA35518}"/>
            </c:ext>
          </c:extLst>
        </c:ser>
        <c:ser>
          <c:idx val="19"/>
          <c:order val="19"/>
          <c:tx>
            <c:strRef>
              <c:f>'Mine Modal Jms'!$B$24</c:f>
              <c:strCache>
                <c:ptCount val="1"/>
                <c:pt idx="0">
                  <c:v>Esfalerita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'Mine Modal Jms'!$C$2:$F$4</c:f>
              <c:multiLvlStrCache>
                <c:ptCount val="4"/>
                <c:lvl>
                  <c:pt idx="0">
                    <c:v>Conc Jms</c:v>
                  </c:pt>
                  <c:pt idx="1">
                    <c:v>Rel Jms </c:v>
                  </c:pt>
                  <c:pt idx="2">
                    <c:v>Conc Jms</c:v>
                  </c:pt>
                  <c:pt idx="3">
                    <c:v>Rel Jms </c:v>
                  </c:pt>
                </c:lvl>
                <c:lvl>
                  <c:pt idx="0">
                    <c:v>05-12-2025</c:v>
                  </c:pt>
                  <c:pt idx="1">
                    <c:v>05-12-2025</c:v>
                  </c:pt>
                  <c:pt idx="2">
                    <c:v>04-12-2025</c:v>
                  </c:pt>
                  <c:pt idx="3">
                    <c:v>04-12-2025</c:v>
                  </c:pt>
                </c:lvl>
              </c:multiLvlStrCache>
            </c:multiLvlStrRef>
          </c:cat>
          <c:val>
            <c:numRef>
              <c:f>'Mine Modal Jms'!$C$24:$F$24</c:f>
              <c:numCache>
                <c:formatCode>General</c:formatCode>
                <c:ptCount val="4"/>
                <c:pt idx="0">
                  <c:v>2.4E-2</c:v>
                </c:pt>
                <c:pt idx="1">
                  <c:v>0.10100000000000001</c:v>
                </c:pt>
                <c:pt idx="2">
                  <c:v>0.105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423-44DC-8231-6CB00AA35518}"/>
            </c:ext>
          </c:extLst>
        </c:ser>
        <c:ser>
          <c:idx val="20"/>
          <c:order val="20"/>
          <c:tx>
            <c:strRef>
              <c:f>'Mine Modal Jms'!$B$25</c:f>
              <c:strCache>
                <c:ptCount val="1"/>
                <c:pt idx="0">
                  <c:v>Piroxeno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'Mine Modal Jms'!$C$2:$F$4</c:f>
              <c:multiLvlStrCache>
                <c:ptCount val="4"/>
                <c:lvl>
                  <c:pt idx="0">
                    <c:v>Conc Jms</c:v>
                  </c:pt>
                  <c:pt idx="1">
                    <c:v>Rel Jms </c:v>
                  </c:pt>
                  <c:pt idx="2">
                    <c:v>Conc Jms</c:v>
                  </c:pt>
                  <c:pt idx="3">
                    <c:v>Rel Jms </c:v>
                  </c:pt>
                </c:lvl>
                <c:lvl>
                  <c:pt idx="0">
                    <c:v>05-12-2025</c:v>
                  </c:pt>
                  <c:pt idx="1">
                    <c:v>05-12-2025</c:v>
                  </c:pt>
                  <c:pt idx="2">
                    <c:v>04-12-2025</c:v>
                  </c:pt>
                  <c:pt idx="3">
                    <c:v>04-12-2025</c:v>
                  </c:pt>
                </c:lvl>
              </c:multiLvlStrCache>
            </c:multiLvlStrRef>
          </c:cat>
          <c:val>
            <c:numRef>
              <c:f>'Mine Modal Jms'!$C$25:$F$25</c:f>
              <c:numCache>
                <c:formatCode>General</c:formatCode>
                <c:ptCount val="4"/>
                <c:pt idx="0">
                  <c:v>4.2999999999999997E-2</c:v>
                </c:pt>
                <c:pt idx="1">
                  <c:v>8.1000000000000003E-2</c:v>
                </c:pt>
                <c:pt idx="2">
                  <c:v>6.0000000000000001E-3</c:v>
                </c:pt>
                <c:pt idx="3">
                  <c:v>6.0999999999999999E-2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423-44DC-8231-6CB00AA35518}"/>
            </c:ext>
          </c:extLst>
        </c:ser>
        <c:ser>
          <c:idx val="21"/>
          <c:order val="21"/>
          <c:tx>
            <c:strRef>
              <c:f>'Mine Modal Jms'!$B$26</c:f>
              <c:strCache>
                <c:ptCount val="1"/>
                <c:pt idx="0">
                  <c:v>Apatito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'Mine Modal Jms'!$C$2:$F$4</c:f>
              <c:multiLvlStrCache>
                <c:ptCount val="4"/>
                <c:lvl>
                  <c:pt idx="0">
                    <c:v>Conc Jms</c:v>
                  </c:pt>
                  <c:pt idx="1">
                    <c:v>Rel Jms </c:v>
                  </c:pt>
                  <c:pt idx="2">
                    <c:v>Conc Jms</c:v>
                  </c:pt>
                  <c:pt idx="3">
                    <c:v>Rel Jms </c:v>
                  </c:pt>
                </c:lvl>
                <c:lvl>
                  <c:pt idx="0">
                    <c:v>05-12-2025</c:v>
                  </c:pt>
                  <c:pt idx="1">
                    <c:v>05-12-2025</c:v>
                  </c:pt>
                  <c:pt idx="2">
                    <c:v>04-12-2025</c:v>
                  </c:pt>
                  <c:pt idx="3">
                    <c:v>04-12-2025</c:v>
                  </c:pt>
                </c:lvl>
              </c:multiLvlStrCache>
            </c:multiLvlStrRef>
          </c:cat>
          <c:val>
            <c:numRef>
              <c:f>'Mine Modal Jms'!$C$26:$F$26</c:f>
              <c:numCache>
                <c:formatCode>General</c:formatCode>
                <c:ptCount val="4"/>
                <c:pt idx="0">
                  <c:v>5.6000000000000001E-2</c:v>
                </c:pt>
                <c:pt idx="1">
                  <c:v>1.6E-2</c:v>
                </c:pt>
                <c:pt idx="2">
                  <c:v>3.2000000000000001E-2</c:v>
                </c:pt>
                <c:pt idx="3">
                  <c:v>3.1E-2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423-44DC-8231-6CB00AA35518}"/>
            </c:ext>
          </c:extLst>
        </c:ser>
        <c:ser>
          <c:idx val="22"/>
          <c:order val="22"/>
          <c:tx>
            <c:strRef>
              <c:f>'Mine Modal Jms'!$B$27</c:f>
              <c:strCache>
                <c:ptCount val="1"/>
                <c:pt idx="0">
                  <c:v>Arcillas Cu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'Mine Modal Jms'!$C$2:$F$4</c:f>
              <c:multiLvlStrCache>
                <c:ptCount val="4"/>
                <c:lvl>
                  <c:pt idx="0">
                    <c:v>Conc Jms</c:v>
                  </c:pt>
                  <c:pt idx="1">
                    <c:v>Rel Jms </c:v>
                  </c:pt>
                  <c:pt idx="2">
                    <c:v>Conc Jms</c:v>
                  </c:pt>
                  <c:pt idx="3">
                    <c:v>Rel Jms </c:v>
                  </c:pt>
                </c:lvl>
                <c:lvl>
                  <c:pt idx="0">
                    <c:v>05-12-2025</c:v>
                  </c:pt>
                  <c:pt idx="1">
                    <c:v>05-12-2025</c:v>
                  </c:pt>
                  <c:pt idx="2">
                    <c:v>04-12-2025</c:v>
                  </c:pt>
                  <c:pt idx="3">
                    <c:v>04-12-2025</c:v>
                  </c:pt>
                </c:lvl>
              </c:multiLvlStrCache>
            </c:multiLvlStrRef>
          </c:cat>
          <c:val>
            <c:numRef>
              <c:f>'Mine Modal Jms'!$C$27:$F$27</c:f>
              <c:numCache>
                <c:formatCode>General</c:formatCode>
                <c:ptCount val="4"/>
                <c:pt idx="0">
                  <c:v>1.7000000000000001E-2</c:v>
                </c:pt>
                <c:pt idx="1">
                  <c:v>2.8000000000000001E-2</c:v>
                </c:pt>
                <c:pt idx="2">
                  <c:v>1.4E-2</c:v>
                </c:pt>
                <c:pt idx="3">
                  <c:v>1.0999999999999999E-2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A423-44DC-8231-6CB00AA35518}"/>
            </c:ext>
          </c:extLst>
        </c:ser>
        <c:ser>
          <c:idx val="23"/>
          <c:order val="23"/>
          <c:tx>
            <c:strRef>
              <c:f>'Mine Modal Jms'!$B$28</c:f>
              <c:strCache>
                <c:ptCount val="1"/>
                <c:pt idx="0">
                  <c:v>Anhidrita/Yeso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'Mine Modal Jms'!$C$2:$F$4</c:f>
              <c:multiLvlStrCache>
                <c:ptCount val="4"/>
                <c:lvl>
                  <c:pt idx="0">
                    <c:v>Conc Jms</c:v>
                  </c:pt>
                  <c:pt idx="1">
                    <c:v>Rel Jms </c:v>
                  </c:pt>
                  <c:pt idx="2">
                    <c:v>Conc Jms</c:v>
                  </c:pt>
                  <c:pt idx="3">
                    <c:v>Rel Jms </c:v>
                  </c:pt>
                </c:lvl>
                <c:lvl>
                  <c:pt idx="0">
                    <c:v>05-12-2025</c:v>
                  </c:pt>
                  <c:pt idx="1">
                    <c:v>05-12-2025</c:v>
                  </c:pt>
                  <c:pt idx="2">
                    <c:v>04-12-2025</c:v>
                  </c:pt>
                  <c:pt idx="3">
                    <c:v>04-12-2025</c:v>
                  </c:pt>
                </c:lvl>
              </c:multiLvlStrCache>
            </c:multiLvlStrRef>
          </c:cat>
          <c:val>
            <c:numRef>
              <c:f>'Mine Modal Jms'!$C$28:$F$28</c:f>
              <c:numCache>
                <c:formatCode>General</c:formatCode>
                <c:ptCount val="4"/>
                <c:pt idx="0">
                  <c:v>2.4E-2</c:v>
                </c:pt>
                <c:pt idx="1">
                  <c:v>0</c:v>
                </c:pt>
                <c:pt idx="2">
                  <c:v>1.2999999999999999E-2</c:v>
                </c:pt>
                <c:pt idx="3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423-44DC-8231-6CB00AA35518}"/>
            </c:ext>
          </c:extLst>
        </c:ser>
        <c:ser>
          <c:idx val="24"/>
          <c:order val="24"/>
          <c:tx>
            <c:strRef>
              <c:f>'Mine Modal Jms'!$B$29</c:f>
              <c:strCache>
                <c:ptCount val="1"/>
                <c:pt idx="0">
                  <c:v>Monazita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'Mine Modal Jms'!$C$2:$F$4</c:f>
              <c:multiLvlStrCache>
                <c:ptCount val="4"/>
                <c:lvl>
                  <c:pt idx="0">
                    <c:v>Conc Jms</c:v>
                  </c:pt>
                  <c:pt idx="1">
                    <c:v>Rel Jms </c:v>
                  </c:pt>
                  <c:pt idx="2">
                    <c:v>Conc Jms</c:v>
                  </c:pt>
                  <c:pt idx="3">
                    <c:v>Rel Jms </c:v>
                  </c:pt>
                </c:lvl>
                <c:lvl>
                  <c:pt idx="0">
                    <c:v>05-12-2025</c:v>
                  </c:pt>
                  <c:pt idx="1">
                    <c:v>05-12-2025</c:v>
                  </c:pt>
                  <c:pt idx="2">
                    <c:v>04-12-2025</c:v>
                  </c:pt>
                  <c:pt idx="3">
                    <c:v>04-12-2025</c:v>
                  </c:pt>
                </c:lvl>
              </c:multiLvlStrCache>
            </c:multiLvlStrRef>
          </c:cat>
          <c:val>
            <c:numRef>
              <c:f>'Mine Modal Jms'!$C$29:$F$29</c:f>
              <c:numCache>
                <c:formatCode>General</c:formatCode>
                <c:ptCount val="4"/>
                <c:pt idx="0">
                  <c:v>1E-3</c:v>
                </c:pt>
                <c:pt idx="1">
                  <c:v>2.1000000000000001E-2</c:v>
                </c:pt>
                <c:pt idx="2">
                  <c:v>1E-3</c:v>
                </c:pt>
                <c:pt idx="3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A423-44DC-8231-6CB00AA35518}"/>
            </c:ext>
          </c:extLst>
        </c:ser>
        <c:ser>
          <c:idx val="25"/>
          <c:order val="25"/>
          <c:tx>
            <c:strRef>
              <c:f>'Mine Modal Jms'!$B$30</c:f>
              <c:strCache>
                <c:ptCount val="1"/>
                <c:pt idx="0">
                  <c:v>Otros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'Mine Modal Jms'!$C$2:$F$4</c:f>
              <c:multiLvlStrCache>
                <c:ptCount val="4"/>
                <c:lvl>
                  <c:pt idx="0">
                    <c:v>Conc Jms</c:v>
                  </c:pt>
                  <c:pt idx="1">
                    <c:v>Rel Jms </c:v>
                  </c:pt>
                  <c:pt idx="2">
                    <c:v>Conc Jms</c:v>
                  </c:pt>
                  <c:pt idx="3">
                    <c:v>Rel Jms </c:v>
                  </c:pt>
                </c:lvl>
                <c:lvl>
                  <c:pt idx="0">
                    <c:v>05-12-2025</c:v>
                  </c:pt>
                  <c:pt idx="1">
                    <c:v>05-12-2025</c:v>
                  </c:pt>
                  <c:pt idx="2">
                    <c:v>04-12-2025</c:v>
                  </c:pt>
                  <c:pt idx="3">
                    <c:v>04-12-2025</c:v>
                  </c:pt>
                </c:lvl>
              </c:multiLvlStrCache>
            </c:multiLvlStrRef>
          </c:cat>
          <c:val>
            <c:numRef>
              <c:f>'Mine Modal Jms'!$C$30:$F$30</c:f>
              <c:numCache>
                <c:formatCode>General</c:formatCode>
                <c:ptCount val="4"/>
                <c:pt idx="0">
                  <c:v>7.1999999999999995E-2</c:v>
                </c:pt>
                <c:pt idx="1">
                  <c:v>4.4999999999999998E-2</c:v>
                </c:pt>
                <c:pt idx="2">
                  <c:v>4.2000000000000003E-2</c:v>
                </c:pt>
                <c:pt idx="3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A423-44DC-8231-6CB00AA35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08795104"/>
        <c:axId val="1208795584"/>
      </c:barChart>
      <c:catAx>
        <c:axId val="120879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08795584"/>
        <c:crosses val="autoZero"/>
        <c:auto val="1"/>
        <c:lblAlgn val="ctr"/>
        <c:lblOffset val="100"/>
        <c:noMultiLvlLbl val="0"/>
      </c:catAx>
      <c:valAx>
        <c:axId val="120879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Ma</a:t>
                </a:r>
                <a:r>
                  <a:rPr lang="es-CL" baseline="0"/>
                  <a:t>sa minieral (%)</a:t>
                </a: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08795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46213010553095E-2"/>
          <c:y val="0.82640305388781643"/>
          <c:w val="0.94248997522180955"/>
          <c:h val="0.173596946112183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Ocurrencia de Cu Rougher 26-08-25 &amp; 07-08-25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'Ocurrencia Cu Jms'!$A$5</c:f>
              <c:strCache>
                <c:ptCount val="1"/>
                <c:pt idx="0">
                  <c:v>Calcopirita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'Ocurrencia Cu Jms'!$B$2:$E$4</c:f>
              <c:multiLvlStrCache>
                <c:ptCount val="4"/>
                <c:lvl>
                  <c:pt idx="0">
                    <c:v>Conc Jms</c:v>
                  </c:pt>
                  <c:pt idx="1">
                    <c:v>Rel Jms </c:v>
                  </c:pt>
                  <c:pt idx="2">
                    <c:v>Conc Jms</c:v>
                  </c:pt>
                  <c:pt idx="3">
                    <c:v>Rel Jms </c:v>
                  </c:pt>
                </c:lvl>
                <c:lvl>
                  <c:pt idx="0">
                    <c:v>05-12-2025</c:v>
                  </c:pt>
                  <c:pt idx="1">
                    <c:v>05-12-2025</c:v>
                  </c:pt>
                  <c:pt idx="2">
                    <c:v>04-12-2025</c:v>
                  </c:pt>
                  <c:pt idx="3">
                    <c:v>04-12-2025</c:v>
                  </c:pt>
                </c:lvl>
              </c:multiLvlStrCache>
            </c:multiLvlStrRef>
          </c:cat>
          <c:val>
            <c:numRef>
              <c:f>'Ocurrencia Cu Jms'!$B$5:$E$5</c:f>
              <c:numCache>
                <c:formatCode>0.00</c:formatCode>
                <c:ptCount val="4"/>
                <c:pt idx="0">
                  <c:v>60.886499999999998</c:v>
                </c:pt>
                <c:pt idx="1">
                  <c:v>70.019599999999997</c:v>
                </c:pt>
                <c:pt idx="2">
                  <c:v>54.407499999999999</c:v>
                </c:pt>
                <c:pt idx="3">
                  <c:v>50.32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CA-4FC3-B789-3F11AA557F8C}"/>
            </c:ext>
          </c:extLst>
        </c:ser>
        <c:ser>
          <c:idx val="1"/>
          <c:order val="1"/>
          <c:tx>
            <c:strRef>
              <c:f>'Ocurrencia Cu Jms'!$A$6</c:f>
              <c:strCache>
                <c:ptCount val="1"/>
                <c:pt idx="0">
                  <c:v>Calcosina/digenita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2F5-4120-9536-91ECDD7DD212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'Ocurrencia Cu Jms'!$B$2:$E$4</c:f>
              <c:multiLvlStrCache>
                <c:ptCount val="4"/>
                <c:lvl>
                  <c:pt idx="0">
                    <c:v>Conc Jms</c:v>
                  </c:pt>
                  <c:pt idx="1">
                    <c:v>Rel Jms </c:v>
                  </c:pt>
                  <c:pt idx="2">
                    <c:v>Conc Jms</c:v>
                  </c:pt>
                  <c:pt idx="3">
                    <c:v>Rel Jms </c:v>
                  </c:pt>
                </c:lvl>
                <c:lvl>
                  <c:pt idx="0">
                    <c:v>05-12-2025</c:v>
                  </c:pt>
                  <c:pt idx="1">
                    <c:v>05-12-2025</c:v>
                  </c:pt>
                  <c:pt idx="2">
                    <c:v>04-12-2025</c:v>
                  </c:pt>
                  <c:pt idx="3">
                    <c:v>04-12-2025</c:v>
                  </c:pt>
                </c:lvl>
              </c:multiLvlStrCache>
            </c:multiLvlStrRef>
          </c:cat>
          <c:val>
            <c:numRef>
              <c:f>'Ocurrencia Cu Jms'!$B$6:$E$6</c:f>
              <c:numCache>
                <c:formatCode>0.00</c:formatCode>
                <c:ptCount val="4"/>
                <c:pt idx="0">
                  <c:v>27.1004</c:v>
                </c:pt>
                <c:pt idx="1">
                  <c:v>13.316800000000001</c:v>
                </c:pt>
                <c:pt idx="2">
                  <c:v>29.496600000000001</c:v>
                </c:pt>
                <c:pt idx="3">
                  <c:v>16.293099999999999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CA-4FC3-B789-3F11AA557F8C}"/>
            </c:ext>
          </c:extLst>
        </c:ser>
        <c:ser>
          <c:idx val="2"/>
          <c:order val="2"/>
          <c:tx>
            <c:strRef>
              <c:f>'Ocurrencia Cu Jms'!$A$7</c:f>
              <c:strCache>
                <c:ptCount val="1"/>
                <c:pt idx="0">
                  <c:v>Bornita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'Ocurrencia Cu Jms'!$B$2:$E$4</c:f>
              <c:multiLvlStrCache>
                <c:ptCount val="4"/>
                <c:lvl>
                  <c:pt idx="0">
                    <c:v>Conc Jms</c:v>
                  </c:pt>
                  <c:pt idx="1">
                    <c:v>Rel Jms </c:v>
                  </c:pt>
                  <c:pt idx="2">
                    <c:v>Conc Jms</c:v>
                  </c:pt>
                  <c:pt idx="3">
                    <c:v>Rel Jms </c:v>
                  </c:pt>
                </c:lvl>
                <c:lvl>
                  <c:pt idx="0">
                    <c:v>05-12-2025</c:v>
                  </c:pt>
                  <c:pt idx="1">
                    <c:v>05-12-2025</c:v>
                  </c:pt>
                  <c:pt idx="2">
                    <c:v>04-12-2025</c:v>
                  </c:pt>
                  <c:pt idx="3">
                    <c:v>04-12-2025</c:v>
                  </c:pt>
                </c:lvl>
              </c:multiLvlStrCache>
            </c:multiLvlStrRef>
          </c:cat>
          <c:val>
            <c:numRef>
              <c:f>'Ocurrencia Cu Jms'!$B$7:$E$7</c:f>
              <c:numCache>
                <c:formatCode>0.00</c:formatCode>
                <c:ptCount val="4"/>
                <c:pt idx="0">
                  <c:v>7.5510000000000002</c:v>
                </c:pt>
                <c:pt idx="1">
                  <c:v>7.7786999999999997</c:v>
                </c:pt>
                <c:pt idx="2">
                  <c:v>8.6602999999999994</c:v>
                </c:pt>
                <c:pt idx="3">
                  <c:v>16.480799999999999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CA-4FC3-B789-3F11AA557F8C}"/>
            </c:ext>
          </c:extLst>
        </c:ser>
        <c:ser>
          <c:idx val="3"/>
          <c:order val="3"/>
          <c:tx>
            <c:strRef>
              <c:f>'Ocurrencia Cu Jms'!$A$8</c:f>
              <c:strCache>
                <c:ptCount val="1"/>
                <c:pt idx="0">
                  <c:v>Covelina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'Ocurrencia Cu Jms'!$B$2:$E$4</c:f>
              <c:multiLvlStrCache>
                <c:ptCount val="4"/>
                <c:lvl>
                  <c:pt idx="0">
                    <c:v>Conc Jms</c:v>
                  </c:pt>
                  <c:pt idx="1">
                    <c:v>Rel Jms </c:v>
                  </c:pt>
                  <c:pt idx="2">
                    <c:v>Conc Jms</c:v>
                  </c:pt>
                  <c:pt idx="3">
                    <c:v>Rel Jms </c:v>
                  </c:pt>
                </c:lvl>
                <c:lvl>
                  <c:pt idx="0">
                    <c:v>05-12-2025</c:v>
                  </c:pt>
                  <c:pt idx="1">
                    <c:v>05-12-2025</c:v>
                  </c:pt>
                  <c:pt idx="2">
                    <c:v>04-12-2025</c:v>
                  </c:pt>
                  <c:pt idx="3">
                    <c:v>04-12-2025</c:v>
                  </c:pt>
                </c:lvl>
              </c:multiLvlStrCache>
            </c:multiLvlStrRef>
          </c:cat>
          <c:val>
            <c:numRef>
              <c:f>'Ocurrencia Cu Jms'!$B$8:$E$8</c:f>
              <c:numCache>
                <c:formatCode>0.00</c:formatCode>
                <c:ptCount val="4"/>
                <c:pt idx="0">
                  <c:v>3.5625</c:v>
                </c:pt>
                <c:pt idx="1">
                  <c:v>5.9005999999999998</c:v>
                </c:pt>
                <c:pt idx="2">
                  <c:v>6.6982999999999997</c:v>
                </c:pt>
                <c:pt idx="3">
                  <c:v>11.2773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CA-4FC3-B789-3F11AA557F8C}"/>
            </c:ext>
          </c:extLst>
        </c:ser>
        <c:ser>
          <c:idx val="4"/>
          <c:order val="4"/>
          <c:tx>
            <c:strRef>
              <c:f>'Ocurrencia Cu Jms'!$A$9</c:f>
              <c:strCache>
                <c:ptCount val="1"/>
                <c:pt idx="0">
                  <c:v>Enargita/Tennantita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'Ocurrencia Cu Jms'!$B$2:$E$4</c:f>
              <c:multiLvlStrCache>
                <c:ptCount val="4"/>
                <c:lvl>
                  <c:pt idx="0">
                    <c:v>Conc Jms</c:v>
                  </c:pt>
                  <c:pt idx="1">
                    <c:v>Rel Jms </c:v>
                  </c:pt>
                  <c:pt idx="2">
                    <c:v>Conc Jms</c:v>
                  </c:pt>
                  <c:pt idx="3">
                    <c:v>Rel Jms </c:v>
                  </c:pt>
                </c:lvl>
                <c:lvl>
                  <c:pt idx="0">
                    <c:v>05-12-2025</c:v>
                  </c:pt>
                  <c:pt idx="1">
                    <c:v>05-12-2025</c:v>
                  </c:pt>
                  <c:pt idx="2">
                    <c:v>04-12-2025</c:v>
                  </c:pt>
                  <c:pt idx="3">
                    <c:v>04-12-2025</c:v>
                  </c:pt>
                </c:lvl>
              </c:multiLvlStrCache>
            </c:multiLvlStrRef>
          </c:cat>
          <c:val>
            <c:numRef>
              <c:f>'Ocurrencia Cu Jms'!$B$9:$E$9</c:f>
              <c:numCache>
                <c:formatCode>0.00</c:formatCode>
                <c:ptCount val="4"/>
                <c:pt idx="0">
                  <c:v>0.8276</c:v>
                </c:pt>
                <c:pt idx="1">
                  <c:v>2.8893</c:v>
                </c:pt>
                <c:pt idx="2">
                  <c:v>0.73640000000000005</c:v>
                </c:pt>
                <c:pt idx="3">
                  <c:v>5.6288999999999998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CCA-4FC3-B789-3F11AA557F8C}"/>
            </c:ext>
          </c:extLst>
        </c:ser>
        <c:ser>
          <c:idx val="5"/>
          <c:order val="5"/>
          <c:tx>
            <c:strRef>
              <c:f>'Ocurrencia Cu Jms'!$A$10</c:f>
              <c:strCache>
                <c:ptCount val="1"/>
                <c:pt idx="0">
                  <c:v>Otros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'Ocurrencia Cu Jms'!$B$2:$E$4</c:f>
              <c:multiLvlStrCache>
                <c:ptCount val="4"/>
                <c:lvl>
                  <c:pt idx="0">
                    <c:v>Conc Jms</c:v>
                  </c:pt>
                  <c:pt idx="1">
                    <c:v>Rel Jms </c:v>
                  </c:pt>
                  <c:pt idx="2">
                    <c:v>Conc Jms</c:v>
                  </c:pt>
                  <c:pt idx="3">
                    <c:v>Rel Jms </c:v>
                  </c:pt>
                </c:lvl>
                <c:lvl>
                  <c:pt idx="0">
                    <c:v>05-12-2025</c:v>
                  </c:pt>
                  <c:pt idx="1">
                    <c:v>05-12-2025</c:v>
                  </c:pt>
                  <c:pt idx="2">
                    <c:v>04-12-2025</c:v>
                  </c:pt>
                  <c:pt idx="3">
                    <c:v>04-12-2025</c:v>
                  </c:pt>
                </c:lvl>
              </c:multiLvlStrCache>
            </c:multiLvlStrRef>
          </c:cat>
          <c:val>
            <c:numRef>
              <c:f>'Ocurrencia Cu Jms'!$B$10:$E$10</c:f>
              <c:numCache>
                <c:formatCode>0.00</c:formatCode>
                <c:ptCount val="4"/>
                <c:pt idx="0">
                  <c:v>7.2099999999999997E-2</c:v>
                </c:pt>
                <c:pt idx="1">
                  <c:v>9.5000000000000001E-2</c:v>
                </c:pt>
                <c:pt idx="2">
                  <c:v>8.0000000000000004E-4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CCA-4FC3-B789-3F11AA557F8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14826720"/>
        <c:axId val="214820480"/>
      </c:barChart>
      <c:catAx>
        <c:axId val="21482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14820480"/>
        <c:crosses val="autoZero"/>
        <c:auto val="1"/>
        <c:lblAlgn val="ctr"/>
        <c:lblOffset val="100"/>
        <c:noMultiLvlLbl val="0"/>
      </c:catAx>
      <c:valAx>
        <c:axId val="21482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%</a:t>
                </a:r>
                <a:r>
                  <a:rPr lang="es-CL" baseline="0"/>
                  <a:t> Especie Mineral</a:t>
                </a: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1482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Liberacion</a:t>
            </a:r>
            <a:r>
              <a:rPr lang="es-CL" baseline="0"/>
              <a:t> Calcopirita</a:t>
            </a:r>
            <a:endParaRPr lang="es-CL"/>
          </a:p>
        </c:rich>
      </c:tx>
      <c:layout>
        <c:manualLayout>
          <c:xMode val="edge"/>
          <c:yMode val="edge"/>
          <c:x val="0.25896522309711284"/>
          <c:y val="2.35980088483242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'Liberación Jms'!$E$3</c:f>
              <c:strCache>
                <c:ptCount val="1"/>
                <c:pt idx="0">
                  <c:v>&lt;10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'Liberación Jms'!$D$4:$D$7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Jms'!$E$4:$E$7</c:f>
              <c:numCache>
                <c:formatCode>0.0</c:formatCode>
                <c:ptCount val="4"/>
                <c:pt idx="0">
                  <c:v>3.9744000000000002</c:v>
                </c:pt>
                <c:pt idx="1">
                  <c:v>11.0169</c:v>
                </c:pt>
                <c:pt idx="2">
                  <c:v>0.39960000000000001</c:v>
                </c:pt>
                <c:pt idx="3">
                  <c:v>1.0456000000000001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3B-4EF4-9602-3BCAACD7B7FE}"/>
            </c:ext>
          </c:extLst>
        </c:ser>
        <c:ser>
          <c:idx val="1"/>
          <c:order val="1"/>
          <c:tx>
            <c:strRef>
              <c:f>'Liberación Jms'!$F$3</c:f>
              <c:strCache>
                <c:ptCount val="1"/>
                <c:pt idx="0">
                  <c:v>≥10&lt;20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'Liberación Jms'!$D$4:$D$7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Jms'!$F$4:$F$7</c:f>
              <c:numCache>
                <c:formatCode>0.0</c:formatCode>
                <c:ptCount val="4"/>
                <c:pt idx="0">
                  <c:v>3.7351999999999999</c:v>
                </c:pt>
                <c:pt idx="1">
                  <c:v>0</c:v>
                </c:pt>
                <c:pt idx="2">
                  <c:v>0.81730000000000003</c:v>
                </c:pt>
                <c:pt idx="3">
                  <c:v>2.2073999999999998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3B-4EF4-9602-3BCAACD7B7FE}"/>
            </c:ext>
          </c:extLst>
        </c:ser>
        <c:ser>
          <c:idx val="2"/>
          <c:order val="2"/>
          <c:tx>
            <c:strRef>
              <c:f>'Liberación Jms'!$G$3</c:f>
              <c:strCache>
                <c:ptCount val="1"/>
                <c:pt idx="0">
                  <c:v>≥20&lt;30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'Liberación Jms'!$D$4:$D$7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Jms'!$G$4:$G$7</c:f>
              <c:numCache>
                <c:formatCode>0.0</c:formatCode>
                <c:ptCount val="4"/>
                <c:pt idx="0">
                  <c:v>5.6397000000000004</c:v>
                </c:pt>
                <c:pt idx="1">
                  <c:v>5.9321999999999999</c:v>
                </c:pt>
                <c:pt idx="2">
                  <c:v>1.6577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3B-4EF4-9602-3BCAACD7B7FE}"/>
            </c:ext>
          </c:extLst>
        </c:ser>
        <c:ser>
          <c:idx val="3"/>
          <c:order val="3"/>
          <c:tx>
            <c:strRef>
              <c:f>'Liberación Jms'!$H$3</c:f>
              <c:strCache>
                <c:ptCount val="1"/>
                <c:pt idx="0">
                  <c:v>≥30&lt;40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'Liberación Jms'!$D$4:$D$7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Jms'!$H$4:$H$7</c:f>
              <c:numCache>
                <c:formatCode>0.0</c:formatCode>
                <c:ptCount val="4"/>
                <c:pt idx="0">
                  <c:v>1.9162999999999999</c:v>
                </c:pt>
                <c:pt idx="1">
                  <c:v>0</c:v>
                </c:pt>
                <c:pt idx="2">
                  <c:v>1.9317</c:v>
                </c:pt>
                <c:pt idx="3">
                  <c:v>1.8588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3B-4EF4-9602-3BCAACD7B7FE}"/>
            </c:ext>
          </c:extLst>
        </c:ser>
        <c:ser>
          <c:idx val="4"/>
          <c:order val="4"/>
          <c:tx>
            <c:strRef>
              <c:f>'Liberación Jms'!$I$3</c:f>
              <c:strCache>
                <c:ptCount val="1"/>
                <c:pt idx="0">
                  <c:v>≥40&lt;50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'Liberación Jms'!$D$4:$D$7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Jms'!$I$4:$I$7</c:f>
              <c:numCache>
                <c:formatCode>0.0</c:formatCode>
                <c:ptCount val="4"/>
                <c:pt idx="0">
                  <c:v>3.3307000000000002</c:v>
                </c:pt>
                <c:pt idx="1">
                  <c:v>1.6949000000000001</c:v>
                </c:pt>
                <c:pt idx="2">
                  <c:v>3.2368000000000001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3B-4EF4-9602-3BCAACD7B7FE}"/>
            </c:ext>
          </c:extLst>
        </c:ser>
        <c:ser>
          <c:idx val="5"/>
          <c:order val="5"/>
          <c:tx>
            <c:strRef>
              <c:f>'Liberación Jms'!$J$3</c:f>
              <c:strCache>
                <c:ptCount val="1"/>
                <c:pt idx="0">
                  <c:v>≥50&lt;60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'Liberación Jms'!$D$4:$D$7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Jms'!$J$4:$J$7</c:f>
              <c:numCache>
                <c:formatCode>0.0</c:formatCode>
                <c:ptCount val="4"/>
                <c:pt idx="0">
                  <c:v>3.7883</c:v>
                </c:pt>
                <c:pt idx="1">
                  <c:v>0</c:v>
                </c:pt>
                <c:pt idx="2">
                  <c:v>4.2343000000000002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3B-4EF4-9602-3BCAACD7B7FE}"/>
            </c:ext>
          </c:extLst>
        </c:ser>
        <c:ser>
          <c:idx val="6"/>
          <c:order val="6"/>
          <c:tx>
            <c:strRef>
              <c:f>'Liberación Jms'!$K$3</c:f>
              <c:strCache>
                <c:ptCount val="1"/>
                <c:pt idx="0">
                  <c:v>≥60&lt;70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'Liberación Jms'!$D$4:$D$7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Jms'!$K$4:$K$7</c:f>
              <c:numCache>
                <c:formatCode>0.0</c:formatCode>
                <c:ptCount val="4"/>
                <c:pt idx="0">
                  <c:v>5.5659000000000001</c:v>
                </c:pt>
                <c:pt idx="1">
                  <c:v>0</c:v>
                </c:pt>
                <c:pt idx="2">
                  <c:v>6.6013999999999999</c:v>
                </c:pt>
                <c:pt idx="3">
                  <c:v>2.2073999999999998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3B-4EF4-9602-3BCAACD7B7FE}"/>
            </c:ext>
          </c:extLst>
        </c:ser>
        <c:ser>
          <c:idx val="7"/>
          <c:order val="7"/>
          <c:tx>
            <c:strRef>
              <c:f>'Liberación Jms'!$L$3</c:f>
              <c:strCache>
                <c:ptCount val="1"/>
                <c:pt idx="0">
                  <c:v>≥70&lt;80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'Liberación Jms'!$D$4:$D$7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Jms'!$L$4:$L$7</c:f>
              <c:numCache>
                <c:formatCode>0.0</c:formatCode>
                <c:ptCount val="4"/>
                <c:pt idx="0">
                  <c:v>6.7765000000000004</c:v>
                </c:pt>
                <c:pt idx="1">
                  <c:v>13.5593</c:v>
                </c:pt>
                <c:pt idx="2">
                  <c:v>7.1627999999999998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63B-4EF4-9602-3BCAACD7B7FE}"/>
            </c:ext>
          </c:extLst>
        </c:ser>
        <c:ser>
          <c:idx val="8"/>
          <c:order val="8"/>
          <c:tx>
            <c:strRef>
              <c:f>'Liberación Jms'!$M$3</c:f>
              <c:strCache>
                <c:ptCount val="1"/>
                <c:pt idx="0">
                  <c:v>≥80&lt;90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'Liberación Jms'!$D$4:$D$7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Jms'!$M$4:$M$7</c:f>
              <c:numCache>
                <c:formatCode>0.0</c:formatCode>
                <c:ptCount val="4"/>
                <c:pt idx="0">
                  <c:v>10.6328</c:v>
                </c:pt>
                <c:pt idx="1">
                  <c:v>0</c:v>
                </c:pt>
                <c:pt idx="2">
                  <c:v>6.2702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3B-4EF4-9602-3BCAACD7B7FE}"/>
            </c:ext>
          </c:extLst>
        </c:ser>
        <c:ser>
          <c:idx val="9"/>
          <c:order val="9"/>
          <c:tx>
            <c:strRef>
              <c:f>'Liberación Jms'!$N$3</c:f>
              <c:strCache>
                <c:ptCount val="1"/>
                <c:pt idx="0">
                  <c:v>≥90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'Liberación Jms'!$D$4:$D$7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Jms'!$N$4:$N$7</c:f>
              <c:numCache>
                <c:formatCode>0.0</c:formatCode>
                <c:ptCount val="4"/>
                <c:pt idx="0">
                  <c:v>54.6402</c:v>
                </c:pt>
                <c:pt idx="1">
                  <c:v>67.796599999999998</c:v>
                </c:pt>
                <c:pt idx="2">
                  <c:v>67.688299999999998</c:v>
                </c:pt>
                <c:pt idx="3">
                  <c:v>92.680899999999994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63B-4EF4-9602-3BCAACD7B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16941008"/>
        <c:axId val="1416957808"/>
      </c:barChart>
      <c:catAx>
        <c:axId val="141694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16957808"/>
        <c:crosses val="max"/>
        <c:auto val="1"/>
        <c:lblAlgn val="ctr"/>
        <c:lblOffset val="100"/>
        <c:noMultiLvlLbl val="0"/>
      </c:catAx>
      <c:valAx>
        <c:axId val="1416957808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1694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Liberacion Covelina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'Liberación Jms'!$E$3</c:f>
              <c:strCache>
                <c:ptCount val="1"/>
                <c:pt idx="0">
                  <c:v>&lt;10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'Liberación Jms'!$D$16:$D$19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Jms'!$E$16:$E$19</c:f>
              <c:numCache>
                <c:formatCode>0.0</c:formatCode>
                <c:ptCount val="4"/>
                <c:pt idx="0">
                  <c:v>10.511799999999999</c:v>
                </c:pt>
                <c:pt idx="1">
                  <c:v>38.271599999999999</c:v>
                </c:pt>
                <c:pt idx="2">
                  <c:v>2.0369000000000002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5A-4952-A9FF-485633FE7444}"/>
            </c:ext>
          </c:extLst>
        </c:ser>
        <c:ser>
          <c:idx val="1"/>
          <c:order val="1"/>
          <c:tx>
            <c:strRef>
              <c:f>'Liberación Jms'!$F$3</c:f>
              <c:strCache>
                <c:ptCount val="1"/>
                <c:pt idx="0">
                  <c:v>≥10&lt;20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'Liberación Jms'!$D$16:$D$19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Jms'!$F$16:$F$19</c:f>
              <c:numCache>
                <c:formatCode>0.0</c:formatCode>
                <c:ptCount val="4"/>
                <c:pt idx="0">
                  <c:v>11.932700000000001</c:v>
                </c:pt>
                <c:pt idx="1">
                  <c:v>0</c:v>
                </c:pt>
                <c:pt idx="2">
                  <c:v>4.3242000000000003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5A-4952-A9FF-485633FE7444}"/>
            </c:ext>
          </c:extLst>
        </c:ser>
        <c:ser>
          <c:idx val="2"/>
          <c:order val="2"/>
          <c:tx>
            <c:strRef>
              <c:f>'Liberación Jms'!$G$3</c:f>
              <c:strCache>
                <c:ptCount val="1"/>
                <c:pt idx="0">
                  <c:v>≥20&lt;30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'Liberación Jms'!$D$16:$D$19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Jms'!$G$16:$G$19</c:f>
              <c:numCache>
                <c:formatCode>0.0</c:formatCode>
                <c:ptCount val="4"/>
                <c:pt idx="0">
                  <c:v>6.8291000000000004</c:v>
                </c:pt>
                <c:pt idx="1">
                  <c:v>17.283999999999999</c:v>
                </c:pt>
                <c:pt idx="2">
                  <c:v>5.17</c:v>
                </c:pt>
                <c:pt idx="3">
                  <c:v>2.2471999999999999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5A-4952-A9FF-485633FE7444}"/>
            </c:ext>
          </c:extLst>
        </c:ser>
        <c:ser>
          <c:idx val="3"/>
          <c:order val="3"/>
          <c:tx>
            <c:strRef>
              <c:f>'Liberación Jms'!$H$3</c:f>
              <c:strCache>
                <c:ptCount val="1"/>
                <c:pt idx="0">
                  <c:v>≥30&lt;40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'Liberación Jms'!$D$16:$D$19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Jms'!$H$16:$H$19</c:f>
              <c:numCache>
                <c:formatCode>0.0</c:formatCode>
                <c:ptCount val="4"/>
                <c:pt idx="0">
                  <c:v>6.8581000000000003</c:v>
                </c:pt>
                <c:pt idx="1">
                  <c:v>0</c:v>
                </c:pt>
                <c:pt idx="2">
                  <c:v>5.7138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5A-4952-A9FF-485633FE7444}"/>
            </c:ext>
          </c:extLst>
        </c:ser>
        <c:ser>
          <c:idx val="4"/>
          <c:order val="4"/>
          <c:tx>
            <c:strRef>
              <c:f>'Liberación Jms'!$I$3</c:f>
              <c:strCache>
                <c:ptCount val="1"/>
                <c:pt idx="0">
                  <c:v>≥40&lt;50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'Liberación Jms'!$D$16:$D$19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Jms'!$I$16:$I$19</c:f>
              <c:numCache>
                <c:formatCode>0.0</c:formatCode>
                <c:ptCount val="4"/>
                <c:pt idx="0">
                  <c:v>6.7420999999999998</c:v>
                </c:pt>
                <c:pt idx="1">
                  <c:v>0</c:v>
                </c:pt>
                <c:pt idx="2">
                  <c:v>5.0406000000000004</c:v>
                </c:pt>
                <c:pt idx="3">
                  <c:v>6.7416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5A-4952-A9FF-485633FE7444}"/>
            </c:ext>
          </c:extLst>
        </c:ser>
        <c:ser>
          <c:idx val="5"/>
          <c:order val="5"/>
          <c:tx>
            <c:strRef>
              <c:f>'Liberación Jms'!$J$3</c:f>
              <c:strCache>
                <c:ptCount val="1"/>
                <c:pt idx="0">
                  <c:v>≥50&lt;60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'Liberación Jms'!$D$16:$D$19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Jms'!$J$16:$J$19</c:f>
              <c:numCache>
                <c:formatCode>0.0</c:formatCode>
                <c:ptCount val="4"/>
                <c:pt idx="0">
                  <c:v>3.3927999999999998</c:v>
                </c:pt>
                <c:pt idx="1">
                  <c:v>0</c:v>
                </c:pt>
                <c:pt idx="2">
                  <c:v>6.1280999999999999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55A-4952-A9FF-485633FE7444}"/>
            </c:ext>
          </c:extLst>
        </c:ser>
        <c:ser>
          <c:idx val="6"/>
          <c:order val="6"/>
          <c:tx>
            <c:strRef>
              <c:f>'Liberación Jms'!$K$3</c:f>
              <c:strCache>
                <c:ptCount val="1"/>
                <c:pt idx="0">
                  <c:v>≥60&lt;70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'Liberación Jms'!$D$16:$D$19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Jms'!$K$16:$K$19</c:f>
              <c:numCache>
                <c:formatCode>0.0</c:formatCode>
                <c:ptCount val="4"/>
                <c:pt idx="0">
                  <c:v>2.5373000000000001</c:v>
                </c:pt>
                <c:pt idx="1">
                  <c:v>3.7037</c:v>
                </c:pt>
                <c:pt idx="2">
                  <c:v>5.9208999999999996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55A-4952-A9FF-485633FE7444}"/>
            </c:ext>
          </c:extLst>
        </c:ser>
        <c:ser>
          <c:idx val="7"/>
          <c:order val="7"/>
          <c:tx>
            <c:strRef>
              <c:f>'Liberación Jms'!$L$3</c:f>
              <c:strCache>
                <c:ptCount val="1"/>
                <c:pt idx="0">
                  <c:v>≥70&lt;80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'Liberación Jms'!$D$16:$D$19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Jms'!$L$16:$L$19</c:f>
              <c:numCache>
                <c:formatCode>0.0</c:formatCode>
                <c:ptCount val="4"/>
                <c:pt idx="0">
                  <c:v>12.295199999999999</c:v>
                </c:pt>
                <c:pt idx="1">
                  <c:v>30.8642</c:v>
                </c:pt>
                <c:pt idx="2">
                  <c:v>4.7211999999999996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55A-4952-A9FF-485633FE7444}"/>
            </c:ext>
          </c:extLst>
        </c:ser>
        <c:ser>
          <c:idx val="8"/>
          <c:order val="8"/>
          <c:tx>
            <c:strRef>
              <c:f>'Liberación Jms'!$M$3</c:f>
              <c:strCache>
                <c:ptCount val="1"/>
                <c:pt idx="0">
                  <c:v>≥80&lt;90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'Liberación Jms'!$D$16:$D$19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Jms'!$M$16:$M$19</c:f>
              <c:numCache>
                <c:formatCode>0.0</c:formatCode>
                <c:ptCount val="4"/>
                <c:pt idx="0">
                  <c:v>3.5087999999999999</c:v>
                </c:pt>
                <c:pt idx="1">
                  <c:v>0</c:v>
                </c:pt>
                <c:pt idx="2">
                  <c:v>11.488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55A-4952-A9FF-485633FE7444}"/>
            </c:ext>
          </c:extLst>
        </c:ser>
        <c:ser>
          <c:idx val="9"/>
          <c:order val="9"/>
          <c:tx>
            <c:strRef>
              <c:f>'Liberación Jms'!$N$3</c:f>
              <c:strCache>
                <c:ptCount val="1"/>
                <c:pt idx="0">
                  <c:v>≥90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'Liberación Jms'!$D$16:$D$19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Jms'!$N$16:$N$19</c:f>
              <c:numCache>
                <c:formatCode>0.0</c:formatCode>
                <c:ptCount val="4"/>
                <c:pt idx="0">
                  <c:v>35.392200000000003</c:v>
                </c:pt>
                <c:pt idx="1">
                  <c:v>9.8765000000000001</c:v>
                </c:pt>
                <c:pt idx="2">
                  <c:v>49.456200000000003</c:v>
                </c:pt>
                <c:pt idx="3">
                  <c:v>91.011200000000002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55A-4952-A9FF-485633FE7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16941008"/>
        <c:axId val="1416957808"/>
      </c:barChart>
      <c:catAx>
        <c:axId val="141694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16957808"/>
        <c:crosses val="max"/>
        <c:auto val="1"/>
        <c:lblAlgn val="ctr"/>
        <c:lblOffset val="100"/>
        <c:noMultiLvlLbl val="0"/>
      </c:catAx>
      <c:valAx>
        <c:axId val="1416957808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1694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Liberacion Calcosina/Digenita</a:t>
            </a:r>
            <a:r>
              <a:rPr lang="es-CL" baseline="0"/>
              <a:t> 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'Liberación Jms'!$E$3</c:f>
              <c:strCache>
                <c:ptCount val="1"/>
                <c:pt idx="0">
                  <c:v>&lt;10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'Liberación Jms'!$D$8:$D$11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Jms'!$E$8:$E$11</c:f>
              <c:numCache>
                <c:formatCode>0.0</c:formatCode>
                <c:ptCount val="4"/>
                <c:pt idx="0">
                  <c:v>3.9744000000000002</c:v>
                </c:pt>
                <c:pt idx="1">
                  <c:v>11.0169</c:v>
                </c:pt>
                <c:pt idx="2">
                  <c:v>0.80769999999999997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49-4479-8B44-76B07C95F2E5}"/>
            </c:ext>
          </c:extLst>
        </c:ser>
        <c:ser>
          <c:idx val="1"/>
          <c:order val="1"/>
          <c:tx>
            <c:strRef>
              <c:f>'Liberación Jms'!$F$3</c:f>
              <c:strCache>
                <c:ptCount val="1"/>
                <c:pt idx="0">
                  <c:v>≥10&lt;20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'Liberación Jms'!$D$8:$D$11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Jms'!$F$8:$F$11</c:f>
              <c:numCache>
                <c:formatCode>0.0</c:formatCode>
                <c:ptCount val="4"/>
                <c:pt idx="0">
                  <c:v>3.7351999999999999</c:v>
                </c:pt>
                <c:pt idx="1">
                  <c:v>0</c:v>
                </c:pt>
                <c:pt idx="2">
                  <c:v>1.2419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49-4479-8B44-76B07C95F2E5}"/>
            </c:ext>
          </c:extLst>
        </c:ser>
        <c:ser>
          <c:idx val="2"/>
          <c:order val="2"/>
          <c:tx>
            <c:strRef>
              <c:f>'Liberación Jms'!$G$3</c:f>
              <c:strCache>
                <c:ptCount val="1"/>
                <c:pt idx="0">
                  <c:v>≥20&lt;30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'Liberación Jms'!$D$8:$D$11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Jms'!$G$8:$G$11</c:f>
              <c:numCache>
                <c:formatCode>0.0</c:formatCode>
                <c:ptCount val="4"/>
                <c:pt idx="0">
                  <c:v>5.6397000000000004</c:v>
                </c:pt>
                <c:pt idx="1">
                  <c:v>5.9321999999999999</c:v>
                </c:pt>
                <c:pt idx="2">
                  <c:v>3.0819999999999999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49-4479-8B44-76B07C95F2E5}"/>
            </c:ext>
          </c:extLst>
        </c:ser>
        <c:ser>
          <c:idx val="3"/>
          <c:order val="3"/>
          <c:tx>
            <c:strRef>
              <c:f>'Liberación Jms'!$H$3</c:f>
              <c:strCache>
                <c:ptCount val="1"/>
                <c:pt idx="0">
                  <c:v>≥30&lt;40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'Liberación Jms'!$D$8:$D$11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Jms'!$H$8:$H$11</c:f>
              <c:numCache>
                <c:formatCode>0.0</c:formatCode>
                <c:ptCount val="4"/>
                <c:pt idx="0">
                  <c:v>1.9162999999999999</c:v>
                </c:pt>
                <c:pt idx="1">
                  <c:v>0</c:v>
                </c:pt>
                <c:pt idx="2">
                  <c:v>2.3077000000000001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49-4479-8B44-76B07C95F2E5}"/>
            </c:ext>
          </c:extLst>
        </c:ser>
        <c:ser>
          <c:idx val="4"/>
          <c:order val="4"/>
          <c:tx>
            <c:strRef>
              <c:f>'Liberación Jms'!$I$3</c:f>
              <c:strCache>
                <c:ptCount val="1"/>
                <c:pt idx="0">
                  <c:v>≥40&lt;50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'Liberación Jms'!$D$8:$D$11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Jms'!$I$8:$I$11</c:f>
              <c:numCache>
                <c:formatCode>0.0</c:formatCode>
                <c:ptCount val="4"/>
                <c:pt idx="0">
                  <c:v>3.3307000000000002</c:v>
                </c:pt>
                <c:pt idx="1">
                  <c:v>1.6949000000000001</c:v>
                </c:pt>
                <c:pt idx="2">
                  <c:v>3.1124000000000001</c:v>
                </c:pt>
                <c:pt idx="3">
                  <c:v>4.8193000000000001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449-4479-8B44-76B07C95F2E5}"/>
            </c:ext>
          </c:extLst>
        </c:ser>
        <c:ser>
          <c:idx val="5"/>
          <c:order val="5"/>
          <c:tx>
            <c:strRef>
              <c:f>'Liberación Jms'!$J$3</c:f>
              <c:strCache>
                <c:ptCount val="1"/>
                <c:pt idx="0">
                  <c:v>≥50&lt;60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'Liberación Jms'!$D$8:$D$11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Jms'!$J$8:$J$11</c:f>
              <c:numCache>
                <c:formatCode>0.0</c:formatCode>
                <c:ptCount val="4"/>
                <c:pt idx="0">
                  <c:v>3.7883</c:v>
                </c:pt>
                <c:pt idx="1">
                  <c:v>0</c:v>
                </c:pt>
                <c:pt idx="2">
                  <c:v>4.4089999999999998</c:v>
                </c:pt>
                <c:pt idx="3">
                  <c:v>10.843400000000001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449-4479-8B44-76B07C95F2E5}"/>
            </c:ext>
          </c:extLst>
        </c:ser>
        <c:ser>
          <c:idx val="6"/>
          <c:order val="6"/>
          <c:tx>
            <c:strRef>
              <c:f>'Liberación Jms'!$K$3</c:f>
              <c:strCache>
                <c:ptCount val="1"/>
                <c:pt idx="0">
                  <c:v>≥60&lt;70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'Liberación Jms'!$D$8:$D$11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Jms'!$K$8:$K$11</c:f>
              <c:numCache>
                <c:formatCode>0.0</c:formatCode>
                <c:ptCount val="4"/>
                <c:pt idx="0">
                  <c:v>5.5659000000000001</c:v>
                </c:pt>
                <c:pt idx="1">
                  <c:v>0</c:v>
                </c:pt>
                <c:pt idx="2">
                  <c:v>6.4676999999999998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449-4479-8B44-76B07C95F2E5}"/>
            </c:ext>
          </c:extLst>
        </c:ser>
        <c:ser>
          <c:idx val="7"/>
          <c:order val="7"/>
          <c:tx>
            <c:strRef>
              <c:f>'Liberación Jms'!$L$3</c:f>
              <c:strCache>
                <c:ptCount val="1"/>
                <c:pt idx="0">
                  <c:v>≥70&lt;80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'Liberación Jms'!$D$8:$D$11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Jms'!$L$8:$L$11</c:f>
              <c:numCache>
                <c:formatCode>0.0</c:formatCode>
                <c:ptCount val="4"/>
                <c:pt idx="0">
                  <c:v>6.7765000000000004</c:v>
                </c:pt>
                <c:pt idx="1">
                  <c:v>13.5593</c:v>
                </c:pt>
                <c:pt idx="2">
                  <c:v>3.7044999999999999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449-4479-8B44-76B07C95F2E5}"/>
            </c:ext>
          </c:extLst>
        </c:ser>
        <c:ser>
          <c:idx val="8"/>
          <c:order val="8"/>
          <c:tx>
            <c:strRef>
              <c:f>'Liberación Jms'!$M$3</c:f>
              <c:strCache>
                <c:ptCount val="1"/>
                <c:pt idx="0">
                  <c:v>≥80&lt;90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'Liberación Jms'!$D$8:$D$11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Jms'!$M$8:$M$11</c:f>
              <c:numCache>
                <c:formatCode>0.0</c:formatCode>
                <c:ptCount val="4"/>
                <c:pt idx="0">
                  <c:v>10.6328</c:v>
                </c:pt>
                <c:pt idx="1">
                  <c:v>0</c:v>
                </c:pt>
                <c:pt idx="2">
                  <c:v>9.2734000000000005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449-4479-8B44-76B07C95F2E5}"/>
            </c:ext>
          </c:extLst>
        </c:ser>
        <c:ser>
          <c:idx val="9"/>
          <c:order val="9"/>
          <c:tx>
            <c:strRef>
              <c:f>'Liberación Jms'!$N$3</c:f>
              <c:strCache>
                <c:ptCount val="1"/>
                <c:pt idx="0">
                  <c:v>≥90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'Liberación Jms'!$D$8:$D$11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Jms'!$N$8:$N$11</c:f>
              <c:numCache>
                <c:formatCode>0.0</c:formatCode>
                <c:ptCount val="4"/>
                <c:pt idx="0">
                  <c:v>54.6402</c:v>
                </c:pt>
                <c:pt idx="1">
                  <c:v>67.796599999999998</c:v>
                </c:pt>
                <c:pt idx="2">
                  <c:v>65.593800000000002</c:v>
                </c:pt>
                <c:pt idx="3">
                  <c:v>84.337299999999999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449-4479-8B44-76B07C95F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16941008"/>
        <c:axId val="1416957808"/>
      </c:barChart>
      <c:catAx>
        <c:axId val="141694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16957808"/>
        <c:crosses val="max"/>
        <c:auto val="1"/>
        <c:lblAlgn val="ctr"/>
        <c:lblOffset val="100"/>
        <c:noMultiLvlLbl val="0"/>
      </c:catAx>
      <c:valAx>
        <c:axId val="1416957808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1694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Liberacion Bornita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'Liberación Jms'!$E$3</c:f>
              <c:strCache>
                <c:ptCount val="1"/>
                <c:pt idx="0">
                  <c:v>&lt;10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'Liberación Jms'!$D$12:$D$15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Jms'!$E$12:$E$15</c:f>
              <c:numCache>
                <c:formatCode>0.0</c:formatCode>
                <c:ptCount val="4"/>
                <c:pt idx="0">
                  <c:v>10.6334</c:v>
                </c:pt>
                <c:pt idx="1">
                  <c:v>19.422000000000001</c:v>
                </c:pt>
                <c:pt idx="2">
                  <c:v>3.8494999999999999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36-416E-A4F1-E1DA31789B0B}"/>
            </c:ext>
          </c:extLst>
        </c:ser>
        <c:ser>
          <c:idx val="1"/>
          <c:order val="1"/>
          <c:tx>
            <c:strRef>
              <c:f>'Liberación Jms'!$F$3</c:f>
              <c:strCache>
                <c:ptCount val="1"/>
                <c:pt idx="0">
                  <c:v>≥10&lt;20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'Liberación Jms'!$D$12:$D$15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Jms'!$F$12:$F$15</c:f>
              <c:numCache>
                <c:formatCode>0.0</c:formatCode>
                <c:ptCount val="4"/>
                <c:pt idx="0">
                  <c:v>8.9719999999999995</c:v>
                </c:pt>
                <c:pt idx="1">
                  <c:v>0</c:v>
                </c:pt>
                <c:pt idx="2">
                  <c:v>5.5961999999999996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36-416E-A4F1-E1DA31789B0B}"/>
            </c:ext>
          </c:extLst>
        </c:ser>
        <c:ser>
          <c:idx val="2"/>
          <c:order val="2"/>
          <c:tx>
            <c:strRef>
              <c:f>'Liberación Jms'!$G$3</c:f>
              <c:strCache>
                <c:ptCount val="1"/>
                <c:pt idx="0">
                  <c:v>≥20&lt;30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'Liberación Jms'!$D$12:$D$15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Jms'!$G$12:$G$15</c:f>
              <c:numCache>
                <c:formatCode>0.0</c:formatCode>
                <c:ptCount val="4"/>
                <c:pt idx="0">
                  <c:v>8.5496999999999996</c:v>
                </c:pt>
                <c:pt idx="1">
                  <c:v>0</c:v>
                </c:pt>
                <c:pt idx="2">
                  <c:v>5.7051999999999996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36-416E-A4F1-E1DA31789B0B}"/>
            </c:ext>
          </c:extLst>
        </c:ser>
        <c:ser>
          <c:idx val="3"/>
          <c:order val="3"/>
          <c:tx>
            <c:strRef>
              <c:f>'Liberación Jms'!$H$3</c:f>
              <c:strCache>
                <c:ptCount val="1"/>
                <c:pt idx="0">
                  <c:v>≥30&lt;40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'Liberación Jms'!$D$12:$D$15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Jms'!$H$12:$H$15</c:f>
              <c:numCache>
                <c:formatCode>0.0</c:formatCode>
                <c:ptCount val="4"/>
                <c:pt idx="0">
                  <c:v>7.8010999999999999</c:v>
                </c:pt>
                <c:pt idx="1">
                  <c:v>0</c:v>
                </c:pt>
                <c:pt idx="2">
                  <c:v>7.4954000000000001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36-416E-A4F1-E1DA31789B0B}"/>
            </c:ext>
          </c:extLst>
        </c:ser>
        <c:ser>
          <c:idx val="4"/>
          <c:order val="4"/>
          <c:tx>
            <c:strRef>
              <c:f>'Liberación Jms'!$I$3</c:f>
              <c:strCache>
                <c:ptCount val="1"/>
                <c:pt idx="0">
                  <c:v>≥40&lt;50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'Liberación Jms'!$D$12:$D$15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Jms'!$I$12:$I$15</c:f>
              <c:numCache>
                <c:formatCode>0.0</c:formatCode>
                <c:ptCount val="4"/>
                <c:pt idx="0">
                  <c:v>3.7105999999999999</c:v>
                </c:pt>
                <c:pt idx="1">
                  <c:v>0</c:v>
                </c:pt>
                <c:pt idx="2">
                  <c:v>8.6890000000000001</c:v>
                </c:pt>
                <c:pt idx="3">
                  <c:v>3.2267999999999999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836-416E-A4F1-E1DA31789B0B}"/>
            </c:ext>
          </c:extLst>
        </c:ser>
        <c:ser>
          <c:idx val="5"/>
          <c:order val="5"/>
          <c:tx>
            <c:strRef>
              <c:f>'Liberación Jms'!$J$3</c:f>
              <c:strCache>
                <c:ptCount val="1"/>
                <c:pt idx="0">
                  <c:v>≥50&lt;60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'Liberación Jms'!$D$12:$D$15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Jms'!$J$12:$J$15</c:f>
              <c:numCache>
                <c:formatCode>0.0</c:formatCode>
                <c:ptCount val="4"/>
                <c:pt idx="0">
                  <c:v>6.1984000000000004</c:v>
                </c:pt>
                <c:pt idx="1">
                  <c:v>0</c:v>
                </c:pt>
                <c:pt idx="2">
                  <c:v>7.4454000000000002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836-416E-A4F1-E1DA31789B0B}"/>
            </c:ext>
          </c:extLst>
        </c:ser>
        <c:ser>
          <c:idx val="6"/>
          <c:order val="6"/>
          <c:tx>
            <c:strRef>
              <c:f>'Liberación Jms'!$K$3</c:f>
              <c:strCache>
                <c:ptCount val="1"/>
                <c:pt idx="0">
                  <c:v>≥60&lt;70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'Liberación Jms'!$D$12:$D$15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Jms'!$K$12:$K$15</c:f>
              <c:numCache>
                <c:formatCode>0.0</c:formatCode>
                <c:ptCount val="4"/>
                <c:pt idx="0">
                  <c:v>7.8224999999999998</c:v>
                </c:pt>
                <c:pt idx="1">
                  <c:v>6.8785999999999996</c:v>
                </c:pt>
                <c:pt idx="2">
                  <c:v>5.4874000000000001</c:v>
                </c:pt>
                <c:pt idx="3">
                  <c:v>13.714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836-416E-A4F1-E1DA31789B0B}"/>
            </c:ext>
          </c:extLst>
        </c:ser>
        <c:ser>
          <c:idx val="7"/>
          <c:order val="7"/>
          <c:tx>
            <c:strRef>
              <c:f>'Liberación Jms'!$L$3</c:f>
              <c:strCache>
                <c:ptCount val="1"/>
                <c:pt idx="0">
                  <c:v>≥70&lt;80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'Liberación Jms'!$D$12:$D$15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Jms'!$L$12:$L$15</c:f>
              <c:numCache>
                <c:formatCode>0.0</c:formatCode>
                <c:ptCount val="4"/>
                <c:pt idx="0">
                  <c:v>5.2282999999999999</c:v>
                </c:pt>
                <c:pt idx="1">
                  <c:v>12.7746</c:v>
                </c:pt>
                <c:pt idx="2">
                  <c:v>5.8585000000000003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836-416E-A4F1-E1DA31789B0B}"/>
            </c:ext>
          </c:extLst>
        </c:ser>
        <c:ser>
          <c:idx val="8"/>
          <c:order val="8"/>
          <c:tx>
            <c:strRef>
              <c:f>'Liberación Jms'!$M$3</c:f>
              <c:strCache>
                <c:ptCount val="1"/>
                <c:pt idx="0">
                  <c:v>≥80&lt;90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'Liberación Jms'!$D$12:$D$15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Jms'!$M$12:$M$15</c:f>
              <c:numCache>
                <c:formatCode>0.0</c:formatCode>
                <c:ptCount val="4"/>
                <c:pt idx="0">
                  <c:v>7.3513000000000002</c:v>
                </c:pt>
                <c:pt idx="1">
                  <c:v>0</c:v>
                </c:pt>
                <c:pt idx="2">
                  <c:v>3.8969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836-416E-A4F1-E1DA31789B0B}"/>
            </c:ext>
          </c:extLst>
        </c:ser>
        <c:ser>
          <c:idx val="9"/>
          <c:order val="9"/>
          <c:tx>
            <c:strRef>
              <c:f>'Liberación Jms'!$N$3</c:f>
              <c:strCache>
                <c:ptCount val="1"/>
                <c:pt idx="0">
                  <c:v>≥90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'Liberación Jms'!$D$12:$D$15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Jms'!$N$12:$N$15</c:f>
              <c:numCache>
                <c:formatCode>0.0</c:formatCode>
                <c:ptCount val="4"/>
                <c:pt idx="0">
                  <c:v>33.732599999999998</c:v>
                </c:pt>
                <c:pt idx="1">
                  <c:v>60.924900000000001</c:v>
                </c:pt>
                <c:pt idx="2">
                  <c:v>45.976500000000001</c:v>
                </c:pt>
                <c:pt idx="3">
                  <c:v>83.059200000000004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836-416E-A4F1-E1DA31789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16941008"/>
        <c:axId val="1416957808"/>
      </c:barChart>
      <c:catAx>
        <c:axId val="141694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16957808"/>
        <c:crosses val="max"/>
        <c:auto val="1"/>
        <c:lblAlgn val="ctr"/>
        <c:lblOffset val="100"/>
        <c:noMultiLvlLbl val="0"/>
      </c:catAx>
      <c:valAx>
        <c:axId val="1416957808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1694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Liberacion Pirita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'Liberación Jms'!$E$3</c:f>
              <c:strCache>
                <c:ptCount val="1"/>
                <c:pt idx="0">
                  <c:v>&lt;10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'Liberación Jms'!$D$20:$D$23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Jms'!$E$20:$E$23</c:f>
              <c:numCache>
                <c:formatCode>0.0</c:formatCode>
                <c:ptCount val="4"/>
                <c:pt idx="0">
                  <c:v>0.70199999999999996</c:v>
                </c:pt>
                <c:pt idx="1">
                  <c:v>0</c:v>
                </c:pt>
                <c:pt idx="2">
                  <c:v>0.66869999999999996</c:v>
                </c:pt>
                <c:pt idx="3">
                  <c:v>2.29E-2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EF-4DEC-85F7-F739F33EFE39}"/>
            </c:ext>
          </c:extLst>
        </c:ser>
        <c:ser>
          <c:idx val="1"/>
          <c:order val="1"/>
          <c:tx>
            <c:strRef>
              <c:f>'Liberación Jms'!$F$3</c:f>
              <c:strCache>
                <c:ptCount val="1"/>
                <c:pt idx="0">
                  <c:v>≥10&lt;20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'Liberación Jms'!$D$20:$D$23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Jms'!$F$20:$F$23</c:f>
              <c:numCache>
                <c:formatCode>0.0</c:formatCode>
                <c:ptCount val="4"/>
                <c:pt idx="0">
                  <c:v>1.2397</c:v>
                </c:pt>
                <c:pt idx="1">
                  <c:v>3.1537000000000002</c:v>
                </c:pt>
                <c:pt idx="2">
                  <c:v>1.3239000000000001</c:v>
                </c:pt>
                <c:pt idx="3">
                  <c:v>2.5682999999999998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EF-4DEC-85F7-F739F33EFE39}"/>
            </c:ext>
          </c:extLst>
        </c:ser>
        <c:ser>
          <c:idx val="2"/>
          <c:order val="2"/>
          <c:tx>
            <c:strRef>
              <c:f>'Liberación Jms'!$G$3</c:f>
              <c:strCache>
                <c:ptCount val="1"/>
                <c:pt idx="0">
                  <c:v>≥20&lt;30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'Liberación Jms'!$D$20:$D$23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Jms'!$G$20:$G$23</c:f>
              <c:numCache>
                <c:formatCode>0.0</c:formatCode>
                <c:ptCount val="4"/>
                <c:pt idx="0">
                  <c:v>1.4222999999999999</c:v>
                </c:pt>
                <c:pt idx="1">
                  <c:v>0</c:v>
                </c:pt>
                <c:pt idx="2">
                  <c:v>1.3138000000000001</c:v>
                </c:pt>
                <c:pt idx="3">
                  <c:v>1.1007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EF-4DEC-85F7-F739F33EFE39}"/>
            </c:ext>
          </c:extLst>
        </c:ser>
        <c:ser>
          <c:idx val="3"/>
          <c:order val="3"/>
          <c:tx>
            <c:strRef>
              <c:f>'Liberación Jms'!$H$3</c:f>
              <c:strCache>
                <c:ptCount val="1"/>
                <c:pt idx="0">
                  <c:v>≥30&lt;40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'Liberación Jms'!$D$20:$D$23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Jms'!$H$20:$H$23</c:f>
              <c:numCache>
                <c:formatCode>0.0</c:formatCode>
                <c:ptCount val="4"/>
                <c:pt idx="0">
                  <c:v>1.7828999999999999</c:v>
                </c:pt>
                <c:pt idx="1">
                  <c:v>0</c:v>
                </c:pt>
                <c:pt idx="2">
                  <c:v>2.4136000000000002</c:v>
                </c:pt>
                <c:pt idx="3">
                  <c:v>9.1700000000000004E-2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EF-4DEC-85F7-F739F33EFE39}"/>
            </c:ext>
          </c:extLst>
        </c:ser>
        <c:ser>
          <c:idx val="4"/>
          <c:order val="4"/>
          <c:tx>
            <c:strRef>
              <c:f>'Liberación Jms'!$I$3</c:f>
              <c:strCache>
                <c:ptCount val="1"/>
                <c:pt idx="0">
                  <c:v>≥40&lt;50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'Liberación Jms'!$D$20:$D$23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Jms'!$I$20:$I$23</c:f>
              <c:numCache>
                <c:formatCode>0.0</c:formatCode>
                <c:ptCount val="4"/>
                <c:pt idx="0">
                  <c:v>1.8632</c:v>
                </c:pt>
                <c:pt idx="1">
                  <c:v>0</c:v>
                </c:pt>
                <c:pt idx="2">
                  <c:v>2.8452999999999999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EF-4DEC-85F7-F739F33EFE39}"/>
            </c:ext>
          </c:extLst>
        </c:ser>
        <c:ser>
          <c:idx val="5"/>
          <c:order val="5"/>
          <c:tx>
            <c:strRef>
              <c:f>'Liberación Jms'!$J$3</c:f>
              <c:strCache>
                <c:ptCount val="1"/>
                <c:pt idx="0">
                  <c:v>≥50&lt;60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'Liberación Jms'!$D$20:$D$23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Jms'!$J$20:$J$23</c:f>
              <c:numCache>
                <c:formatCode>0.0</c:formatCode>
                <c:ptCount val="4"/>
                <c:pt idx="0">
                  <c:v>1.8539000000000001</c:v>
                </c:pt>
                <c:pt idx="1">
                  <c:v>0</c:v>
                </c:pt>
                <c:pt idx="2">
                  <c:v>3.5017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BEF-4DEC-85F7-F739F33EFE39}"/>
            </c:ext>
          </c:extLst>
        </c:ser>
        <c:ser>
          <c:idx val="6"/>
          <c:order val="6"/>
          <c:tx>
            <c:strRef>
              <c:f>'Liberación Jms'!$K$3</c:f>
              <c:strCache>
                <c:ptCount val="1"/>
                <c:pt idx="0">
                  <c:v>≥60&lt;70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'Liberación Jms'!$D$20:$D$23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Jms'!$K$20:$K$23</c:f>
              <c:numCache>
                <c:formatCode>0.0</c:formatCode>
                <c:ptCount val="4"/>
                <c:pt idx="0">
                  <c:v>3.1191</c:v>
                </c:pt>
                <c:pt idx="1">
                  <c:v>7.5305999999999997</c:v>
                </c:pt>
                <c:pt idx="2">
                  <c:v>4.4699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BEF-4DEC-85F7-F739F33EFE39}"/>
            </c:ext>
          </c:extLst>
        </c:ser>
        <c:ser>
          <c:idx val="7"/>
          <c:order val="7"/>
          <c:tx>
            <c:strRef>
              <c:f>'Liberación Jms'!$L$3</c:f>
              <c:strCache>
                <c:ptCount val="1"/>
                <c:pt idx="0">
                  <c:v>≥70&lt;80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'Liberación Jms'!$D$20:$D$23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Jms'!$L$20:$L$23</c:f>
              <c:numCache>
                <c:formatCode>0.0</c:formatCode>
                <c:ptCount val="4"/>
                <c:pt idx="0">
                  <c:v>4.0103999999999997</c:v>
                </c:pt>
                <c:pt idx="1">
                  <c:v>1.7945</c:v>
                </c:pt>
                <c:pt idx="2">
                  <c:v>6.2545000000000002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BEF-4DEC-85F7-F739F33EFE39}"/>
            </c:ext>
          </c:extLst>
        </c:ser>
        <c:ser>
          <c:idx val="8"/>
          <c:order val="8"/>
          <c:tx>
            <c:strRef>
              <c:f>'Liberación Jms'!$M$3</c:f>
              <c:strCache>
                <c:ptCount val="1"/>
                <c:pt idx="0">
                  <c:v>≥80&lt;90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'Liberación Jms'!$D$20:$D$23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Jms'!$M$20:$M$23</c:f>
              <c:numCache>
                <c:formatCode>0.0</c:formatCode>
                <c:ptCount val="4"/>
                <c:pt idx="0">
                  <c:v>7.7245999999999997</c:v>
                </c:pt>
                <c:pt idx="1">
                  <c:v>9.4853000000000005</c:v>
                </c:pt>
                <c:pt idx="2">
                  <c:v>8.4009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BEF-4DEC-85F7-F739F33EFE39}"/>
            </c:ext>
          </c:extLst>
        </c:ser>
        <c:ser>
          <c:idx val="9"/>
          <c:order val="9"/>
          <c:tx>
            <c:strRef>
              <c:f>'Liberación Jms'!$N$3</c:f>
              <c:strCache>
                <c:ptCount val="1"/>
                <c:pt idx="0">
                  <c:v>≥90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'Liberación Jms'!$D$20:$D$23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Jms'!$N$20:$N$23</c:f>
              <c:numCache>
                <c:formatCode>0.0</c:formatCode>
                <c:ptCount val="4"/>
                <c:pt idx="0">
                  <c:v>76.281700000000001</c:v>
                </c:pt>
                <c:pt idx="1">
                  <c:v>78.035899999999998</c:v>
                </c:pt>
                <c:pt idx="2">
                  <c:v>68.807699999999997</c:v>
                </c:pt>
                <c:pt idx="3">
                  <c:v>96.216300000000004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BEF-4DEC-85F7-F739F33EF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16941008"/>
        <c:axId val="1416957808"/>
      </c:barChart>
      <c:catAx>
        <c:axId val="141694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16957808"/>
        <c:crosses val="max"/>
        <c:auto val="1"/>
        <c:lblAlgn val="ctr"/>
        <c:lblOffset val="100"/>
        <c:noMultiLvlLbl val="0"/>
      </c:catAx>
      <c:valAx>
        <c:axId val="1416957808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1694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Liberacion</a:t>
            </a:r>
            <a:r>
              <a:rPr lang="es-CL" baseline="0"/>
              <a:t> Calcopirita</a:t>
            </a:r>
            <a:endParaRPr lang="es-CL"/>
          </a:p>
        </c:rich>
      </c:tx>
      <c:layout>
        <c:manualLayout>
          <c:xMode val="edge"/>
          <c:yMode val="edge"/>
          <c:x val="0.25896522309711284"/>
          <c:y val="2.35980088483242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'Liberación Jms'!$E$3</c:f>
              <c:strCache>
                <c:ptCount val="1"/>
                <c:pt idx="0">
                  <c:v>&lt;10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'Liberación Jms'!$D$4:$D$7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Jms'!$E$4:$E$7</c:f>
              <c:numCache>
                <c:formatCode>0.0</c:formatCode>
                <c:ptCount val="4"/>
                <c:pt idx="0">
                  <c:v>3.9744000000000002</c:v>
                </c:pt>
                <c:pt idx="1">
                  <c:v>11.0169</c:v>
                </c:pt>
                <c:pt idx="2">
                  <c:v>0.39960000000000001</c:v>
                </c:pt>
                <c:pt idx="3">
                  <c:v>1.0456000000000001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3B-4EF4-9602-3BCAACD7B7FE}"/>
            </c:ext>
          </c:extLst>
        </c:ser>
        <c:ser>
          <c:idx val="1"/>
          <c:order val="1"/>
          <c:tx>
            <c:strRef>
              <c:f>'Liberación Jms'!$F$3</c:f>
              <c:strCache>
                <c:ptCount val="1"/>
                <c:pt idx="0">
                  <c:v>≥10&lt;20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'Liberación Jms'!$D$4:$D$7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Jms'!$F$4:$F$7</c:f>
              <c:numCache>
                <c:formatCode>0.0</c:formatCode>
                <c:ptCount val="4"/>
                <c:pt idx="0">
                  <c:v>3.7351999999999999</c:v>
                </c:pt>
                <c:pt idx="1">
                  <c:v>0</c:v>
                </c:pt>
                <c:pt idx="2">
                  <c:v>0.81730000000000003</c:v>
                </c:pt>
                <c:pt idx="3">
                  <c:v>2.2073999999999998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3B-4EF4-9602-3BCAACD7B7FE}"/>
            </c:ext>
          </c:extLst>
        </c:ser>
        <c:ser>
          <c:idx val="2"/>
          <c:order val="2"/>
          <c:tx>
            <c:strRef>
              <c:f>'Liberación Jms'!$G$3</c:f>
              <c:strCache>
                <c:ptCount val="1"/>
                <c:pt idx="0">
                  <c:v>≥20&lt;30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'Liberación Jms'!$D$4:$D$7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Jms'!$G$4:$G$7</c:f>
              <c:numCache>
                <c:formatCode>0.0</c:formatCode>
                <c:ptCount val="4"/>
                <c:pt idx="0">
                  <c:v>5.6397000000000004</c:v>
                </c:pt>
                <c:pt idx="1">
                  <c:v>5.9321999999999999</c:v>
                </c:pt>
                <c:pt idx="2">
                  <c:v>1.6577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3B-4EF4-9602-3BCAACD7B7FE}"/>
            </c:ext>
          </c:extLst>
        </c:ser>
        <c:ser>
          <c:idx val="3"/>
          <c:order val="3"/>
          <c:tx>
            <c:strRef>
              <c:f>'Liberación Jms'!$H$3</c:f>
              <c:strCache>
                <c:ptCount val="1"/>
                <c:pt idx="0">
                  <c:v>≥30&lt;40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'Liberación Jms'!$D$4:$D$7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Jms'!$H$4:$H$7</c:f>
              <c:numCache>
                <c:formatCode>0.0</c:formatCode>
                <c:ptCount val="4"/>
                <c:pt idx="0">
                  <c:v>1.9162999999999999</c:v>
                </c:pt>
                <c:pt idx="1">
                  <c:v>0</c:v>
                </c:pt>
                <c:pt idx="2">
                  <c:v>1.9317</c:v>
                </c:pt>
                <c:pt idx="3">
                  <c:v>1.8588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3B-4EF4-9602-3BCAACD7B7FE}"/>
            </c:ext>
          </c:extLst>
        </c:ser>
        <c:ser>
          <c:idx val="4"/>
          <c:order val="4"/>
          <c:tx>
            <c:strRef>
              <c:f>'Liberación Jms'!$I$3</c:f>
              <c:strCache>
                <c:ptCount val="1"/>
                <c:pt idx="0">
                  <c:v>≥40&lt;50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'Liberación Jms'!$D$4:$D$7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Jms'!$I$4:$I$7</c:f>
              <c:numCache>
                <c:formatCode>0.0</c:formatCode>
                <c:ptCount val="4"/>
                <c:pt idx="0">
                  <c:v>3.3307000000000002</c:v>
                </c:pt>
                <c:pt idx="1">
                  <c:v>1.6949000000000001</c:v>
                </c:pt>
                <c:pt idx="2">
                  <c:v>3.2368000000000001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3B-4EF4-9602-3BCAACD7B7FE}"/>
            </c:ext>
          </c:extLst>
        </c:ser>
        <c:ser>
          <c:idx val="5"/>
          <c:order val="5"/>
          <c:tx>
            <c:strRef>
              <c:f>'Liberación Jms'!$J$3</c:f>
              <c:strCache>
                <c:ptCount val="1"/>
                <c:pt idx="0">
                  <c:v>≥50&lt;60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'Liberación Jms'!$D$4:$D$7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Jms'!$J$4:$J$7</c:f>
              <c:numCache>
                <c:formatCode>0.0</c:formatCode>
                <c:ptCount val="4"/>
                <c:pt idx="0">
                  <c:v>3.7883</c:v>
                </c:pt>
                <c:pt idx="1">
                  <c:v>0</c:v>
                </c:pt>
                <c:pt idx="2">
                  <c:v>4.2343000000000002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3B-4EF4-9602-3BCAACD7B7FE}"/>
            </c:ext>
          </c:extLst>
        </c:ser>
        <c:ser>
          <c:idx val="6"/>
          <c:order val="6"/>
          <c:tx>
            <c:strRef>
              <c:f>'Liberación Jms'!$K$3</c:f>
              <c:strCache>
                <c:ptCount val="1"/>
                <c:pt idx="0">
                  <c:v>≥60&lt;70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'Liberación Jms'!$D$4:$D$7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Jms'!$K$4:$K$7</c:f>
              <c:numCache>
                <c:formatCode>0.0</c:formatCode>
                <c:ptCount val="4"/>
                <c:pt idx="0">
                  <c:v>5.5659000000000001</c:v>
                </c:pt>
                <c:pt idx="1">
                  <c:v>0</c:v>
                </c:pt>
                <c:pt idx="2">
                  <c:v>6.6013999999999999</c:v>
                </c:pt>
                <c:pt idx="3">
                  <c:v>2.2073999999999998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3B-4EF4-9602-3BCAACD7B7FE}"/>
            </c:ext>
          </c:extLst>
        </c:ser>
        <c:ser>
          <c:idx val="7"/>
          <c:order val="7"/>
          <c:tx>
            <c:strRef>
              <c:f>'Liberación Jms'!$L$3</c:f>
              <c:strCache>
                <c:ptCount val="1"/>
                <c:pt idx="0">
                  <c:v>≥70&lt;80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'Liberación Jms'!$D$4:$D$7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Jms'!$L$4:$L$7</c:f>
              <c:numCache>
                <c:formatCode>0.0</c:formatCode>
                <c:ptCount val="4"/>
                <c:pt idx="0">
                  <c:v>6.7765000000000004</c:v>
                </c:pt>
                <c:pt idx="1">
                  <c:v>13.5593</c:v>
                </c:pt>
                <c:pt idx="2">
                  <c:v>7.1627999999999998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63B-4EF4-9602-3BCAACD7B7FE}"/>
            </c:ext>
          </c:extLst>
        </c:ser>
        <c:ser>
          <c:idx val="8"/>
          <c:order val="8"/>
          <c:tx>
            <c:strRef>
              <c:f>'Liberación Jms'!$M$3</c:f>
              <c:strCache>
                <c:ptCount val="1"/>
                <c:pt idx="0">
                  <c:v>≥80&lt;90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'Liberación Jms'!$D$4:$D$7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Jms'!$M$4:$M$7</c:f>
              <c:numCache>
                <c:formatCode>0.0</c:formatCode>
                <c:ptCount val="4"/>
                <c:pt idx="0">
                  <c:v>10.6328</c:v>
                </c:pt>
                <c:pt idx="1">
                  <c:v>0</c:v>
                </c:pt>
                <c:pt idx="2">
                  <c:v>6.2702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3B-4EF4-9602-3BCAACD7B7FE}"/>
            </c:ext>
          </c:extLst>
        </c:ser>
        <c:ser>
          <c:idx val="9"/>
          <c:order val="9"/>
          <c:tx>
            <c:strRef>
              <c:f>'Liberación Jms'!$N$3</c:f>
              <c:strCache>
                <c:ptCount val="1"/>
                <c:pt idx="0">
                  <c:v>≥90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'Liberación Jms'!$D$4:$D$7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Jms'!$N$4:$N$7</c:f>
              <c:numCache>
                <c:formatCode>0.0</c:formatCode>
                <c:ptCount val="4"/>
                <c:pt idx="0">
                  <c:v>54.6402</c:v>
                </c:pt>
                <c:pt idx="1">
                  <c:v>67.796599999999998</c:v>
                </c:pt>
                <c:pt idx="2">
                  <c:v>67.688299999999998</c:v>
                </c:pt>
                <c:pt idx="3">
                  <c:v>92.680899999999994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63B-4EF4-9602-3BCAACD7B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16941008"/>
        <c:axId val="1416957808"/>
      </c:barChart>
      <c:catAx>
        <c:axId val="141694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16957808"/>
        <c:crosses val="max"/>
        <c:auto val="1"/>
        <c:lblAlgn val="ctr"/>
        <c:lblOffset val="100"/>
        <c:noMultiLvlLbl val="0"/>
      </c:catAx>
      <c:valAx>
        <c:axId val="1416957808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1694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Liberacion Covelina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'Liberación Jms'!$E$3</c:f>
              <c:strCache>
                <c:ptCount val="1"/>
                <c:pt idx="0">
                  <c:v>&lt;10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'Liberación Jms'!$D$16:$D$19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Jms'!$E$16:$E$19</c:f>
              <c:numCache>
                <c:formatCode>0.0</c:formatCode>
                <c:ptCount val="4"/>
                <c:pt idx="0">
                  <c:v>10.511799999999999</c:v>
                </c:pt>
                <c:pt idx="1">
                  <c:v>38.271599999999999</c:v>
                </c:pt>
                <c:pt idx="2">
                  <c:v>2.0369000000000002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5A-4952-A9FF-485633FE7444}"/>
            </c:ext>
          </c:extLst>
        </c:ser>
        <c:ser>
          <c:idx val="1"/>
          <c:order val="1"/>
          <c:tx>
            <c:strRef>
              <c:f>'Liberación Jms'!$F$3</c:f>
              <c:strCache>
                <c:ptCount val="1"/>
                <c:pt idx="0">
                  <c:v>≥10&lt;20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'Liberación Jms'!$D$16:$D$19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Jms'!$F$16:$F$19</c:f>
              <c:numCache>
                <c:formatCode>0.0</c:formatCode>
                <c:ptCount val="4"/>
                <c:pt idx="0">
                  <c:v>11.932700000000001</c:v>
                </c:pt>
                <c:pt idx="1">
                  <c:v>0</c:v>
                </c:pt>
                <c:pt idx="2">
                  <c:v>4.3242000000000003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5A-4952-A9FF-485633FE7444}"/>
            </c:ext>
          </c:extLst>
        </c:ser>
        <c:ser>
          <c:idx val="2"/>
          <c:order val="2"/>
          <c:tx>
            <c:strRef>
              <c:f>'Liberación Jms'!$G$3</c:f>
              <c:strCache>
                <c:ptCount val="1"/>
                <c:pt idx="0">
                  <c:v>≥20&lt;30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'Liberación Jms'!$D$16:$D$19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Jms'!$G$16:$G$19</c:f>
              <c:numCache>
                <c:formatCode>0.0</c:formatCode>
                <c:ptCount val="4"/>
                <c:pt idx="0">
                  <c:v>6.8291000000000004</c:v>
                </c:pt>
                <c:pt idx="1">
                  <c:v>17.283999999999999</c:v>
                </c:pt>
                <c:pt idx="2">
                  <c:v>5.17</c:v>
                </c:pt>
                <c:pt idx="3">
                  <c:v>2.2471999999999999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5A-4952-A9FF-485633FE7444}"/>
            </c:ext>
          </c:extLst>
        </c:ser>
        <c:ser>
          <c:idx val="3"/>
          <c:order val="3"/>
          <c:tx>
            <c:strRef>
              <c:f>'Liberación Jms'!$H$3</c:f>
              <c:strCache>
                <c:ptCount val="1"/>
                <c:pt idx="0">
                  <c:v>≥30&lt;40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'Liberación Jms'!$D$16:$D$19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Jms'!$H$16:$H$19</c:f>
              <c:numCache>
                <c:formatCode>0.0</c:formatCode>
                <c:ptCount val="4"/>
                <c:pt idx="0">
                  <c:v>6.8581000000000003</c:v>
                </c:pt>
                <c:pt idx="1">
                  <c:v>0</c:v>
                </c:pt>
                <c:pt idx="2">
                  <c:v>5.7138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5A-4952-A9FF-485633FE7444}"/>
            </c:ext>
          </c:extLst>
        </c:ser>
        <c:ser>
          <c:idx val="4"/>
          <c:order val="4"/>
          <c:tx>
            <c:strRef>
              <c:f>'Liberación Jms'!$I$3</c:f>
              <c:strCache>
                <c:ptCount val="1"/>
                <c:pt idx="0">
                  <c:v>≥40&lt;50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'Liberación Jms'!$D$16:$D$19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Jms'!$I$16:$I$19</c:f>
              <c:numCache>
                <c:formatCode>0.0</c:formatCode>
                <c:ptCount val="4"/>
                <c:pt idx="0">
                  <c:v>6.7420999999999998</c:v>
                </c:pt>
                <c:pt idx="1">
                  <c:v>0</c:v>
                </c:pt>
                <c:pt idx="2">
                  <c:v>5.0406000000000004</c:v>
                </c:pt>
                <c:pt idx="3">
                  <c:v>6.7416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5A-4952-A9FF-485633FE7444}"/>
            </c:ext>
          </c:extLst>
        </c:ser>
        <c:ser>
          <c:idx val="5"/>
          <c:order val="5"/>
          <c:tx>
            <c:strRef>
              <c:f>'Liberación Jms'!$J$3</c:f>
              <c:strCache>
                <c:ptCount val="1"/>
                <c:pt idx="0">
                  <c:v>≥50&lt;60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'Liberación Jms'!$D$16:$D$19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Jms'!$J$16:$J$19</c:f>
              <c:numCache>
                <c:formatCode>0.0</c:formatCode>
                <c:ptCount val="4"/>
                <c:pt idx="0">
                  <c:v>3.3927999999999998</c:v>
                </c:pt>
                <c:pt idx="1">
                  <c:v>0</c:v>
                </c:pt>
                <c:pt idx="2">
                  <c:v>6.1280999999999999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55A-4952-A9FF-485633FE7444}"/>
            </c:ext>
          </c:extLst>
        </c:ser>
        <c:ser>
          <c:idx val="6"/>
          <c:order val="6"/>
          <c:tx>
            <c:strRef>
              <c:f>'Liberación Jms'!$K$3</c:f>
              <c:strCache>
                <c:ptCount val="1"/>
                <c:pt idx="0">
                  <c:v>≥60&lt;70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'Liberación Jms'!$D$16:$D$19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Jms'!$K$16:$K$19</c:f>
              <c:numCache>
                <c:formatCode>0.0</c:formatCode>
                <c:ptCount val="4"/>
                <c:pt idx="0">
                  <c:v>2.5373000000000001</c:v>
                </c:pt>
                <c:pt idx="1">
                  <c:v>3.7037</c:v>
                </c:pt>
                <c:pt idx="2">
                  <c:v>5.9208999999999996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55A-4952-A9FF-485633FE7444}"/>
            </c:ext>
          </c:extLst>
        </c:ser>
        <c:ser>
          <c:idx val="7"/>
          <c:order val="7"/>
          <c:tx>
            <c:strRef>
              <c:f>'Liberación Jms'!$L$3</c:f>
              <c:strCache>
                <c:ptCount val="1"/>
                <c:pt idx="0">
                  <c:v>≥70&lt;80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'Liberación Jms'!$D$16:$D$19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Jms'!$L$16:$L$19</c:f>
              <c:numCache>
                <c:formatCode>0.0</c:formatCode>
                <c:ptCount val="4"/>
                <c:pt idx="0">
                  <c:v>12.295199999999999</c:v>
                </c:pt>
                <c:pt idx="1">
                  <c:v>30.8642</c:v>
                </c:pt>
                <c:pt idx="2">
                  <c:v>4.7211999999999996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55A-4952-A9FF-485633FE7444}"/>
            </c:ext>
          </c:extLst>
        </c:ser>
        <c:ser>
          <c:idx val="8"/>
          <c:order val="8"/>
          <c:tx>
            <c:strRef>
              <c:f>'Liberación Jms'!$M$3</c:f>
              <c:strCache>
                <c:ptCount val="1"/>
                <c:pt idx="0">
                  <c:v>≥80&lt;90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'Liberación Jms'!$D$16:$D$19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Jms'!$M$16:$M$19</c:f>
              <c:numCache>
                <c:formatCode>0.0</c:formatCode>
                <c:ptCount val="4"/>
                <c:pt idx="0">
                  <c:v>3.5087999999999999</c:v>
                </c:pt>
                <c:pt idx="1">
                  <c:v>0</c:v>
                </c:pt>
                <c:pt idx="2">
                  <c:v>11.488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55A-4952-A9FF-485633FE7444}"/>
            </c:ext>
          </c:extLst>
        </c:ser>
        <c:ser>
          <c:idx val="9"/>
          <c:order val="9"/>
          <c:tx>
            <c:strRef>
              <c:f>'Liberación Jms'!$N$3</c:f>
              <c:strCache>
                <c:ptCount val="1"/>
                <c:pt idx="0">
                  <c:v>≥90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'Liberación Jms'!$D$16:$D$19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Jms'!$N$16:$N$19</c:f>
              <c:numCache>
                <c:formatCode>0.0</c:formatCode>
                <c:ptCount val="4"/>
                <c:pt idx="0">
                  <c:v>35.392200000000003</c:v>
                </c:pt>
                <c:pt idx="1">
                  <c:v>9.8765000000000001</c:v>
                </c:pt>
                <c:pt idx="2">
                  <c:v>49.456200000000003</c:v>
                </c:pt>
                <c:pt idx="3">
                  <c:v>91.011200000000002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55A-4952-A9FF-485633FE7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16941008"/>
        <c:axId val="1416957808"/>
      </c:barChart>
      <c:catAx>
        <c:axId val="141694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16957808"/>
        <c:crosses val="max"/>
        <c:auto val="1"/>
        <c:lblAlgn val="ctr"/>
        <c:lblOffset val="100"/>
        <c:noMultiLvlLbl val="0"/>
      </c:catAx>
      <c:valAx>
        <c:axId val="1416957808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1694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Liberacion Enargita/Tennantita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'Liberación Jms'!$E$3</c:f>
              <c:strCache>
                <c:ptCount val="1"/>
                <c:pt idx="0">
                  <c:v>&lt;10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'Liberación Jms'!$D$24:$D$27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Jms'!$E$24:$E$27</c:f>
              <c:numCache>
                <c:formatCode>0.0</c:formatCode>
                <c:ptCount val="4"/>
                <c:pt idx="0">
                  <c:v>26.689699999999998</c:v>
                </c:pt>
                <c:pt idx="1">
                  <c:v>22.354700000000001</c:v>
                </c:pt>
                <c:pt idx="2">
                  <c:v>9.0923999999999996</c:v>
                </c:pt>
                <c:pt idx="3">
                  <c:v>0.94040000000000001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6E-4667-A7F1-CD0DEFF95591}"/>
            </c:ext>
          </c:extLst>
        </c:ser>
        <c:ser>
          <c:idx val="1"/>
          <c:order val="1"/>
          <c:tx>
            <c:strRef>
              <c:f>'Liberación Jms'!$F$3</c:f>
              <c:strCache>
                <c:ptCount val="1"/>
                <c:pt idx="0">
                  <c:v>≥10&lt;20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'Liberación Jms'!$D$24:$D$27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Jms'!$F$24:$F$27</c:f>
              <c:numCache>
                <c:formatCode>0.0</c:formatCode>
                <c:ptCount val="4"/>
                <c:pt idx="0">
                  <c:v>5.2145000000000001</c:v>
                </c:pt>
                <c:pt idx="1">
                  <c:v>6.7064000000000004</c:v>
                </c:pt>
                <c:pt idx="2">
                  <c:v>9.7015999999999991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6E-4667-A7F1-CD0DEFF95591}"/>
            </c:ext>
          </c:extLst>
        </c:ser>
        <c:ser>
          <c:idx val="2"/>
          <c:order val="2"/>
          <c:tx>
            <c:strRef>
              <c:f>'Liberación Jms'!$G$3</c:f>
              <c:strCache>
                <c:ptCount val="1"/>
                <c:pt idx="0">
                  <c:v>≥20&lt;30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'Liberación Jms'!$D$24:$D$27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Jms'!$G$24:$G$27</c:f>
              <c:numCache>
                <c:formatCode>0.0</c:formatCode>
                <c:ptCount val="4"/>
                <c:pt idx="0">
                  <c:v>6.7404000000000002</c:v>
                </c:pt>
                <c:pt idx="1">
                  <c:v>1.1176999999999999</c:v>
                </c:pt>
                <c:pt idx="2">
                  <c:v>11.448499999999999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6E-4667-A7F1-CD0DEFF95591}"/>
            </c:ext>
          </c:extLst>
        </c:ser>
        <c:ser>
          <c:idx val="3"/>
          <c:order val="3"/>
          <c:tx>
            <c:strRef>
              <c:f>'Liberación Jms'!$H$3</c:f>
              <c:strCache>
                <c:ptCount val="1"/>
                <c:pt idx="0">
                  <c:v>≥30&lt;40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'Liberación Jms'!$D$24:$D$27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Jms'!$H$24:$H$27</c:f>
              <c:numCache>
                <c:formatCode>0.0</c:formatCode>
                <c:ptCount val="4"/>
                <c:pt idx="0">
                  <c:v>5.2328999999999999</c:v>
                </c:pt>
                <c:pt idx="1">
                  <c:v>45.901600000000002</c:v>
                </c:pt>
                <c:pt idx="2">
                  <c:v>1.4215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6E-4667-A7F1-CD0DEFF95591}"/>
            </c:ext>
          </c:extLst>
        </c:ser>
        <c:ser>
          <c:idx val="4"/>
          <c:order val="4"/>
          <c:tx>
            <c:strRef>
              <c:f>'Liberación Jms'!$I$3</c:f>
              <c:strCache>
                <c:ptCount val="1"/>
                <c:pt idx="0">
                  <c:v>≥40&lt;50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'Liberación Jms'!$D$24:$D$27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Jms'!$I$24:$I$27</c:f>
              <c:numCache>
                <c:formatCode>0.0</c:formatCode>
                <c:ptCount val="4"/>
                <c:pt idx="0">
                  <c:v>4.4287000000000001</c:v>
                </c:pt>
                <c:pt idx="1">
                  <c:v>0</c:v>
                </c:pt>
                <c:pt idx="2">
                  <c:v>2.4207999999999998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6E-4667-A7F1-CD0DEFF95591}"/>
            </c:ext>
          </c:extLst>
        </c:ser>
        <c:ser>
          <c:idx val="5"/>
          <c:order val="5"/>
          <c:tx>
            <c:strRef>
              <c:f>'Liberación Jms'!$J$3</c:f>
              <c:strCache>
                <c:ptCount val="1"/>
                <c:pt idx="0">
                  <c:v>≥50&lt;60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'Liberación Jms'!$D$24:$D$27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Jms'!$J$24:$J$27</c:f>
              <c:numCache>
                <c:formatCode>0.0</c:formatCode>
                <c:ptCount val="4"/>
                <c:pt idx="0">
                  <c:v>1.7185999999999999</c:v>
                </c:pt>
                <c:pt idx="1">
                  <c:v>0</c:v>
                </c:pt>
                <c:pt idx="2">
                  <c:v>3.8445999999999998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C6E-4667-A7F1-CD0DEFF95591}"/>
            </c:ext>
          </c:extLst>
        </c:ser>
        <c:ser>
          <c:idx val="6"/>
          <c:order val="6"/>
          <c:tx>
            <c:strRef>
              <c:f>'Liberación Jms'!$K$3</c:f>
              <c:strCache>
                <c:ptCount val="1"/>
                <c:pt idx="0">
                  <c:v>≥60&lt;70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'Liberación Jms'!$D$24:$D$27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Jms'!$K$24:$K$27</c:f>
              <c:numCache>
                <c:formatCode>0.0</c:formatCode>
                <c:ptCount val="4"/>
                <c:pt idx="0">
                  <c:v>1.3494999999999999</c:v>
                </c:pt>
                <c:pt idx="1">
                  <c:v>0</c:v>
                </c:pt>
                <c:pt idx="2">
                  <c:v>4.2346000000000004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6E-4667-A7F1-CD0DEFF95591}"/>
            </c:ext>
          </c:extLst>
        </c:ser>
        <c:ser>
          <c:idx val="7"/>
          <c:order val="7"/>
          <c:tx>
            <c:strRef>
              <c:f>'Liberación Jms'!$L$3</c:f>
              <c:strCache>
                <c:ptCount val="1"/>
                <c:pt idx="0">
                  <c:v>≥70&lt;80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'Liberación Jms'!$D$24:$D$27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Jms'!$L$24:$L$27</c:f>
              <c:numCache>
                <c:formatCode>0.0</c:formatCode>
                <c:ptCount val="4"/>
                <c:pt idx="0">
                  <c:v>1.6929000000000001</c:v>
                </c:pt>
                <c:pt idx="1">
                  <c:v>0</c:v>
                </c:pt>
                <c:pt idx="2">
                  <c:v>7.0800999999999998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C6E-4667-A7F1-CD0DEFF95591}"/>
            </c:ext>
          </c:extLst>
        </c:ser>
        <c:ser>
          <c:idx val="8"/>
          <c:order val="8"/>
          <c:tx>
            <c:strRef>
              <c:f>'Liberación Jms'!$M$3</c:f>
              <c:strCache>
                <c:ptCount val="1"/>
                <c:pt idx="0">
                  <c:v>≥80&lt;90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'Liberación Jms'!$D$24:$D$27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Jms'!$M$24:$M$27</c:f>
              <c:numCache>
                <c:formatCode>0.0</c:formatCode>
                <c:ptCount val="4"/>
                <c:pt idx="0">
                  <c:v>1.0391999999999999</c:v>
                </c:pt>
                <c:pt idx="1">
                  <c:v>0</c:v>
                </c:pt>
                <c:pt idx="2">
                  <c:v>7.7793000000000001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C6E-4667-A7F1-CD0DEFF95591}"/>
            </c:ext>
          </c:extLst>
        </c:ser>
        <c:ser>
          <c:idx val="9"/>
          <c:order val="9"/>
          <c:tx>
            <c:strRef>
              <c:f>'Liberación Jms'!$N$3</c:f>
              <c:strCache>
                <c:ptCount val="1"/>
                <c:pt idx="0">
                  <c:v>≥90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'Liberación Jms'!$D$24:$D$27</c:f>
              <c:strCache>
                <c:ptCount val="4"/>
                <c:pt idx="0">
                  <c:v>Conc Jms</c:v>
                </c:pt>
                <c:pt idx="1">
                  <c:v>Rel Jms </c:v>
                </c:pt>
                <c:pt idx="2">
                  <c:v>Conc Jms</c:v>
                </c:pt>
                <c:pt idx="3">
                  <c:v>Rel Jms </c:v>
                </c:pt>
              </c:strCache>
            </c:strRef>
          </c:cat>
          <c:val>
            <c:numRef>
              <c:f>'Liberación Jms'!$N$24:$N$27</c:f>
              <c:numCache>
                <c:formatCode>0.0</c:formatCode>
                <c:ptCount val="4"/>
                <c:pt idx="0">
                  <c:v>45.893500000000003</c:v>
                </c:pt>
                <c:pt idx="1">
                  <c:v>23.919499999999999</c:v>
                </c:pt>
                <c:pt idx="2">
                  <c:v>42.976500000000001</c:v>
                </c:pt>
                <c:pt idx="3">
                  <c:v>99.059600000000003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C6E-4667-A7F1-CD0DEFF95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16941008"/>
        <c:axId val="1416957808"/>
      </c:barChart>
      <c:catAx>
        <c:axId val="141694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16957808"/>
        <c:crosses val="max"/>
        <c:auto val="1"/>
        <c:lblAlgn val="ctr"/>
        <c:lblOffset val="100"/>
        <c:noMultiLvlLbl val="0"/>
      </c:catAx>
      <c:valAx>
        <c:axId val="1416957808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1694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ALIMENTACION RO DIA 26-08-25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'Asociacion Mine Jms'!$AJ$2</c:f>
              <c:strCache>
                <c:ptCount val="1"/>
                <c:pt idx="0">
                  <c:v>Partículas libres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'Asociacion Mine Jms'!$AK$1:$AP$1</c:f>
              <c:strCache>
                <c:ptCount val="6"/>
                <c:pt idx="0">
                  <c:v>Bornita</c:v>
                </c:pt>
                <c:pt idx="1">
                  <c:v>Calcosina/digenita</c:v>
                </c:pt>
                <c:pt idx="2">
                  <c:v>Enargita/Tennantita</c:v>
                </c:pt>
                <c:pt idx="3">
                  <c:v>Calcopirita</c:v>
                </c:pt>
                <c:pt idx="4">
                  <c:v>Pirita</c:v>
                </c:pt>
                <c:pt idx="5">
                  <c:v>Covelina</c:v>
                </c:pt>
              </c:strCache>
            </c:strRef>
          </c:cat>
          <c:val>
            <c:numRef>
              <c:f>'Asociacion Mine Jms'!$AK$2:$AP$2</c:f>
              <c:numCache>
                <c:formatCode>General</c:formatCode>
                <c:ptCount val="6"/>
                <c:pt idx="0">
                  <c:v>26.22</c:v>
                </c:pt>
                <c:pt idx="1">
                  <c:v>42.99</c:v>
                </c:pt>
                <c:pt idx="2">
                  <c:v>38.42</c:v>
                </c:pt>
                <c:pt idx="3">
                  <c:v>33.29</c:v>
                </c:pt>
                <c:pt idx="4">
                  <c:v>63.68</c:v>
                </c:pt>
                <c:pt idx="5">
                  <c:v>28.37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23-44A6-886A-484724FDF9F7}"/>
            </c:ext>
          </c:extLst>
        </c:ser>
        <c:ser>
          <c:idx val="1"/>
          <c:order val="1"/>
          <c:tx>
            <c:strRef>
              <c:f>'Asociacion Mine Jms'!$AJ$3</c:f>
              <c:strCache>
                <c:ptCount val="1"/>
                <c:pt idx="0">
                  <c:v>Partículas binarias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'Asociacion Mine Jms'!$AK$1:$AP$1</c:f>
              <c:strCache>
                <c:ptCount val="6"/>
                <c:pt idx="0">
                  <c:v>Bornita</c:v>
                </c:pt>
                <c:pt idx="1">
                  <c:v>Calcosina/digenita</c:v>
                </c:pt>
                <c:pt idx="2">
                  <c:v>Enargita/Tennantita</c:v>
                </c:pt>
                <c:pt idx="3">
                  <c:v>Calcopirita</c:v>
                </c:pt>
                <c:pt idx="4">
                  <c:v>Pirita</c:v>
                </c:pt>
                <c:pt idx="5">
                  <c:v>Covelina</c:v>
                </c:pt>
              </c:strCache>
            </c:strRef>
          </c:cat>
          <c:val>
            <c:numRef>
              <c:f>'Asociacion Mine Jms'!$AK$3:$AP$3</c:f>
              <c:numCache>
                <c:formatCode>General</c:formatCode>
                <c:ptCount val="6"/>
                <c:pt idx="0">
                  <c:v>27.3</c:v>
                </c:pt>
                <c:pt idx="1">
                  <c:v>30.47</c:v>
                </c:pt>
                <c:pt idx="2">
                  <c:v>18.72</c:v>
                </c:pt>
                <c:pt idx="3">
                  <c:v>32.479999999999997</c:v>
                </c:pt>
                <c:pt idx="4">
                  <c:v>21.84</c:v>
                </c:pt>
                <c:pt idx="5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23-44A6-886A-484724FDF9F7}"/>
            </c:ext>
          </c:extLst>
        </c:ser>
        <c:ser>
          <c:idx val="2"/>
          <c:order val="2"/>
          <c:tx>
            <c:strRef>
              <c:f>'Asociacion Mine Jms'!$AJ$4</c:f>
              <c:strCache>
                <c:ptCount val="1"/>
                <c:pt idx="0">
                  <c:v>Partículas complejas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'Asociacion Mine Jms'!$AK$1:$AP$1</c:f>
              <c:strCache>
                <c:ptCount val="6"/>
                <c:pt idx="0">
                  <c:v>Bornita</c:v>
                </c:pt>
                <c:pt idx="1">
                  <c:v>Calcosina/digenita</c:v>
                </c:pt>
                <c:pt idx="2">
                  <c:v>Enargita/Tennantita</c:v>
                </c:pt>
                <c:pt idx="3">
                  <c:v>Calcopirita</c:v>
                </c:pt>
                <c:pt idx="4">
                  <c:v>Pirita</c:v>
                </c:pt>
                <c:pt idx="5">
                  <c:v>Covelina</c:v>
                </c:pt>
              </c:strCache>
            </c:strRef>
          </c:cat>
          <c:val>
            <c:numRef>
              <c:f>'Asociacion Mine Jms'!$AK$4:$AP$4</c:f>
              <c:numCache>
                <c:formatCode>General</c:formatCode>
                <c:ptCount val="6"/>
                <c:pt idx="0">
                  <c:v>46.48</c:v>
                </c:pt>
                <c:pt idx="1">
                  <c:v>26.55</c:v>
                </c:pt>
                <c:pt idx="2">
                  <c:v>42.86</c:v>
                </c:pt>
                <c:pt idx="3">
                  <c:v>34.229999999999997</c:v>
                </c:pt>
                <c:pt idx="4">
                  <c:v>14.48</c:v>
                </c:pt>
                <c:pt idx="5">
                  <c:v>49.63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23-44A6-886A-484724FDF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5605376"/>
        <c:axId val="915606816"/>
      </c:barChart>
      <c:catAx>
        <c:axId val="91560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15606816"/>
        <c:crosses val="autoZero"/>
        <c:auto val="1"/>
        <c:lblAlgn val="ctr"/>
        <c:lblOffset val="100"/>
        <c:noMultiLvlLbl val="0"/>
      </c:catAx>
      <c:valAx>
        <c:axId val="91560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1560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RELAVE DIA 26-08-25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'Asociacion Mine Jms'!$AJ$32</c:f>
              <c:strCache>
                <c:ptCount val="1"/>
                <c:pt idx="0">
                  <c:v>Partículas libres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'Asociacion Mine Jms'!$AK$1:$AP$1</c:f>
              <c:strCache>
                <c:ptCount val="6"/>
                <c:pt idx="0">
                  <c:v>Bornita</c:v>
                </c:pt>
                <c:pt idx="1">
                  <c:v>Calcosina/digenita</c:v>
                </c:pt>
                <c:pt idx="2">
                  <c:v>Enargita/Tennantita</c:v>
                </c:pt>
                <c:pt idx="3">
                  <c:v>Calcopirita</c:v>
                </c:pt>
                <c:pt idx="4">
                  <c:v>Pirita</c:v>
                </c:pt>
                <c:pt idx="5">
                  <c:v>Covelina</c:v>
                </c:pt>
              </c:strCache>
            </c:strRef>
          </c:cat>
          <c:val>
            <c:numRef>
              <c:f>'Asociacion Mine Jms'!$AK$32:$AP$32</c:f>
              <c:numCache>
                <c:formatCode>General</c:formatCode>
                <c:ptCount val="6"/>
                <c:pt idx="0">
                  <c:v>60.92</c:v>
                </c:pt>
                <c:pt idx="1">
                  <c:v>67.8</c:v>
                </c:pt>
                <c:pt idx="2">
                  <c:v>23.92</c:v>
                </c:pt>
                <c:pt idx="3">
                  <c:v>54.39</c:v>
                </c:pt>
                <c:pt idx="4">
                  <c:v>59.08</c:v>
                </c:pt>
                <c:pt idx="5">
                  <c:v>9.8800000000000008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0C-4466-8098-2FDCF8A89C24}"/>
            </c:ext>
          </c:extLst>
        </c:ser>
        <c:ser>
          <c:idx val="1"/>
          <c:order val="1"/>
          <c:tx>
            <c:strRef>
              <c:f>'Asociacion Mine Jms'!$AJ$33</c:f>
              <c:strCache>
                <c:ptCount val="1"/>
                <c:pt idx="0">
                  <c:v>Partículas binarias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'Asociacion Mine Jms'!$AK$1:$AP$1</c:f>
              <c:strCache>
                <c:ptCount val="6"/>
                <c:pt idx="0">
                  <c:v>Bornita</c:v>
                </c:pt>
                <c:pt idx="1">
                  <c:v>Calcosina/digenita</c:v>
                </c:pt>
                <c:pt idx="2">
                  <c:v>Enargita/Tennantita</c:v>
                </c:pt>
                <c:pt idx="3">
                  <c:v>Calcopirita</c:v>
                </c:pt>
                <c:pt idx="4">
                  <c:v>Pirita</c:v>
                </c:pt>
                <c:pt idx="5">
                  <c:v>Covelina</c:v>
                </c:pt>
              </c:strCache>
            </c:strRef>
          </c:cat>
          <c:val>
            <c:numRef>
              <c:f>'Asociacion Mine Jms'!$AK$33:$AP$33</c:f>
              <c:numCache>
                <c:formatCode>General</c:formatCode>
                <c:ptCount val="6"/>
                <c:pt idx="0">
                  <c:v>19.649999999999999</c:v>
                </c:pt>
                <c:pt idx="1">
                  <c:v>21.19</c:v>
                </c:pt>
                <c:pt idx="2">
                  <c:v>53.73</c:v>
                </c:pt>
                <c:pt idx="3">
                  <c:v>12.18</c:v>
                </c:pt>
                <c:pt idx="4">
                  <c:v>37.770000000000003</c:v>
                </c:pt>
                <c:pt idx="5">
                  <c:v>34.57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0C-4466-8098-2FDCF8A89C24}"/>
            </c:ext>
          </c:extLst>
        </c:ser>
        <c:ser>
          <c:idx val="2"/>
          <c:order val="2"/>
          <c:tx>
            <c:strRef>
              <c:f>'Asociacion Mine Jms'!$AJ$34</c:f>
              <c:strCache>
                <c:ptCount val="1"/>
                <c:pt idx="0">
                  <c:v>Partículas complejas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'Asociacion Mine Jms'!$AK$1:$AP$1</c:f>
              <c:strCache>
                <c:ptCount val="6"/>
                <c:pt idx="0">
                  <c:v>Bornita</c:v>
                </c:pt>
                <c:pt idx="1">
                  <c:v>Calcosina/digenita</c:v>
                </c:pt>
                <c:pt idx="2">
                  <c:v>Enargita/Tennantita</c:v>
                </c:pt>
                <c:pt idx="3">
                  <c:v>Calcopirita</c:v>
                </c:pt>
                <c:pt idx="4">
                  <c:v>Pirita</c:v>
                </c:pt>
                <c:pt idx="5">
                  <c:v>Covelina</c:v>
                </c:pt>
              </c:strCache>
            </c:strRef>
          </c:cat>
          <c:val>
            <c:numRef>
              <c:f>'Asociacion Mine Jms'!$AK$34:$AP$34</c:f>
              <c:numCache>
                <c:formatCode>General</c:formatCode>
                <c:ptCount val="6"/>
                <c:pt idx="0">
                  <c:v>19.420000000000002</c:v>
                </c:pt>
                <c:pt idx="1">
                  <c:v>11.02</c:v>
                </c:pt>
                <c:pt idx="2">
                  <c:v>22.35</c:v>
                </c:pt>
                <c:pt idx="3">
                  <c:v>33.43</c:v>
                </c:pt>
                <c:pt idx="4">
                  <c:v>3.15</c:v>
                </c:pt>
                <c:pt idx="5">
                  <c:v>55.56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0C-4466-8098-2FDCF8A89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5605376"/>
        <c:axId val="915606816"/>
      </c:barChart>
      <c:catAx>
        <c:axId val="91560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15606816"/>
        <c:crosses val="autoZero"/>
        <c:auto val="1"/>
        <c:lblAlgn val="ctr"/>
        <c:lblOffset val="100"/>
        <c:noMultiLvlLbl val="0"/>
      </c:catAx>
      <c:valAx>
        <c:axId val="91560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1560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CONCENTRADO RO DIA 26-08-25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'Asociacion Mine Jms'!$AJ$59</c:f>
              <c:strCache>
                <c:ptCount val="1"/>
                <c:pt idx="0">
                  <c:v>Partículas libres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'Asociacion Mine Jms'!$AK$1:$AP$1</c:f>
              <c:strCache>
                <c:ptCount val="6"/>
                <c:pt idx="0">
                  <c:v>Bornita</c:v>
                </c:pt>
                <c:pt idx="1">
                  <c:v>Calcosina/digenita</c:v>
                </c:pt>
                <c:pt idx="2">
                  <c:v>Enargita/Tennantita</c:v>
                </c:pt>
                <c:pt idx="3">
                  <c:v>Calcopirita</c:v>
                </c:pt>
                <c:pt idx="4">
                  <c:v>Pirita</c:v>
                </c:pt>
                <c:pt idx="5">
                  <c:v>Covelina</c:v>
                </c:pt>
              </c:strCache>
            </c:strRef>
          </c:cat>
          <c:val>
            <c:numRef>
              <c:f>'Asociacion Mine Jms'!$AK$59:$AP$59</c:f>
              <c:numCache>
                <c:formatCode>General</c:formatCode>
                <c:ptCount val="6"/>
                <c:pt idx="0">
                  <c:v>39.520000000000003</c:v>
                </c:pt>
                <c:pt idx="1">
                  <c:v>55.85</c:v>
                </c:pt>
                <c:pt idx="2">
                  <c:v>36.24</c:v>
                </c:pt>
                <c:pt idx="3">
                  <c:v>61.47</c:v>
                </c:pt>
                <c:pt idx="4">
                  <c:v>57.33</c:v>
                </c:pt>
                <c:pt idx="5">
                  <c:v>40.43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1B-4B69-857E-13142F2C4C77}"/>
            </c:ext>
          </c:extLst>
        </c:ser>
        <c:ser>
          <c:idx val="1"/>
          <c:order val="1"/>
          <c:tx>
            <c:strRef>
              <c:f>'Asociacion Mine Jms'!$AJ$60</c:f>
              <c:strCache>
                <c:ptCount val="1"/>
                <c:pt idx="0">
                  <c:v>Partículas binarias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'Asociacion Mine Jms'!$AK$1:$AP$1</c:f>
              <c:strCache>
                <c:ptCount val="6"/>
                <c:pt idx="0">
                  <c:v>Bornita</c:v>
                </c:pt>
                <c:pt idx="1">
                  <c:v>Calcosina/digenita</c:v>
                </c:pt>
                <c:pt idx="2">
                  <c:v>Enargita/Tennantita</c:v>
                </c:pt>
                <c:pt idx="3">
                  <c:v>Calcopirita</c:v>
                </c:pt>
                <c:pt idx="4">
                  <c:v>Pirita</c:v>
                </c:pt>
                <c:pt idx="5">
                  <c:v>Covelina</c:v>
                </c:pt>
              </c:strCache>
            </c:strRef>
          </c:cat>
          <c:val>
            <c:numRef>
              <c:f>'Asociacion Mine Jms'!$AK$60:$AP$60</c:f>
              <c:numCache>
                <c:formatCode>General</c:formatCode>
                <c:ptCount val="6"/>
                <c:pt idx="0">
                  <c:v>30.66</c:v>
                </c:pt>
                <c:pt idx="1">
                  <c:v>27.91</c:v>
                </c:pt>
                <c:pt idx="2">
                  <c:v>35.08</c:v>
                </c:pt>
                <c:pt idx="3">
                  <c:v>26.98</c:v>
                </c:pt>
                <c:pt idx="4">
                  <c:v>26.86</c:v>
                </c:pt>
                <c:pt idx="5">
                  <c:v>35.89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1B-4B69-857E-13142F2C4C77}"/>
            </c:ext>
          </c:extLst>
        </c:ser>
        <c:ser>
          <c:idx val="2"/>
          <c:order val="2"/>
          <c:tx>
            <c:strRef>
              <c:f>'Asociacion Mine Jms'!$AJ$61</c:f>
              <c:strCache>
                <c:ptCount val="1"/>
                <c:pt idx="0">
                  <c:v>Partículas complejas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'Asociacion Mine Jms'!$AK$1:$AP$1</c:f>
              <c:strCache>
                <c:ptCount val="6"/>
                <c:pt idx="0">
                  <c:v>Bornita</c:v>
                </c:pt>
                <c:pt idx="1">
                  <c:v>Calcosina/digenita</c:v>
                </c:pt>
                <c:pt idx="2">
                  <c:v>Enargita/Tennantita</c:v>
                </c:pt>
                <c:pt idx="3">
                  <c:v>Calcopirita</c:v>
                </c:pt>
                <c:pt idx="4">
                  <c:v>Pirita</c:v>
                </c:pt>
                <c:pt idx="5">
                  <c:v>Covelina</c:v>
                </c:pt>
              </c:strCache>
            </c:strRef>
          </c:cat>
          <c:val>
            <c:numRef>
              <c:f>'Asociacion Mine Jms'!$AK$61:$AP$61</c:f>
              <c:numCache>
                <c:formatCode>General</c:formatCode>
                <c:ptCount val="6"/>
                <c:pt idx="0">
                  <c:v>29.82</c:v>
                </c:pt>
                <c:pt idx="1">
                  <c:v>16.239999999999998</c:v>
                </c:pt>
                <c:pt idx="2">
                  <c:v>28.68</c:v>
                </c:pt>
                <c:pt idx="3">
                  <c:v>11.55</c:v>
                </c:pt>
                <c:pt idx="4">
                  <c:v>15.81</c:v>
                </c:pt>
                <c:pt idx="5">
                  <c:v>23.68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1B-4B69-857E-13142F2C4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5605376"/>
        <c:axId val="915606816"/>
      </c:barChart>
      <c:catAx>
        <c:axId val="91560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15606816"/>
        <c:crosses val="autoZero"/>
        <c:auto val="1"/>
        <c:lblAlgn val="ctr"/>
        <c:lblOffset val="100"/>
        <c:noMultiLvlLbl val="0"/>
      </c:catAx>
      <c:valAx>
        <c:axId val="91560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1560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 ALIMENTACION RO NOCHE 07-08-25 </a:t>
            </a:r>
          </a:p>
        </c:rich>
      </c:tx>
      <c:layout>
        <c:manualLayout>
          <c:xMode val="edge"/>
          <c:yMode val="edge"/>
          <c:x val="0.24977777777777777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'Asociacion Mine Jms'!$AJ$88</c:f>
              <c:strCache>
                <c:ptCount val="1"/>
                <c:pt idx="0">
                  <c:v>Partículas libres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'Asociacion Mine Jms'!$AK$1:$AP$1</c:f>
              <c:strCache>
                <c:ptCount val="6"/>
                <c:pt idx="0">
                  <c:v>Bornita</c:v>
                </c:pt>
                <c:pt idx="1">
                  <c:v>Calcosina/digenita</c:v>
                </c:pt>
                <c:pt idx="2">
                  <c:v>Enargita/Tennantita</c:v>
                </c:pt>
                <c:pt idx="3">
                  <c:v>Calcopirita</c:v>
                </c:pt>
                <c:pt idx="4">
                  <c:v>Pirita</c:v>
                </c:pt>
                <c:pt idx="5">
                  <c:v>Covelina</c:v>
                </c:pt>
              </c:strCache>
            </c:strRef>
          </c:cat>
          <c:val>
            <c:numRef>
              <c:f>'Asociacion Mine Jms'!$AK$88:$AP$88</c:f>
              <c:numCache>
                <c:formatCode>General</c:formatCode>
                <c:ptCount val="6"/>
                <c:pt idx="0">
                  <c:v>83.06</c:v>
                </c:pt>
                <c:pt idx="1">
                  <c:v>84.34</c:v>
                </c:pt>
                <c:pt idx="2">
                  <c:v>99.06</c:v>
                </c:pt>
                <c:pt idx="3">
                  <c:v>84.78</c:v>
                </c:pt>
                <c:pt idx="4">
                  <c:v>96.22</c:v>
                </c:pt>
                <c:pt idx="5">
                  <c:v>91.01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EA-41CB-90D8-3DB6006A0500}"/>
            </c:ext>
          </c:extLst>
        </c:ser>
        <c:ser>
          <c:idx val="1"/>
          <c:order val="1"/>
          <c:tx>
            <c:strRef>
              <c:f>'Asociacion Mine Jms'!$AJ$89</c:f>
              <c:strCache>
                <c:ptCount val="1"/>
                <c:pt idx="0">
                  <c:v>Partículas binarias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'Asociacion Mine Jms'!$AK$1:$AP$1</c:f>
              <c:strCache>
                <c:ptCount val="6"/>
                <c:pt idx="0">
                  <c:v>Bornita</c:v>
                </c:pt>
                <c:pt idx="1">
                  <c:v>Calcosina/digenita</c:v>
                </c:pt>
                <c:pt idx="2">
                  <c:v>Enargita/Tennantita</c:v>
                </c:pt>
                <c:pt idx="3">
                  <c:v>Calcopirita</c:v>
                </c:pt>
                <c:pt idx="4">
                  <c:v>Pirita</c:v>
                </c:pt>
                <c:pt idx="5">
                  <c:v>Covelina</c:v>
                </c:pt>
              </c:strCache>
            </c:strRef>
          </c:cat>
          <c:val>
            <c:numRef>
              <c:f>'Asociacion Mine Jms'!$AK$89:$AP$89</c:f>
              <c:numCache>
                <c:formatCode>General</c:formatCode>
                <c:ptCount val="6"/>
                <c:pt idx="0">
                  <c:v>16.940000000000001</c:v>
                </c:pt>
                <c:pt idx="1">
                  <c:v>10.84</c:v>
                </c:pt>
                <c:pt idx="2">
                  <c:v>0.94</c:v>
                </c:pt>
                <c:pt idx="3">
                  <c:v>11.97</c:v>
                </c:pt>
                <c:pt idx="4">
                  <c:v>0.25</c:v>
                </c:pt>
                <c:pt idx="5">
                  <c:v>6.74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EA-41CB-90D8-3DB6006A0500}"/>
            </c:ext>
          </c:extLst>
        </c:ser>
        <c:ser>
          <c:idx val="2"/>
          <c:order val="2"/>
          <c:tx>
            <c:strRef>
              <c:f>'Asociacion Mine Jms'!$AJ$90</c:f>
              <c:strCache>
                <c:ptCount val="1"/>
                <c:pt idx="0">
                  <c:v>Partículas complejas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'Asociacion Mine Jms'!$AK$1:$AP$1</c:f>
              <c:strCache>
                <c:ptCount val="6"/>
                <c:pt idx="0">
                  <c:v>Bornita</c:v>
                </c:pt>
                <c:pt idx="1">
                  <c:v>Calcosina/digenita</c:v>
                </c:pt>
                <c:pt idx="2">
                  <c:v>Enargita/Tennantita</c:v>
                </c:pt>
                <c:pt idx="3">
                  <c:v>Calcopirita</c:v>
                </c:pt>
                <c:pt idx="4">
                  <c:v>Pirita</c:v>
                </c:pt>
                <c:pt idx="5">
                  <c:v>Covelina</c:v>
                </c:pt>
              </c:strCache>
            </c:strRef>
          </c:cat>
          <c:val>
            <c:numRef>
              <c:f>'Asociacion Mine Jms'!$AK$90:$AP$90</c:f>
              <c:numCache>
                <c:formatCode>General</c:formatCode>
                <c:ptCount val="6"/>
                <c:pt idx="0">
                  <c:v>0</c:v>
                </c:pt>
                <c:pt idx="1">
                  <c:v>4.82</c:v>
                </c:pt>
                <c:pt idx="2">
                  <c:v>0</c:v>
                </c:pt>
                <c:pt idx="3">
                  <c:v>3.25</c:v>
                </c:pt>
                <c:pt idx="4">
                  <c:v>3.53</c:v>
                </c:pt>
                <c:pt idx="5">
                  <c:v>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EA-41CB-90D8-3DB6006A0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5605376"/>
        <c:axId val="915606816"/>
      </c:barChart>
      <c:catAx>
        <c:axId val="91560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15606816"/>
        <c:crosses val="autoZero"/>
        <c:auto val="1"/>
        <c:lblAlgn val="ctr"/>
        <c:lblOffset val="100"/>
        <c:noMultiLvlLbl val="0"/>
      </c:catAx>
      <c:valAx>
        <c:axId val="91560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1560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val">
        <cx:f>_xlchart.v1.10</cx:f>
      </cx:numDim>
    </cx:data>
    <cx:data id="1">
      <cx:strDim type="cat">
        <cx:f>_xlchart.v1.8</cx:f>
      </cx:strDim>
      <cx:numDim type="val">
        <cx:f>_xlchart.v1.12</cx:f>
      </cx:numDim>
    </cx:data>
    <cx:data id="2">
      <cx:strDim type="cat">
        <cx:f>_xlchart.v1.8</cx:f>
      </cx:strDim>
      <cx:numDim type="val">
        <cx:f>_xlchart.v1.14</cx:f>
      </cx:numDim>
    </cx:data>
  </cx:chartData>
  <cx:chart>
    <cx:title pos="t" align="ctr" overlay="0">
      <cx:tx>
        <cx:txData>
          <cx:v>Leyes de Cu, %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atin typeface="Source Sans Pro" panose="020B0503030403020204" pitchFamily="34" charset="0"/>
              <a:ea typeface="Source Sans Pro" panose="020B0503030403020204" pitchFamily="34" charset="0"/>
              <a:cs typeface="Source Sans Pro" panose="020B0503030403020204" pitchFamily="34" charset="0"/>
            </a:defRPr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Source Sans Pro" panose="020B0503030403020204" pitchFamily="34" charset="0"/>
            </a:rPr>
            <a:t>Leyes de Cu, %</a:t>
          </a:r>
        </a:p>
      </cx:txPr>
    </cx:title>
    <cx:plotArea>
      <cx:plotAreaRegion>
        <cx:series layoutId="boxWhisker" uniqueId="{3C5727F1-0CBF-4FEB-B6DB-156FC83761A2}">
          <cx:tx>
            <cx:txData>
              <cx:f>_xlchart.v1.9</cx:f>
              <cx:v>Alim. Ro</cx:v>
            </cx:txData>
          </cx:tx>
          <cx:dataId val="0"/>
          <cx:layoutPr>
            <cx:statistics quartileMethod="exclusive"/>
          </cx:layoutPr>
        </cx:series>
        <cx:series layoutId="boxWhisker" uniqueId="{9D731C85-6999-4F7B-B310-7F384F2E39C5}">
          <cx:tx>
            <cx:txData>
              <cx:f>_xlchart.v1.11</cx:f>
              <cx:v>Cola Ro</cx:v>
            </cx:txData>
          </cx:tx>
          <cx:dataId val="1"/>
          <cx:layoutPr>
            <cx:statistics quartileMethod="exclusive"/>
          </cx:layoutPr>
        </cx:series>
        <cx:series layoutId="boxWhisker" uniqueId="{FE0DD61A-9A25-4BEF-AA8A-034F5FBB5664}">
          <cx:tx>
            <cx:txData>
              <cx:f>_xlchart.v1.13</cx:f>
              <cx:v>Conc. Ro</cx:v>
            </cx:txData>
          </cx:tx>
          <cx:dataId val="2"/>
          <cx:layoutPr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100" b="0" i="0">
                <a:solidFill>
                  <a:srgbClr val="595959"/>
                </a:solidFill>
                <a:latin typeface="Source Sans Pro" panose="020B0503030403020204" pitchFamily="34" charset="0"/>
                <a:ea typeface="Source Sans Pro" panose="020B0503030403020204" pitchFamily="34" charset="0"/>
                <a:cs typeface="Source Sans Pro" panose="020B0503030403020204" pitchFamily="34" charset="0"/>
              </a:defRPr>
            </a:pPr>
            <a:endParaRPr lang="es-CL" sz="1100">
              <a:latin typeface="Source Sans Pro" panose="020B0503030403020204" pitchFamily="34" charset="0"/>
            </a:endParaRPr>
          </a:p>
        </cx:txPr>
      </cx:axis>
      <cx:axis id="1">
        <cx:valScaling/>
        <cx:title>
          <cx:tx>
            <cx:txData>
              <cx:v>Ley  Cu, %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latin typeface="Source Sans Pro" panose="020B0503030403020204" pitchFamily="34" charset="0"/>
                  <a:ea typeface="Source Sans Pro" panose="020B0503030403020204" pitchFamily="34" charset="0"/>
                  <a:cs typeface="Source Sans Pro" panose="020B0503030403020204" pitchFamily="34" charset="0"/>
                </a:defRPr>
              </a:pPr>
              <a:r>
                <a:rPr lang="es-ES" sz="11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Source Sans Pro" panose="020B0503030403020204" pitchFamily="34" charset="0"/>
                </a:rPr>
                <a:t>Ley  Cu, %</a:t>
              </a:r>
            </a:p>
          </cx:txPr>
        </cx:title>
        <cx:majorGridlines/>
        <cx:tickLabels/>
        <cx:numFmt formatCode="0" sourceLinked="0"/>
        <cx:txPr>
          <a:bodyPr vertOverflow="overflow" horzOverflow="overflow" wrap="square" lIns="0" tIns="0" rIns="0" bIns="0"/>
          <a:lstStyle/>
          <a:p>
            <a:pPr algn="ctr" rtl="0">
              <a:defRPr sz="1050" b="0" i="0">
                <a:solidFill>
                  <a:srgbClr val="595959"/>
                </a:solidFill>
                <a:latin typeface="Source Sans Pro" panose="020B0503030403020204" pitchFamily="34" charset="0"/>
                <a:ea typeface="Source Sans Pro" panose="020B0503030403020204" pitchFamily="34" charset="0"/>
                <a:cs typeface="Source Sans Pro" panose="020B0503030403020204" pitchFamily="34" charset="0"/>
              </a:defRPr>
            </a:pPr>
            <a:endParaRPr lang="es-CL" sz="1050">
              <a:latin typeface="Source Sans Pro" panose="020B0503030403020204" pitchFamily="34" charset="0"/>
            </a:endParaRPr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100" b="0" i="0">
              <a:solidFill>
                <a:srgbClr val="595959"/>
              </a:solidFill>
              <a:latin typeface="Source Sans Pro" panose="020B0503030403020204" pitchFamily="34" charset="0"/>
              <a:ea typeface="Source Sans Pro" panose="020B0503030403020204" pitchFamily="34" charset="0"/>
              <a:cs typeface="Source Sans Pro" panose="020B0503030403020204" pitchFamily="34" charset="0"/>
            </a:defRPr>
          </a:pPr>
          <a:endParaRPr lang="es-CL" sz="1100">
            <a:latin typeface="Source Sans Pro" panose="020B0503030403020204" pitchFamily="34" charset="0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</cx:chartData>
  <cx:chart>
    <cx:title pos="t" align="ctr" overlay="0">
      <cx:tx>
        <cx:txData>
          <cx:v>Parámetros metalúrgicos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600">
              <a:latin typeface="Source Sans Pro" panose="020B0503030403020204" pitchFamily="34" charset="0"/>
              <a:ea typeface="Source Sans Pro" panose="020B0503030403020204" pitchFamily="34" charset="0"/>
              <a:cs typeface="Source Sans Pro" panose="020B0503030403020204" pitchFamily="34" charset="0"/>
            </a:defRPr>
          </a:pPr>
          <a:r>
            <a:rPr lang="es-ES" sz="16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Source Sans Pro" panose="020B0503030403020204" pitchFamily="34" charset="0"/>
            </a:rPr>
            <a:t>Parámetros metalúrgicos</a:t>
          </a:r>
        </a:p>
      </cx:txPr>
    </cx:title>
    <cx:plotArea>
      <cx:plotAreaRegion>
        <cx:series layoutId="boxWhisker" uniqueId="{03F8054E-0EDF-43CB-9892-0116494C5FD1}">
          <cx:tx>
            <cx:txData>
              <cx:f>_xlchart.v1.1</cx:f>
              <cx:v>Rec. Másica  (%)</cx:v>
            </cx:txData>
          </cx:tx>
          <cx:spPr>
            <a:solidFill>
              <a:schemeClr val="accent6"/>
            </a:solidFill>
          </cx:spPr>
          <cx:dataId val="0"/>
          <cx:layoutPr>
            <cx:statistics quartileMethod="exclusive"/>
          </cx:layoutPr>
        </cx:series>
        <cx:series layoutId="boxWhisker" uniqueId="{45179F3C-1FCC-45AD-B7CB-5EF302A409E8}">
          <cx:tx>
            <cx:txData>
              <cx:f>_xlchart.v1.3</cx:f>
              <cx:v>RE Rougher</cx:v>
            </cx:txData>
          </cx:tx>
          <cx:dataId val="1"/>
          <cx:layoutPr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595959"/>
                </a:solidFill>
                <a:latin typeface="Source Sans Pro" panose="020B0503030403020204" pitchFamily="34" charset="0"/>
                <a:ea typeface="Source Sans Pro" panose="020B0503030403020204" pitchFamily="34" charset="0"/>
                <a:cs typeface="Source Sans Pro" panose="020B0503030403020204" pitchFamily="34" charset="0"/>
              </a:defRPr>
            </a:pPr>
            <a:endParaRPr lang="es-CL" sz="1200">
              <a:latin typeface="Source Sans Pro" panose="020B0503030403020204" pitchFamily="34" charset="0"/>
            </a:endParaRPr>
          </a:p>
        </cx:txPr>
      </cx:axis>
      <cx:axis id="1">
        <cx:valScaling/>
        <cx:title>
          <cx:tx>
            <cx:txData>
              <cx:v>Recuperación, %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200"/>
              </a:pPr>
              <a:r>
                <a:rPr lang="es-ES" sz="12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Recuperación, %</a:t>
              </a:r>
            </a:p>
          </cx:txPr>
        </cx:title>
        <cx:majorGridlines/>
        <cx:tickLabels/>
        <cx:numFmt formatCode="0" sourceLinked="0"/>
        <cx:txPr>
          <a:bodyPr vertOverflow="overflow" horzOverflow="overflow" wrap="square" lIns="0" tIns="0" rIns="0" bIns="0"/>
          <a:lstStyle/>
          <a:p>
            <a:pPr algn="ctr" rtl="0">
              <a:defRPr sz="1000" b="0" i="0">
                <a:solidFill>
                  <a:srgbClr val="595959"/>
                </a:solidFill>
                <a:latin typeface="Source Sans Pro" panose="020B0503030403020204" pitchFamily="34" charset="0"/>
                <a:ea typeface="Source Sans Pro" panose="020B0503030403020204" pitchFamily="34" charset="0"/>
                <a:cs typeface="Source Sans Pro" panose="020B0503030403020204" pitchFamily="34" charset="0"/>
              </a:defRPr>
            </a:pPr>
            <a:endParaRPr lang="es-CL" sz="1000">
              <a:latin typeface="Source Sans Pro" panose="020B0503030403020204" pitchFamily="34" charset="0"/>
            </a:endParaRPr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000" b="0" i="0">
              <a:solidFill>
                <a:srgbClr val="595959"/>
              </a:solidFill>
              <a:latin typeface="Source Sans Pro" panose="020B0503030403020204" pitchFamily="34" charset="0"/>
              <a:ea typeface="Source Sans Pro" panose="020B0503030403020204" pitchFamily="34" charset="0"/>
              <a:cs typeface="Source Sans Pro" panose="020B0503030403020204" pitchFamily="34" charset="0"/>
            </a:defRPr>
          </a:pPr>
          <a:endParaRPr lang="es-CL" sz="1000">
            <a:latin typeface="Source Sans Pro" panose="020B0503030403020204" pitchFamily="34" charset="0"/>
          </a:endParaRPr>
        </a:p>
      </cx:txPr>
    </cx:legend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val">
        <cx:f>_xlchart.v1.7</cx:f>
      </cx:numDim>
    </cx:data>
  </cx:chartData>
  <cx:chart>
    <cx:title pos="t" align="ctr" overlay="0">
      <cx:tx>
        <cx:txData>
          <cx:v>Parámetros metalúrgicos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600">
              <a:latin typeface="Source Sans Pro" panose="020B0503030403020204" pitchFamily="34" charset="0"/>
              <a:ea typeface="Source Sans Pro" panose="020B0503030403020204" pitchFamily="34" charset="0"/>
              <a:cs typeface="Source Sans Pro" panose="020B0503030403020204" pitchFamily="34" charset="0"/>
            </a:defRPr>
          </a:pPr>
          <a:r>
            <a:rPr lang="es-ES" sz="16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Source Sans Pro" panose="020B0503030403020204" pitchFamily="34" charset="0"/>
            </a:rPr>
            <a:t>Parámetros metalúrgicos</a:t>
          </a:r>
        </a:p>
      </cx:txPr>
    </cx:title>
    <cx:plotArea>
      <cx:plotAreaRegion>
        <cx:series layoutId="boxWhisker" uniqueId="{E9E40A0A-8F8D-4821-83A4-82D931443B49}" formatIdx="3">
          <cx:tx>
            <cx:txData>
              <cx:f>_xlchart.v1.6</cx:f>
              <cx:v>Rec. Met. %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595959"/>
                </a:solidFill>
                <a:latin typeface="Source Sans Pro" panose="020B0503030403020204" pitchFamily="34" charset="0"/>
                <a:ea typeface="Source Sans Pro" panose="020B0503030403020204" pitchFamily="34" charset="0"/>
                <a:cs typeface="Source Sans Pro" panose="020B0503030403020204" pitchFamily="34" charset="0"/>
              </a:defRPr>
            </a:pPr>
            <a:endParaRPr lang="es-CL" sz="1200">
              <a:latin typeface="Source Sans Pro" panose="020B0503030403020204" pitchFamily="34" charset="0"/>
            </a:endParaRPr>
          </a:p>
        </cx:txPr>
      </cx:axis>
      <cx:axis id="1">
        <cx:valScaling/>
        <cx:title>
          <cx:tx>
            <cx:txData>
              <cx:v>Recuperación, %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200"/>
              </a:pPr>
              <a:r>
                <a:rPr lang="es-ES" sz="12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Recuperación, %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000" b="0" i="0">
                <a:solidFill>
                  <a:srgbClr val="595959"/>
                </a:solidFill>
                <a:latin typeface="Source Sans Pro" panose="020B0503030403020204" pitchFamily="34" charset="0"/>
                <a:ea typeface="Source Sans Pro" panose="020B0503030403020204" pitchFamily="34" charset="0"/>
                <a:cs typeface="Source Sans Pro" panose="020B0503030403020204" pitchFamily="34" charset="0"/>
              </a:defRPr>
            </a:pPr>
            <a:endParaRPr lang="es-CL" sz="1000">
              <a:latin typeface="Source Sans Pro" panose="020B0503030403020204" pitchFamily="34" charset="0"/>
            </a:endParaRPr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000" b="0" i="0">
              <a:solidFill>
                <a:srgbClr val="595959"/>
              </a:solidFill>
              <a:latin typeface="Source Sans Pro" panose="020B0503030403020204" pitchFamily="34" charset="0"/>
              <a:ea typeface="Source Sans Pro" panose="020B0503030403020204" pitchFamily="34" charset="0"/>
              <a:cs typeface="Source Sans Pro" panose="020B0503030403020204" pitchFamily="34" charset="0"/>
            </a:defRPr>
          </a:pPr>
          <a:endParaRPr lang="es-CL" sz="1000">
            <a:latin typeface="Source Sans Pro" panose="020B0503030403020204" pitchFamily="34" charset="0"/>
          </a:endParaRPr>
        </a:p>
      </cx:txPr>
    </cx:legend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_xlchart.v1.24</cx:f>
      </cx:strDim>
      <cx:numDim type="val">
        <cx:f>_xlchart.v1.26</cx:f>
      </cx:numDim>
    </cx:data>
    <cx:data id="1">
      <cx:strDim type="cat">
        <cx:f>_xlchart.v1.24</cx:f>
      </cx:strDim>
      <cx:numDim type="val">
        <cx:f>_xlchart.v1.28</cx:f>
      </cx:numDim>
    </cx:data>
    <cx:data id="2">
      <cx:strDim type="cat">
        <cx:f>_xlchart.v1.24</cx:f>
      </cx:strDim>
      <cx:numDim type="val">
        <cx:f>_xlchart.v1.30</cx:f>
      </cx:numDim>
    </cx:data>
    <cx:data id="3">
      <cx:strDim type="cat">
        <cx:f>_xlchart.v1.24</cx:f>
      </cx:strDim>
      <cx:numDim type="val">
        <cx:f>_xlchart.v1.32</cx:f>
      </cx:numDim>
    </cx:data>
    <cx:data id="4">
      <cx:strDim type="cat">
        <cx:f>_xlchart.v1.24</cx:f>
      </cx:strDim>
      <cx:numDim type="val">
        <cx:f>_xlchart.v1.34</cx:f>
      </cx:numDim>
    </cx:data>
    <cx:data id="5">
      <cx:strDim type="cat">
        <cx:f>_xlchart.v1.24</cx:f>
      </cx:strDim>
      <cx:numDim type="val">
        <cx:f>_xlchart.v1.36</cx:f>
      </cx:numDim>
    </cx:data>
    <cx:data id="6">
      <cx:strDim type="cat">
        <cx:f>_xlchart.v1.24</cx:f>
      </cx:strDim>
      <cx:numDim type="val">
        <cx:f>_xlchart.v1.38</cx:f>
      </cx:numDim>
    </cx:data>
    <cx:data id="7">
      <cx:strDim type="cat">
        <cx:f>_xlchart.v1.24</cx:f>
      </cx:strDim>
      <cx:numDim type="val">
        <cx:f>_xlchart.v1.40</cx:f>
      </cx:numDim>
    </cx:data>
  </cx:chartData>
  <cx:chart>
    <cx:title pos="t" align="ctr" overlay="0">
      <cx:tx>
        <cx:txData>
          <cx:v>%Cu para cada flujo y condición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atin typeface="Source Sans Pro" panose="020B0503030403020204" pitchFamily="34" charset="0"/>
              <a:ea typeface="Source Sans Pro" panose="020B0503030403020204" pitchFamily="34" charset="0"/>
              <a:cs typeface="Source Sans Pro" panose="020B0503030403020204" pitchFamily="34" charset="0"/>
            </a:defRPr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Source Sans Pro" panose="020B0503030403020204" pitchFamily="34" charset="0"/>
            </a:rPr>
            <a:t>%Cu para cada flujo y condición</a:t>
          </a:r>
        </a:p>
      </cx:txPr>
    </cx:title>
    <cx:plotArea>
      <cx:plotAreaRegion>
        <cx:series layoutId="boxWhisker" uniqueId="{137115B5-5953-4142-8630-0A70DB4FDD0A}">
          <cx:tx>
            <cx:txData>
              <cx:f>_xlchart.v1.25</cx:f>
              <cx:v>Alim. 1° Cl</cx:v>
            </cx:txData>
          </cx:tx>
          <cx:dataId val="0"/>
          <cx:layoutPr>
            <cx:statistics quartileMethod="exclusive"/>
          </cx:layoutPr>
        </cx:series>
        <cx:series layoutId="boxWhisker" uniqueId="{A96B3B0F-9BBF-4BC7-B6C4-4586355A7EB0}">
          <cx:tx>
            <cx:txData>
              <cx:f>_xlchart.v1.27</cx:f>
              <cx:v>Conc. 1° Cl</cx:v>
            </cx:txData>
          </cx:tx>
          <cx:dataId val="1"/>
          <cx:layoutPr>
            <cx:statistics quartileMethod="exclusive"/>
          </cx:layoutPr>
        </cx:series>
        <cx:series layoutId="boxWhisker" uniqueId="{15DC5F1E-5E1D-4D7E-8EFB-3F15A179C0DA}">
          <cx:tx>
            <cx:txData>
              <cx:f>_xlchart.v1.29</cx:f>
              <cx:v>Cola 1° Cl</cx:v>
            </cx:txData>
          </cx:tx>
          <cx:dataId val="2"/>
          <cx:layoutPr>
            <cx:statistics quartileMethod="exclusive"/>
          </cx:layoutPr>
        </cx:series>
        <cx:series layoutId="boxWhisker" uniqueId="{3A185662-5086-4444-8B05-7EAD347DA19E}">
          <cx:tx>
            <cx:txData>
              <cx:f>_xlchart.v1.31</cx:f>
              <cx:v>Alim. SCV</cx:v>
            </cx:txData>
          </cx:tx>
          <cx:dataId val="3"/>
          <cx:layoutPr>
            <cx:statistics quartileMethod="exclusive"/>
          </cx:layoutPr>
        </cx:series>
        <cx:series layoutId="boxWhisker" uniqueId="{42C5207A-4BE4-4570-98A2-532EDE1F4815}">
          <cx:tx>
            <cx:txData>
              <cx:f>_xlchart.v1.33</cx:f>
              <cx:v>Conc. SCV</cx:v>
            </cx:txData>
          </cx:tx>
          <cx:dataId val="4"/>
          <cx:layoutPr>
            <cx:statistics quartileMethod="exclusive"/>
          </cx:layoutPr>
        </cx:series>
        <cx:series layoutId="boxWhisker" uniqueId="{FB7A9223-1D8B-47A5-A5F3-F56A640343AB}">
          <cx:tx>
            <cx:txData>
              <cx:f>_xlchart.v1.35</cx:f>
              <cx:v>Conc. Cl-SCV</cx:v>
            </cx:txData>
          </cx:tx>
          <cx:dataId val="5"/>
          <cx:layoutPr>
            <cx:statistics quartileMethod="exclusive"/>
          </cx:layoutPr>
        </cx:series>
        <cx:series layoutId="boxWhisker" uniqueId="{77F4F63A-3C24-48D7-87D4-A23674BDDF60}">
          <cx:tx>
            <cx:txData>
              <cx:f>_xlchart.v1.37</cx:f>
              <cx:v>Cola Cl-SCV</cx:v>
            </cx:txData>
          </cx:tx>
          <cx:dataId val="6"/>
          <cx:layoutPr>
            <cx:statistics quartileMethod="exclusive"/>
          </cx:layoutPr>
        </cx:series>
        <cx:series layoutId="boxWhisker" uniqueId="{915C5C74-78A2-486A-98C0-5E70B89BACAB}">
          <cx:tx>
            <cx:txData>
              <cx:f>_xlchart.v1.39</cx:f>
              <cx:v>Cola SCV</cx:v>
            </cx:txData>
          </cx:tx>
          <cx:dataId val="7"/>
          <cx:layoutPr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100" b="0" i="0">
                <a:solidFill>
                  <a:srgbClr val="595959"/>
                </a:solidFill>
                <a:latin typeface="Source Sans Pro" panose="020B0503030403020204" pitchFamily="34" charset="0"/>
                <a:ea typeface="Source Sans Pro" panose="020B0503030403020204" pitchFamily="34" charset="0"/>
                <a:cs typeface="Source Sans Pro" panose="020B0503030403020204" pitchFamily="34" charset="0"/>
              </a:defRPr>
            </a:pPr>
            <a:endParaRPr lang="es-CL" sz="1100">
              <a:latin typeface="Source Sans Pro" panose="020B0503030403020204" pitchFamily="34" charset="0"/>
            </a:endParaRPr>
          </a:p>
        </cx:txPr>
      </cx:axis>
      <cx:axis id="1">
        <cx:valScaling/>
        <cx:title>
          <cx:tx>
            <cx:txData>
              <cx:v>Ley Cu, %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>
                  <a:latin typeface="Source Sans Pro" panose="020B0503030403020204" pitchFamily="34" charset="0"/>
                  <a:ea typeface="Source Sans Pro" panose="020B0503030403020204" pitchFamily="34" charset="0"/>
                  <a:cs typeface="Source Sans Pro" panose="020B0503030403020204" pitchFamily="34" charset="0"/>
                </a:defRPr>
              </a:pPr>
              <a:r>
                <a:rPr lang="es-ES" sz="11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Source Sans Pro" panose="020B0503030403020204" pitchFamily="34" charset="0"/>
                </a:rPr>
                <a:t>Ley Cu, %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100" b="0" i="0">
                <a:solidFill>
                  <a:srgbClr val="595959"/>
                </a:solidFill>
                <a:latin typeface="Source Sans Pro" panose="020B0503030403020204" pitchFamily="34" charset="0"/>
                <a:ea typeface="Source Sans Pro" panose="020B0503030403020204" pitchFamily="34" charset="0"/>
                <a:cs typeface="Source Sans Pro" panose="020B0503030403020204" pitchFamily="34" charset="0"/>
              </a:defRPr>
            </a:pPr>
            <a:endParaRPr lang="es-CL" sz="1100">
              <a:latin typeface="Source Sans Pro" panose="020B0503030403020204" pitchFamily="34" charset="0"/>
            </a:endParaRPr>
          </a:p>
        </cx:txPr>
      </cx:axis>
    </cx:plotArea>
    <cx:legend pos="r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atin typeface="Source Sans Pro" panose="020B0503030403020204" pitchFamily="34" charset="0"/>
              <a:ea typeface="Source Sans Pro" panose="020B0503030403020204" pitchFamily="34" charset="0"/>
              <a:cs typeface="Source Sans Pro" panose="020B0503030403020204" pitchFamily="34" charset="0"/>
            </a:defRPr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Source Sans Pro" panose="020B0503030403020204" pitchFamily="34" charset="0"/>
          </a:endParaRPr>
        </a:p>
      </cx:txPr>
    </cx:legend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_xlchart.v1.15</cx:f>
      </cx:strDim>
      <cx:numDim type="val">
        <cx:f>_xlchart.v1.17</cx:f>
      </cx:numDim>
    </cx:data>
    <cx:data id="1">
      <cx:strDim type="cat">
        <cx:f>_xlchart.v1.15</cx:f>
      </cx:strDim>
      <cx:numDim type="val">
        <cx:f>_xlchart.v1.19</cx:f>
      </cx:numDim>
    </cx:data>
    <cx:data id="2">
      <cx:strDim type="cat">
        <cx:f>_xlchart.v1.15</cx:f>
      </cx:strDim>
      <cx:numDim type="val">
        <cx:f>_xlchart.v1.21</cx:f>
      </cx:numDim>
    </cx:data>
    <cx:data id="3">
      <cx:strDim type="cat">
        <cx:f>_xlchart.v1.15</cx:f>
      </cx:strDim>
      <cx:numDim type="val">
        <cx:f>_xlchart.v1.23</cx:f>
      </cx:numDim>
    </cx:data>
  </cx:chartData>
  <cx:chart>
    <cx:title pos="t" align="ctr" overlay="0">
      <cx:tx>
        <cx:txData>
          <cx:v>Razones de Enriquecimiento y Recuperaciones en Peso para cada condición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atin typeface="Source Sans Pro" panose="020B0503030403020204" pitchFamily="34" charset="0"/>
              <a:ea typeface="Source Sans Pro" panose="020B0503030403020204" pitchFamily="34" charset="0"/>
              <a:cs typeface="Source Sans Pro" panose="020B0503030403020204" pitchFamily="34" charset="0"/>
            </a:defRPr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Source Sans Pro" panose="020B0503030403020204" pitchFamily="34" charset="0"/>
            </a:rPr>
            <a:t>Razones de Enriquecimiento y Recuperaciones en Peso para cada condición</a:t>
          </a:r>
        </a:p>
      </cx:txPr>
    </cx:title>
    <cx:plotArea>
      <cx:plotAreaRegion>
        <cx:series layoutId="boxWhisker" uniqueId="{66979D00-4A87-4A66-8F41-A9BB22A75CEA}">
          <cx:tx>
            <cx:txData>
              <cx:f>_xlchart.v1.16</cx:f>
              <cx:v>RE 1° Cl</cx:v>
            </cx:txData>
          </cx:tx>
          <cx:dataId val="0"/>
          <cx:layoutPr>
            <cx:statistics quartileMethod="exclusive"/>
          </cx:layoutPr>
        </cx:series>
        <cx:series layoutId="boxWhisker" uniqueId="{2CB08CF6-0977-4B85-9EBD-2C70B001CD53}">
          <cx:tx>
            <cx:txData>
              <cx:f>_xlchart.v1.18</cx:f>
              <cx:v>RE Cl-SCV</cx:v>
            </cx:txData>
          </cx:tx>
          <cx:dataId val="1"/>
          <cx:layoutPr>
            <cx:statistics quartileMethod="exclusive"/>
          </cx:layoutPr>
        </cx:series>
        <cx:series layoutId="boxWhisker" uniqueId="{BF43206B-E9B8-4453-BC60-03CEC47E6412}">
          <cx:tx>
            <cx:txData>
              <cx:f>_xlchart.v1.20</cx:f>
              <cx:v>RE</cx:v>
            </cx:txData>
          </cx:tx>
          <cx:dataId val="2"/>
          <cx:layoutPr>
            <cx:statistics quartileMethod="exclusive"/>
          </cx:layoutPr>
        </cx:series>
        <cx:series layoutId="boxWhisker" uniqueId="{14CB51BD-E47E-4F1A-92CF-7B0843FC6894}">
          <cx:tx>
            <cx:txData>
              <cx:f>_xlchart.v1.22</cx:f>
              <cx:v>Rp Cleaner</cx:v>
            </cx:txData>
          </cx:tx>
          <cx:dataId val="3"/>
          <cx:layoutPr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rgbClr val="595959"/>
                </a:solidFill>
                <a:latin typeface="Source Sans Pro" panose="020B0503030403020204" pitchFamily="34" charset="0"/>
                <a:ea typeface="Source Sans Pro" panose="020B0503030403020204" pitchFamily="34" charset="0"/>
                <a:cs typeface="Source Sans Pro" panose="020B0503030403020204" pitchFamily="34" charset="0"/>
              </a:defRPr>
            </a:pPr>
            <a:endParaRPr lang="es-CL">
              <a:latin typeface="Source Sans Pro" panose="020B0503030403020204" pitchFamily="34" charset="0"/>
            </a:endParaRPr>
          </a:p>
        </cx:txPr>
      </cx:axis>
      <cx:axis id="1">
        <cx:valScaling max="30"/>
        <cx:title>
          <cx:tx>
            <cx:txData>
              <cx:v>%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latin typeface="Source Sans Pro" panose="020B0503030403020204" pitchFamily="34" charset="0"/>
                  <a:ea typeface="Source Sans Pro" panose="020B0503030403020204" pitchFamily="34" charset="0"/>
                  <a:cs typeface="Source Sans Pro" panose="020B0503030403020204" pitchFamily="34" charset="0"/>
                </a:defRPr>
              </a:pPr>
              <a:r>
                <a:rPr lang="es-E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Source Sans Pro" panose="020B0503030403020204" pitchFamily="34" charset="0"/>
                </a:rPr>
                <a:t>%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rgbClr val="595959"/>
                </a:solidFill>
                <a:latin typeface="Source Sans Pro" panose="020B0503030403020204" pitchFamily="34" charset="0"/>
                <a:ea typeface="Source Sans Pro" panose="020B0503030403020204" pitchFamily="34" charset="0"/>
                <a:cs typeface="Source Sans Pro" panose="020B0503030403020204" pitchFamily="34" charset="0"/>
              </a:defRPr>
            </a:pPr>
            <a:endParaRPr lang="es-CL">
              <a:latin typeface="Source Sans Pro" panose="020B0503030403020204" pitchFamily="34" charset="0"/>
            </a:endParaRPr>
          </a:p>
        </cx:txPr>
      </cx:axis>
    </cx:plotArea>
    <cx:legend pos="r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atin typeface="Source Sans Pro" panose="020B0503030403020204" pitchFamily="34" charset="0"/>
              <a:ea typeface="Source Sans Pro" panose="020B0503030403020204" pitchFamily="34" charset="0"/>
              <a:cs typeface="Source Sans Pro" panose="020B0503030403020204" pitchFamily="34" charset="0"/>
            </a:defRPr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Source Sans Pro" panose="020B0503030403020204" pitchFamily="34" charset="0"/>
          </a:endParaRPr>
        </a:p>
      </cx:txPr>
    </cx:legend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_xlchart.v1.41</cx:f>
      </cx:strDim>
      <cx:numDim type="val">
        <cx:f>_xlchart.v1.43</cx:f>
      </cx:numDim>
    </cx:data>
    <cx:data id="1">
      <cx:strDim type="cat">
        <cx:f>_xlchart.v1.41</cx:f>
      </cx:strDim>
      <cx:numDim type="val">
        <cx:f>_xlchart.v1.45</cx:f>
      </cx:numDim>
    </cx:data>
  </cx:chartData>
  <cx:chart>
    <cx:title pos="t" align="ctr" overlay="0">
      <cx:tx>
        <cx:txData>
          <cx:v>Recuperaciones de Cu para cada condición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atin typeface="Source Sans Pro" panose="020B0503030403020204" pitchFamily="34" charset="0"/>
              <a:ea typeface="Source Sans Pro" panose="020B0503030403020204" pitchFamily="34" charset="0"/>
              <a:cs typeface="Source Sans Pro" panose="020B0503030403020204" pitchFamily="34" charset="0"/>
            </a:defRPr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Source Sans Pro" panose="020B0503030403020204" pitchFamily="34" charset="0"/>
            </a:rPr>
            <a:t>Recuperaciones de Cu para cada condición</a:t>
          </a:r>
        </a:p>
      </cx:txPr>
    </cx:title>
    <cx:plotArea>
      <cx:plotAreaRegion>
        <cx:series layoutId="boxWhisker" uniqueId="{AED22399-4DDA-4632-8366-D8CDF962B78B}">
          <cx:tx>
            <cx:txData>
              <cx:f>_xlchart.v1.42</cx:f>
              <cx:v>Rec Cleaner</cx:v>
            </cx:txData>
          </cx:tx>
          <cx:dataId val="0"/>
          <cx:layoutPr>
            <cx:statistics quartileMethod="exclusive"/>
          </cx:layoutPr>
        </cx:series>
        <cx:series layoutId="boxWhisker" uniqueId="{01248856-8288-4072-A80B-F5C2DB5D3516}">
          <cx:tx>
            <cx:txData>
              <cx:f>_xlchart.v1.44</cx:f>
              <cx:v>Rec Global</cx:v>
            </cx:txData>
          </cx:tx>
          <cx:dataId val="1"/>
          <cx:layoutPr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100" b="0" i="0">
                <a:solidFill>
                  <a:srgbClr val="595959"/>
                </a:solidFill>
                <a:latin typeface="Source Sans Pro" panose="020B0503030403020204" pitchFamily="34" charset="0"/>
                <a:ea typeface="Source Sans Pro" panose="020B0503030403020204" pitchFamily="34" charset="0"/>
                <a:cs typeface="Source Sans Pro" panose="020B0503030403020204" pitchFamily="34" charset="0"/>
              </a:defRPr>
            </a:pPr>
            <a:endParaRPr lang="es-CL" sz="1100">
              <a:latin typeface="Source Sans Pro" panose="020B0503030403020204" pitchFamily="34" charset="0"/>
            </a:endParaRPr>
          </a:p>
        </cx:txPr>
      </cx:axis>
      <cx:axis id="1">
        <cx:valScaling max="100" min="75"/>
        <cx:title>
          <cx:tx>
            <cx:txData>
              <cx:v>Recuperación Cu, %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latin typeface="Source Sans Pro" panose="020B0503030403020204" pitchFamily="34" charset="0"/>
                  <a:ea typeface="Source Sans Pro" panose="020B0503030403020204" pitchFamily="34" charset="0"/>
                  <a:cs typeface="Source Sans Pro" panose="020B0503030403020204" pitchFamily="34" charset="0"/>
                </a:defRPr>
              </a:pPr>
              <a:r>
                <a:rPr lang="es-ES" sz="11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Source Sans Pro" panose="020B0503030403020204" pitchFamily="34" charset="0"/>
                </a:rPr>
                <a:t>Recuperación Cu, %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rgbClr val="595959"/>
                </a:solidFill>
                <a:latin typeface="Source Sans Pro" panose="020B0503030403020204" pitchFamily="34" charset="0"/>
                <a:ea typeface="Source Sans Pro" panose="020B0503030403020204" pitchFamily="34" charset="0"/>
                <a:cs typeface="Source Sans Pro" panose="020B0503030403020204" pitchFamily="34" charset="0"/>
              </a:defRPr>
            </a:pPr>
            <a:endParaRPr lang="es-CL">
              <a:latin typeface="Source Sans Pro" panose="020B0503030403020204" pitchFamily="34" charset="0"/>
            </a:endParaRPr>
          </a:p>
        </cx:txPr>
      </cx:axis>
    </cx:plotArea>
    <cx:legend pos="r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atin typeface="Source Sans Pro" panose="020B0503030403020204" pitchFamily="34" charset="0"/>
              <a:ea typeface="Source Sans Pro" panose="020B0503030403020204" pitchFamily="34" charset="0"/>
              <a:cs typeface="Source Sans Pro" panose="020B0503030403020204" pitchFamily="34" charset="0"/>
            </a:defRPr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Source Sans Pro" panose="020B0503030403020204" pitchFamily="34" charset="0"/>
          </a:endParaRPr>
        </a:p>
      </cx:txPr>
    </cx:legend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_xlchart.v1.46</cx:f>
      </cx:strDim>
      <cx:numDim type="val">
        <cx:f>_xlchart.v1.48</cx:f>
      </cx:numDim>
    </cx:data>
    <cx:data id="1">
      <cx:strDim type="cat">
        <cx:f>_xlchart.v1.46</cx:f>
      </cx:strDim>
      <cx:numDim type="val">
        <cx:f>_xlchart.v1.50</cx:f>
      </cx:numDim>
    </cx:data>
  </cx:chartData>
  <cx:chart>
    <cx:title pos="t" align="ctr" overlay="0">
      <cx:tx>
        <cx:txData>
          <cx:v>Recuperación Metalúrgica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  <a:cs typeface="Source Sans Pro" panose="020B0503030403020204" pitchFamily="34" charset="0"/>
            </a:defRPr>
          </a:pPr>
          <a:r>
            <a:rPr lang="es-ES" sz="1400" b="1" i="0" u="none" strike="noStrike" baseline="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Recuperación Metalúrgica</a:t>
          </a:r>
        </a:p>
      </cx:txPr>
    </cx:title>
    <cx:plotArea>
      <cx:plotAreaRegion>
        <cx:series layoutId="boxWhisker" uniqueId="{511C728E-9051-4A03-A2AA-82E26CEA9041}">
          <cx:tx>
            <cx:txData>
              <cx:f>_xlchart.v1.47</cx:f>
              <cx:v>Recuperación Global</cx:v>
            </cx:txData>
          </cx:tx>
          <cx:dataId val="0"/>
          <cx:layoutPr>
            <cx:statistics quartileMethod="exclusive"/>
          </cx:layoutPr>
        </cx:series>
        <cx:series layoutId="boxWhisker" uniqueId="{DA5AD928-DEEF-4949-972E-AAA780B92498}">
          <cx:tx>
            <cx:txData>
              <cx:f>_xlchart.v1.49</cx:f>
              <cx:v>Recuperación Cleaner</cx:v>
            </cx:txData>
          </cx:tx>
          <cx:dataId val="1"/>
          <cx:layoutPr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ysClr val="windowText" lastClr="000000"/>
                </a:solidFill>
                <a:latin typeface="Source Sans Pro" panose="020B0503030403020204" pitchFamily="34" charset="0"/>
                <a:ea typeface="Source Sans Pro" panose="020B0503030403020204" pitchFamily="34" charset="0"/>
                <a:cs typeface="Source Sans Pro" panose="020B0503030403020204" pitchFamily="34" charset="0"/>
              </a:defRPr>
            </a:pPr>
            <a:endParaRPr lang="es-CL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endParaRPr>
          </a:p>
        </cx:txPr>
      </cx:axis>
      <cx:axis id="1">
        <cx:valScaling min="75"/>
        <cx:title>
          <cx:tx>
            <cx:txData>
              <cx:v>Recuperación, %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solidFill>
                    <a:sysClr val="windowText" lastClr="000000"/>
                  </a:solidFill>
                  <a:latin typeface="Source Sans Pro" panose="020B0503030403020204" pitchFamily="34" charset="0"/>
                  <a:ea typeface="Source Sans Pro" panose="020B0503030403020204" pitchFamily="34" charset="0"/>
                  <a:cs typeface="Source Sans Pro" panose="020B0503030403020204" pitchFamily="34" charset="0"/>
                </a:defRPr>
              </a:pPr>
              <a:r>
                <a:rPr lang="es-ES" sz="900" b="0" i="0" u="none" strike="noStrike" baseline="0">
                  <a:solidFill>
                    <a:sysClr val="windowText" lastClr="000000"/>
                  </a:solidFill>
                  <a:latin typeface="Source Sans Pro" panose="020B0503030403020204" pitchFamily="34" charset="0"/>
                  <a:ea typeface="Source Sans Pro" panose="020B0503030403020204" pitchFamily="34" charset="0"/>
                </a:rPr>
                <a:t>Recuperación, %</a:t>
              </a:r>
            </a:p>
          </cx:txPr>
        </cx:title>
        <cx:majorGridlines/>
        <cx:tickLabels/>
        <cx:numFmt formatCode="0" sourceLinked="0"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ysClr val="windowText" lastClr="000000"/>
                </a:solidFill>
                <a:latin typeface="Source Sans Pro" panose="020B0503030403020204" pitchFamily="34" charset="0"/>
                <a:ea typeface="Source Sans Pro" panose="020B0503030403020204" pitchFamily="34" charset="0"/>
                <a:cs typeface="Source Sans Pro" panose="020B0503030403020204" pitchFamily="34" charset="0"/>
              </a:defRPr>
            </a:pPr>
            <a:endParaRPr lang="es-CL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endParaRPr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000" b="0" i="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  <a:cs typeface="Source Sans Pro" panose="020B0503030403020204" pitchFamily="34" charset="0"/>
            </a:defRPr>
          </a:pPr>
          <a:endParaRPr lang="es-CL" sz="1000">
            <a:solidFill>
              <a:sysClr val="windowText" lastClr="000000"/>
            </a:solidFill>
            <a:latin typeface="Source Sans Pro" panose="020B0503030403020204" pitchFamily="34" charset="0"/>
            <a:ea typeface="Source Sans Pro" panose="020B0503030403020204" pitchFamily="34" charset="0"/>
          </a:endParaRPr>
        </a:p>
      </cx:txPr>
    </cx:legend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_xlchart.v1.65</cx:f>
      </cx:strDim>
      <cx:numDim type="val">
        <cx:f>_xlchart.v1.67</cx:f>
      </cx:numDim>
    </cx:data>
    <cx:data id="1">
      <cx:strDim type="cat">
        <cx:f>_xlchart.v1.65</cx:f>
      </cx:strDim>
      <cx:numDim type="val">
        <cx:f>_xlchart.v1.69</cx:f>
      </cx:numDim>
    </cx:data>
    <cx:data id="2">
      <cx:strDim type="cat">
        <cx:f>_xlchart.v1.65</cx:f>
      </cx:strDim>
      <cx:numDim type="val">
        <cx:f>_xlchart.v1.71</cx:f>
      </cx:numDim>
    </cx:data>
    <cx:data id="3">
      <cx:strDim type="cat">
        <cx:f>_xlchart.v1.65</cx:f>
      </cx:strDim>
      <cx:numDim type="val">
        <cx:f>_xlchart.v1.73</cx:f>
      </cx:numDim>
    </cx:data>
    <cx:data id="4">
      <cx:strDim type="cat">
        <cx:f>_xlchart.v1.65</cx:f>
      </cx:strDim>
      <cx:numDim type="val">
        <cx:f>_xlchart.v1.75</cx:f>
      </cx:numDim>
    </cx:data>
    <cx:data id="5">
      <cx:strDim type="cat">
        <cx:f>_xlchart.v1.65</cx:f>
      </cx:strDim>
      <cx:numDim type="val">
        <cx:f>_xlchart.v1.77</cx:f>
      </cx:numDim>
    </cx:data>
    <cx:data id="6">
      <cx:strDim type="cat">
        <cx:f>_xlchart.v1.65</cx:f>
      </cx:strDim>
      <cx:numDim type="val">
        <cx:f>_xlchart.v1.79</cx:f>
      </cx:numDim>
    </cx:data>
    <cx:data id="7">
      <cx:strDim type="cat">
        <cx:f>_xlchart.v1.65</cx:f>
      </cx:strDim>
      <cx:numDim type="val">
        <cx:f>_xlchart.v1.81</cx:f>
      </cx:numDim>
    </cx:data>
  </cx:chartData>
  <cx:chart>
    <cx:title pos="t" align="ctr" overlay="0">
      <cx:tx>
        <cx:txData>
          <cx:v>%Cu para cada flujo y condición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atin typeface="Source Sans Pro" panose="020B0503030403020204" pitchFamily="34" charset="0"/>
              <a:ea typeface="Source Sans Pro" panose="020B0503030403020204" pitchFamily="34" charset="0"/>
              <a:cs typeface="Source Sans Pro" panose="020B0503030403020204" pitchFamily="34" charset="0"/>
            </a:defRPr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Source Sans Pro" panose="020B0503030403020204" pitchFamily="34" charset="0"/>
            </a:rPr>
            <a:t>%Cu para cada flujo y condición</a:t>
          </a:r>
        </a:p>
      </cx:txPr>
    </cx:title>
    <cx:plotArea>
      <cx:plotAreaRegion>
        <cx:series layoutId="boxWhisker" uniqueId="{137115B5-5953-4142-8630-0A70DB4FDD0A}">
          <cx:tx>
            <cx:txData>
              <cx:f>_xlchart.v1.66</cx:f>
              <cx:v>Alim. 1° Cl</cx:v>
            </cx:txData>
          </cx:tx>
          <cx:dataId val="0"/>
          <cx:layoutPr>
            <cx:statistics quartileMethod="exclusive"/>
          </cx:layoutPr>
        </cx:series>
        <cx:series layoutId="boxWhisker" uniqueId="{A96B3B0F-9BBF-4BC7-B6C4-4586355A7EB0}">
          <cx:tx>
            <cx:txData>
              <cx:f>_xlchart.v1.68</cx:f>
              <cx:v>Conc. 1° Cl</cx:v>
            </cx:txData>
          </cx:tx>
          <cx:dataId val="1"/>
          <cx:layoutPr>
            <cx:statistics quartileMethod="exclusive"/>
          </cx:layoutPr>
        </cx:series>
        <cx:series layoutId="boxWhisker" uniqueId="{15DC5F1E-5E1D-4D7E-8EFB-3F15A179C0DA}">
          <cx:tx>
            <cx:txData>
              <cx:f>_xlchart.v1.70</cx:f>
              <cx:v>Cola 1° Cl</cx:v>
            </cx:txData>
          </cx:tx>
          <cx:dataId val="2"/>
          <cx:layoutPr>
            <cx:statistics quartileMethod="exclusive"/>
          </cx:layoutPr>
        </cx:series>
        <cx:series layoutId="boxWhisker" uniqueId="{3A185662-5086-4444-8B05-7EAD347DA19E}">
          <cx:tx>
            <cx:txData>
              <cx:f>_xlchart.v1.72</cx:f>
              <cx:v>Alim. SCV</cx:v>
            </cx:txData>
          </cx:tx>
          <cx:dataId val="3"/>
          <cx:layoutPr>
            <cx:statistics quartileMethod="exclusive"/>
          </cx:layoutPr>
        </cx:series>
        <cx:series layoutId="boxWhisker" uniqueId="{42C5207A-4BE4-4570-98A2-532EDE1F4815}">
          <cx:tx>
            <cx:txData>
              <cx:f>_xlchart.v1.74</cx:f>
              <cx:v>Conc. SCV</cx:v>
            </cx:txData>
          </cx:tx>
          <cx:dataId val="4"/>
          <cx:layoutPr>
            <cx:statistics quartileMethod="exclusive"/>
          </cx:layoutPr>
        </cx:series>
        <cx:series layoutId="boxWhisker" uniqueId="{FB7A9223-1D8B-47A5-A5F3-F56A640343AB}">
          <cx:tx>
            <cx:txData>
              <cx:f>_xlchart.v1.76</cx:f>
              <cx:v>Conc. Cl-SCV</cx:v>
            </cx:txData>
          </cx:tx>
          <cx:dataId val="5"/>
          <cx:layoutPr>
            <cx:statistics quartileMethod="exclusive"/>
          </cx:layoutPr>
        </cx:series>
        <cx:series layoutId="boxWhisker" uniqueId="{77F4F63A-3C24-48D7-87D4-A23674BDDF60}">
          <cx:tx>
            <cx:txData>
              <cx:f>_xlchart.v1.78</cx:f>
              <cx:v>Cola Cl-SCV</cx:v>
            </cx:txData>
          </cx:tx>
          <cx:dataId val="6"/>
          <cx:layoutPr>
            <cx:statistics quartileMethod="exclusive"/>
          </cx:layoutPr>
        </cx:series>
        <cx:series layoutId="boxWhisker" uniqueId="{915C5C74-78A2-486A-98C0-5E70B89BACAB}">
          <cx:tx>
            <cx:txData>
              <cx:f>_xlchart.v1.80</cx:f>
              <cx:v>Cola SCV</cx:v>
            </cx:txData>
          </cx:tx>
          <cx:dataId val="7"/>
          <cx:layoutPr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100" b="0" i="0">
                <a:solidFill>
                  <a:srgbClr val="595959"/>
                </a:solidFill>
                <a:latin typeface="Source Sans Pro" panose="020B0503030403020204" pitchFamily="34" charset="0"/>
                <a:ea typeface="Source Sans Pro" panose="020B0503030403020204" pitchFamily="34" charset="0"/>
                <a:cs typeface="Source Sans Pro" panose="020B0503030403020204" pitchFamily="34" charset="0"/>
              </a:defRPr>
            </a:pPr>
            <a:endParaRPr lang="es-CL" sz="1100">
              <a:latin typeface="Source Sans Pro" panose="020B0503030403020204" pitchFamily="34" charset="0"/>
            </a:endParaRPr>
          </a:p>
        </cx:txPr>
      </cx:axis>
      <cx:axis id="1">
        <cx:valScaling/>
        <cx:title>
          <cx:tx>
            <cx:txData>
              <cx:v>Ley Cu, %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>
                  <a:latin typeface="Source Sans Pro" panose="020B0503030403020204" pitchFamily="34" charset="0"/>
                  <a:ea typeface="Source Sans Pro" panose="020B0503030403020204" pitchFamily="34" charset="0"/>
                  <a:cs typeface="Source Sans Pro" panose="020B0503030403020204" pitchFamily="34" charset="0"/>
                </a:defRPr>
              </a:pPr>
              <a:r>
                <a:rPr lang="es-ES" sz="11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Source Sans Pro" panose="020B0503030403020204" pitchFamily="34" charset="0"/>
                </a:rPr>
                <a:t>Ley Cu, %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100" b="0" i="0">
                <a:solidFill>
                  <a:srgbClr val="595959"/>
                </a:solidFill>
                <a:latin typeface="Source Sans Pro" panose="020B0503030403020204" pitchFamily="34" charset="0"/>
                <a:ea typeface="Source Sans Pro" panose="020B0503030403020204" pitchFamily="34" charset="0"/>
                <a:cs typeface="Source Sans Pro" panose="020B0503030403020204" pitchFamily="34" charset="0"/>
              </a:defRPr>
            </a:pPr>
            <a:endParaRPr lang="es-CL" sz="1100">
              <a:latin typeface="Source Sans Pro" panose="020B0503030403020204" pitchFamily="34" charset="0"/>
            </a:endParaRPr>
          </a:p>
        </cx:txPr>
      </cx:axis>
    </cx:plotArea>
    <cx:legend pos="r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atin typeface="Source Sans Pro" panose="020B0503030403020204" pitchFamily="34" charset="0"/>
              <a:ea typeface="Source Sans Pro" panose="020B0503030403020204" pitchFamily="34" charset="0"/>
              <a:cs typeface="Source Sans Pro" panose="020B0503030403020204" pitchFamily="34" charset="0"/>
            </a:defRPr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Source Sans Pro" panose="020B0503030403020204" pitchFamily="34" charset="0"/>
          </a:endParaRPr>
        </a:p>
      </cx:txPr>
    </cx:legend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_xlchart.v1.56</cx:f>
      </cx:strDim>
      <cx:numDim type="val">
        <cx:f>_xlchart.v1.58</cx:f>
      </cx:numDim>
    </cx:data>
    <cx:data id="1">
      <cx:strDim type="cat">
        <cx:f>_xlchart.v1.56</cx:f>
      </cx:strDim>
      <cx:numDim type="val">
        <cx:f>_xlchart.v1.60</cx:f>
      </cx:numDim>
    </cx:data>
    <cx:data id="2">
      <cx:strDim type="cat">
        <cx:f>_xlchart.v1.56</cx:f>
      </cx:strDim>
      <cx:numDim type="val">
        <cx:f>_xlchart.v1.62</cx:f>
      </cx:numDim>
    </cx:data>
    <cx:data id="3">
      <cx:strDim type="cat">
        <cx:f>_xlchart.v1.56</cx:f>
      </cx:strDim>
      <cx:numDim type="val">
        <cx:f>_xlchart.v1.64</cx:f>
      </cx:numDim>
    </cx:data>
  </cx:chartData>
  <cx:chart>
    <cx:title pos="t" align="ctr" overlay="0">
      <cx:tx>
        <cx:txData>
          <cx:v>Razones de Enriquecimiento y Recuperaciones en Peso para cada condición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atin typeface="Source Sans Pro" panose="020B0503030403020204" pitchFamily="34" charset="0"/>
              <a:ea typeface="Source Sans Pro" panose="020B0503030403020204" pitchFamily="34" charset="0"/>
              <a:cs typeface="Source Sans Pro" panose="020B0503030403020204" pitchFamily="34" charset="0"/>
            </a:defRPr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Source Sans Pro" panose="020B0503030403020204" pitchFamily="34" charset="0"/>
            </a:rPr>
            <a:t>Razones de Enriquecimiento y Recuperaciones en Peso para cada condición</a:t>
          </a:r>
        </a:p>
      </cx:txPr>
    </cx:title>
    <cx:plotArea>
      <cx:plotAreaRegion>
        <cx:series layoutId="boxWhisker" uniqueId="{66979D00-4A87-4A66-8F41-A9BB22A75CEA}">
          <cx:tx>
            <cx:txData>
              <cx:f>_xlchart.v1.57</cx:f>
              <cx:v>RE 1° Cl</cx:v>
            </cx:txData>
          </cx:tx>
          <cx:dataId val="0"/>
          <cx:layoutPr>
            <cx:statistics quartileMethod="exclusive"/>
          </cx:layoutPr>
        </cx:series>
        <cx:series layoutId="boxWhisker" uniqueId="{2CB08CF6-0977-4B85-9EBD-2C70B001CD53}">
          <cx:tx>
            <cx:txData>
              <cx:f>_xlchart.v1.59</cx:f>
              <cx:v>RE Cl-SCV</cx:v>
            </cx:txData>
          </cx:tx>
          <cx:dataId val="1"/>
          <cx:layoutPr>
            <cx:statistics quartileMethod="exclusive"/>
          </cx:layoutPr>
        </cx:series>
        <cx:series layoutId="boxWhisker" uniqueId="{BF43206B-E9B8-4453-BC60-03CEC47E6412}">
          <cx:tx>
            <cx:txData>
              <cx:f>_xlchart.v1.61</cx:f>
              <cx:v>RE</cx:v>
            </cx:txData>
          </cx:tx>
          <cx:dataId val="2"/>
          <cx:layoutPr>
            <cx:statistics quartileMethod="exclusive"/>
          </cx:layoutPr>
        </cx:series>
        <cx:series layoutId="boxWhisker" uniqueId="{14CB51BD-E47E-4F1A-92CF-7B0843FC6894}">
          <cx:tx>
            <cx:txData>
              <cx:f>_xlchart.v1.63</cx:f>
              <cx:v>Rp Cleaner</cx:v>
            </cx:txData>
          </cx:tx>
          <cx:dataId val="3"/>
          <cx:layoutPr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rgbClr val="595959"/>
                </a:solidFill>
                <a:latin typeface="Source Sans Pro" panose="020B0503030403020204" pitchFamily="34" charset="0"/>
                <a:ea typeface="Source Sans Pro" panose="020B0503030403020204" pitchFamily="34" charset="0"/>
                <a:cs typeface="Source Sans Pro" panose="020B0503030403020204" pitchFamily="34" charset="0"/>
              </a:defRPr>
            </a:pPr>
            <a:endParaRPr lang="es-CL">
              <a:latin typeface="Source Sans Pro" panose="020B0503030403020204" pitchFamily="34" charset="0"/>
            </a:endParaRPr>
          </a:p>
        </cx:txPr>
      </cx:axis>
      <cx:axis id="1">
        <cx:valScaling max="30"/>
        <cx:title>
          <cx:tx>
            <cx:txData>
              <cx:v>%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latin typeface="Source Sans Pro" panose="020B0503030403020204" pitchFamily="34" charset="0"/>
                  <a:ea typeface="Source Sans Pro" panose="020B0503030403020204" pitchFamily="34" charset="0"/>
                  <a:cs typeface="Source Sans Pro" panose="020B0503030403020204" pitchFamily="34" charset="0"/>
                </a:defRPr>
              </a:pPr>
              <a:r>
                <a:rPr lang="es-E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Source Sans Pro" panose="020B0503030403020204" pitchFamily="34" charset="0"/>
                </a:rPr>
                <a:t>%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rgbClr val="595959"/>
                </a:solidFill>
                <a:latin typeface="Source Sans Pro" panose="020B0503030403020204" pitchFamily="34" charset="0"/>
                <a:ea typeface="Source Sans Pro" panose="020B0503030403020204" pitchFamily="34" charset="0"/>
                <a:cs typeface="Source Sans Pro" panose="020B0503030403020204" pitchFamily="34" charset="0"/>
              </a:defRPr>
            </a:pPr>
            <a:endParaRPr lang="es-CL">
              <a:latin typeface="Source Sans Pro" panose="020B0503030403020204" pitchFamily="34" charset="0"/>
            </a:endParaRPr>
          </a:p>
        </cx:txPr>
      </cx:axis>
    </cx:plotArea>
    <cx:legend pos="r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atin typeface="Source Sans Pro" panose="020B0503030403020204" pitchFamily="34" charset="0"/>
              <a:ea typeface="Source Sans Pro" panose="020B0503030403020204" pitchFamily="34" charset="0"/>
              <a:cs typeface="Source Sans Pro" panose="020B0503030403020204" pitchFamily="34" charset="0"/>
            </a:defRPr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Source Sans Pro" panose="020B0503030403020204" pitchFamily="34" charset="0"/>
          </a:endParaRPr>
        </a:p>
      </cx:txPr>
    </cx:legend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_xlchart.v1.51</cx:f>
      </cx:strDim>
      <cx:numDim type="val">
        <cx:f>_xlchart.v1.53</cx:f>
      </cx:numDim>
    </cx:data>
    <cx:data id="1">
      <cx:strDim type="cat">
        <cx:f>_xlchart.v1.51</cx:f>
      </cx:strDim>
      <cx:numDim type="val">
        <cx:f>_xlchart.v1.55</cx:f>
      </cx:numDim>
    </cx:data>
  </cx:chartData>
  <cx:chart>
    <cx:title pos="t" align="ctr" overlay="0">
      <cx:tx>
        <cx:txData>
          <cx:v>Recuperaciones de Cu para cada condición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atin typeface="Source Sans Pro" panose="020B0503030403020204" pitchFamily="34" charset="0"/>
              <a:ea typeface="Source Sans Pro" panose="020B0503030403020204" pitchFamily="34" charset="0"/>
              <a:cs typeface="Source Sans Pro" panose="020B0503030403020204" pitchFamily="34" charset="0"/>
            </a:defRPr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Source Sans Pro" panose="020B0503030403020204" pitchFamily="34" charset="0"/>
            </a:rPr>
            <a:t>Recuperaciones de Cu para cada condición</a:t>
          </a:r>
        </a:p>
      </cx:txPr>
    </cx:title>
    <cx:plotArea>
      <cx:plotAreaRegion>
        <cx:series layoutId="boxWhisker" uniqueId="{AED22399-4DDA-4632-8366-D8CDF962B78B}">
          <cx:tx>
            <cx:txData>
              <cx:f>_xlchart.v1.52</cx:f>
              <cx:v>Rec Cleaner</cx:v>
            </cx:txData>
          </cx:tx>
          <cx:dataId val="0"/>
          <cx:layoutPr>
            <cx:statistics quartileMethod="exclusive"/>
          </cx:layoutPr>
        </cx:series>
        <cx:series layoutId="boxWhisker" uniqueId="{01248856-8288-4072-A80B-F5C2DB5D3516}">
          <cx:tx>
            <cx:txData>
              <cx:f>_xlchart.v1.54</cx:f>
              <cx:v>Rec Global</cx:v>
            </cx:txData>
          </cx:tx>
          <cx:dataId val="1"/>
          <cx:layoutPr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100" b="0" i="0">
                <a:solidFill>
                  <a:srgbClr val="595959"/>
                </a:solidFill>
                <a:latin typeface="Source Sans Pro" panose="020B0503030403020204" pitchFamily="34" charset="0"/>
                <a:ea typeface="Source Sans Pro" panose="020B0503030403020204" pitchFamily="34" charset="0"/>
                <a:cs typeface="Source Sans Pro" panose="020B0503030403020204" pitchFamily="34" charset="0"/>
              </a:defRPr>
            </a:pPr>
            <a:endParaRPr lang="es-CL" sz="1100">
              <a:latin typeface="Source Sans Pro" panose="020B0503030403020204" pitchFamily="34" charset="0"/>
            </a:endParaRPr>
          </a:p>
        </cx:txPr>
      </cx:axis>
      <cx:axis id="1">
        <cx:valScaling max="100" min="75"/>
        <cx:title>
          <cx:tx>
            <cx:txData>
              <cx:v>Recuperación Cu, %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latin typeface="Source Sans Pro" panose="020B0503030403020204" pitchFamily="34" charset="0"/>
                  <a:ea typeface="Source Sans Pro" panose="020B0503030403020204" pitchFamily="34" charset="0"/>
                  <a:cs typeface="Source Sans Pro" panose="020B0503030403020204" pitchFamily="34" charset="0"/>
                </a:defRPr>
              </a:pPr>
              <a:r>
                <a:rPr lang="es-ES" sz="11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Source Sans Pro" panose="020B0503030403020204" pitchFamily="34" charset="0"/>
                </a:rPr>
                <a:t>Recuperación Cu, %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rgbClr val="595959"/>
                </a:solidFill>
                <a:latin typeface="Source Sans Pro" panose="020B0503030403020204" pitchFamily="34" charset="0"/>
                <a:ea typeface="Source Sans Pro" panose="020B0503030403020204" pitchFamily="34" charset="0"/>
                <a:cs typeface="Source Sans Pro" panose="020B0503030403020204" pitchFamily="34" charset="0"/>
              </a:defRPr>
            </a:pPr>
            <a:endParaRPr lang="es-CL">
              <a:latin typeface="Source Sans Pro" panose="020B0503030403020204" pitchFamily="34" charset="0"/>
            </a:endParaRPr>
          </a:p>
        </cx:txPr>
      </cx:axis>
    </cx:plotArea>
    <cx:legend pos="r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atin typeface="Source Sans Pro" panose="020B0503030403020204" pitchFamily="34" charset="0"/>
              <a:ea typeface="Source Sans Pro" panose="020B0503030403020204" pitchFamily="34" charset="0"/>
              <a:cs typeface="Source Sans Pro" panose="020B0503030403020204" pitchFamily="34" charset="0"/>
            </a:defRPr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Source Sans Pro" panose="020B0503030403020204" pitchFamily="34" charset="0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3.xml"/><Relationship Id="rId13" Type="http://schemas.openxmlformats.org/officeDocument/2006/relationships/chart" Target="../charts/chart28.xml"/><Relationship Id="rId18" Type="http://schemas.microsoft.com/office/2014/relationships/chartEx" Target="../charts/chartEx2.xml"/><Relationship Id="rId3" Type="http://schemas.openxmlformats.org/officeDocument/2006/relationships/chart" Target="../charts/chart18.xml"/><Relationship Id="rId7" Type="http://schemas.openxmlformats.org/officeDocument/2006/relationships/chart" Target="../charts/chart22.xml"/><Relationship Id="rId12" Type="http://schemas.openxmlformats.org/officeDocument/2006/relationships/chart" Target="../charts/chart27.xml"/><Relationship Id="rId17" Type="http://schemas.microsoft.com/office/2014/relationships/chartEx" Target="../charts/chartEx1.xml"/><Relationship Id="rId2" Type="http://schemas.openxmlformats.org/officeDocument/2006/relationships/chart" Target="../charts/chart17.xml"/><Relationship Id="rId16" Type="http://schemas.openxmlformats.org/officeDocument/2006/relationships/chart" Target="../charts/chart31.xml"/><Relationship Id="rId20" Type="http://schemas.openxmlformats.org/officeDocument/2006/relationships/image" Target="../media/image12.emf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11" Type="http://schemas.openxmlformats.org/officeDocument/2006/relationships/chart" Target="../charts/chart26.xml"/><Relationship Id="rId5" Type="http://schemas.openxmlformats.org/officeDocument/2006/relationships/chart" Target="../charts/chart20.xml"/><Relationship Id="rId15" Type="http://schemas.openxmlformats.org/officeDocument/2006/relationships/chart" Target="../charts/chart30.xml"/><Relationship Id="rId10" Type="http://schemas.openxmlformats.org/officeDocument/2006/relationships/chart" Target="../charts/chart25.xml"/><Relationship Id="rId19" Type="http://schemas.microsoft.com/office/2014/relationships/chartEx" Target="../charts/chartEx3.xml"/><Relationship Id="rId4" Type="http://schemas.openxmlformats.org/officeDocument/2006/relationships/chart" Target="../charts/chart19.xml"/><Relationship Id="rId9" Type="http://schemas.openxmlformats.org/officeDocument/2006/relationships/chart" Target="../charts/chart24.xml"/><Relationship Id="rId14" Type="http://schemas.openxmlformats.org/officeDocument/2006/relationships/chart" Target="../charts/chart29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3.xml"/><Relationship Id="rId1" Type="http://schemas.openxmlformats.org/officeDocument/2006/relationships/chart" Target="../charts/chart32.xm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5.xml"/><Relationship Id="rId1" Type="http://schemas.openxmlformats.org/officeDocument/2006/relationships/chart" Target="../charts/chart34.xml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7.xml"/><Relationship Id="rId7" Type="http://schemas.openxmlformats.org/officeDocument/2006/relationships/chart" Target="../charts/chart38.xml"/><Relationship Id="rId2" Type="http://schemas.openxmlformats.org/officeDocument/2006/relationships/chart" Target="../charts/chart36.xml"/><Relationship Id="rId1" Type="http://schemas.openxmlformats.org/officeDocument/2006/relationships/image" Target="../media/image8.png"/><Relationship Id="rId6" Type="http://schemas.microsoft.com/office/2014/relationships/chartEx" Target="../charts/chartEx6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Relationship Id="rId4" Type="http://schemas.openxmlformats.org/officeDocument/2006/relationships/chart" Target="../charts/chart43.xml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7" Type="http://schemas.openxmlformats.org/officeDocument/2006/relationships/chart" Target="../charts/chart46.xml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chart" Target="../charts/chart45.xml"/><Relationship Id="rId5" Type="http://schemas.openxmlformats.org/officeDocument/2006/relationships/chart" Target="../charts/chart44.xml"/><Relationship Id="rId4" Type="http://schemas.openxmlformats.org/officeDocument/2006/relationships/image" Target="../media/image16.png"/></Relationships>
</file>

<file path=xl/drawings/_rels/drawing3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3.xml"/><Relationship Id="rId3" Type="http://schemas.openxmlformats.org/officeDocument/2006/relationships/image" Target="../media/image11.png"/><Relationship Id="rId7" Type="http://schemas.openxmlformats.org/officeDocument/2006/relationships/chart" Target="../charts/chart52.xml"/><Relationship Id="rId2" Type="http://schemas.openxmlformats.org/officeDocument/2006/relationships/chart" Target="../charts/chart48.xml"/><Relationship Id="rId1" Type="http://schemas.openxmlformats.org/officeDocument/2006/relationships/chart" Target="../charts/chart47.xml"/><Relationship Id="rId6" Type="http://schemas.openxmlformats.org/officeDocument/2006/relationships/chart" Target="../charts/chart51.xml"/><Relationship Id="rId5" Type="http://schemas.openxmlformats.org/officeDocument/2006/relationships/chart" Target="../charts/chart50.xml"/><Relationship Id="rId4" Type="http://schemas.openxmlformats.org/officeDocument/2006/relationships/chart" Target="../charts/chart49.xml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7" Type="http://schemas.openxmlformats.org/officeDocument/2006/relationships/chart" Target="../charts/chart56.xml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chart" Target="../charts/chart55.xml"/><Relationship Id="rId5" Type="http://schemas.openxmlformats.org/officeDocument/2006/relationships/chart" Target="../charts/chart54.xml"/><Relationship Id="rId4" Type="http://schemas.openxmlformats.org/officeDocument/2006/relationships/image" Target="../media/image16.png"/></Relationships>
</file>

<file path=xl/drawings/_rels/drawing3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3.xml"/><Relationship Id="rId3" Type="http://schemas.openxmlformats.org/officeDocument/2006/relationships/chart" Target="../charts/chart58.xml"/><Relationship Id="rId7" Type="http://schemas.openxmlformats.org/officeDocument/2006/relationships/chart" Target="../charts/chart62.xml"/><Relationship Id="rId2" Type="http://schemas.openxmlformats.org/officeDocument/2006/relationships/image" Target="../media/image10.png"/><Relationship Id="rId1" Type="http://schemas.openxmlformats.org/officeDocument/2006/relationships/chart" Target="../charts/chart57.xml"/><Relationship Id="rId6" Type="http://schemas.openxmlformats.org/officeDocument/2006/relationships/chart" Target="../charts/chart61.xml"/><Relationship Id="rId5" Type="http://schemas.openxmlformats.org/officeDocument/2006/relationships/chart" Target="../charts/chart60.xml"/><Relationship Id="rId4" Type="http://schemas.openxmlformats.org/officeDocument/2006/relationships/chart" Target="../charts/chart59.xml"/><Relationship Id="rId9" Type="http://schemas.openxmlformats.org/officeDocument/2006/relationships/chart" Target="../charts/chart64.xml"/></Relationships>
</file>

<file path=xl/drawings/_rels/drawing3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1.xml"/><Relationship Id="rId3" Type="http://schemas.openxmlformats.org/officeDocument/2006/relationships/image" Target="../media/image9.png"/><Relationship Id="rId7" Type="http://schemas.openxmlformats.org/officeDocument/2006/relationships/chart" Target="../charts/chart70.xml"/><Relationship Id="rId2" Type="http://schemas.openxmlformats.org/officeDocument/2006/relationships/chart" Target="../charts/chart66.xml"/><Relationship Id="rId1" Type="http://schemas.openxmlformats.org/officeDocument/2006/relationships/chart" Target="../charts/chart65.xml"/><Relationship Id="rId6" Type="http://schemas.openxmlformats.org/officeDocument/2006/relationships/chart" Target="../charts/chart69.xml"/><Relationship Id="rId5" Type="http://schemas.openxmlformats.org/officeDocument/2006/relationships/chart" Target="../charts/chart68.xml"/><Relationship Id="rId4" Type="http://schemas.openxmlformats.org/officeDocument/2006/relationships/chart" Target="../charts/chart67.xml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3.xml"/><Relationship Id="rId1" Type="http://schemas.openxmlformats.org/officeDocument/2006/relationships/chart" Target="../charts/chart72.xml"/></Relationships>
</file>

<file path=xl/drawings/_rels/drawing40.xml.rels><?xml version="1.0" encoding="UTF-8" standalone="yes"?>
<Relationships xmlns="http://schemas.openxmlformats.org/package/2006/relationships"><Relationship Id="rId1" Type="http://schemas.microsoft.com/office/2014/relationships/chartEx" Target="../charts/chartEx7.xml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10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4.xml"/><Relationship Id="rId2" Type="http://schemas.openxmlformats.org/officeDocument/2006/relationships/image" Target="../media/image5.emf"/><Relationship Id="rId1" Type="http://schemas.openxmlformats.org/officeDocument/2006/relationships/image" Target="../media/image9.png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6.xml"/><Relationship Id="rId7" Type="http://schemas.openxmlformats.org/officeDocument/2006/relationships/chart" Target="../charts/chart77.xml"/><Relationship Id="rId2" Type="http://schemas.openxmlformats.org/officeDocument/2006/relationships/chart" Target="../charts/chart75.xml"/><Relationship Id="rId1" Type="http://schemas.openxmlformats.org/officeDocument/2006/relationships/image" Target="../media/image8.png"/><Relationship Id="rId6" Type="http://schemas.microsoft.com/office/2014/relationships/chartEx" Target="../charts/chartEx10.xml"/><Relationship Id="rId5" Type="http://schemas.microsoft.com/office/2014/relationships/chartEx" Target="../charts/chartEx9.xml"/><Relationship Id="rId4" Type="http://schemas.microsoft.com/office/2014/relationships/chartEx" Target="../charts/chartEx8.xml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8.xml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0.xml"/><Relationship Id="rId2" Type="http://schemas.openxmlformats.org/officeDocument/2006/relationships/chart" Target="../charts/chart79.xml"/><Relationship Id="rId1" Type="http://schemas.openxmlformats.org/officeDocument/2006/relationships/image" Target="../media/image5.emf"/><Relationship Id="rId6" Type="http://schemas.openxmlformats.org/officeDocument/2006/relationships/image" Target="../media/image8.png"/><Relationship Id="rId5" Type="http://schemas.openxmlformats.org/officeDocument/2006/relationships/image" Target="../media/image17.png"/><Relationship Id="rId4" Type="http://schemas.openxmlformats.org/officeDocument/2006/relationships/chart" Target="../charts/chart81.xml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3.xml"/><Relationship Id="rId2" Type="http://schemas.openxmlformats.org/officeDocument/2006/relationships/chart" Target="../charts/chart82.xml"/><Relationship Id="rId1" Type="http://schemas.openxmlformats.org/officeDocument/2006/relationships/image" Target="../media/image5.emf"/><Relationship Id="rId6" Type="http://schemas.openxmlformats.org/officeDocument/2006/relationships/image" Target="../media/image8.png"/><Relationship Id="rId5" Type="http://schemas.openxmlformats.org/officeDocument/2006/relationships/image" Target="../media/image17.png"/><Relationship Id="rId4" Type="http://schemas.openxmlformats.org/officeDocument/2006/relationships/chart" Target="../charts/chart84.xml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6.xml"/><Relationship Id="rId2" Type="http://schemas.openxmlformats.org/officeDocument/2006/relationships/chart" Target="../charts/chart85.xml"/><Relationship Id="rId1" Type="http://schemas.openxmlformats.org/officeDocument/2006/relationships/image" Target="../media/image5.emf"/><Relationship Id="rId6" Type="http://schemas.openxmlformats.org/officeDocument/2006/relationships/image" Target="../media/image8.png"/><Relationship Id="rId5" Type="http://schemas.openxmlformats.org/officeDocument/2006/relationships/image" Target="../media/image17.png"/><Relationship Id="rId4" Type="http://schemas.openxmlformats.org/officeDocument/2006/relationships/chart" Target="../charts/chart87.xml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8.xml"/><Relationship Id="rId2" Type="http://schemas.openxmlformats.org/officeDocument/2006/relationships/image" Target="../media/image18.png"/><Relationship Id="rId1" Type="http://schemas.openxmlformats.org/officeDocument/2006/relationships/image" Target="../media/image5.emf"/><Relationship Id="rId6" Type="http://schemas.openxmlformats.org/officeDocument/2006/relationships/image" Target="../media/image19.png"/><Relationship Id="rId5" Type="http://schemas.openxmlformats.org/officeDocument/2006/relationships/chart" Target="../charts/chart90.xml"/><Relationship Id="rId4" Type="http://schemas.openxmlformats.org/officeDocument/2006/relationships/chart" Target="../charts/chart89.xml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1.xml"/><Relationship Id="rId2" Type="http://schemas.openxmlformats.org/officeDocument/2006/relationships/image" Target="../media/image18.png"/><Relationship Id="rId1" Type="http://schemas.openxmlformats.org/officeDocument/2006/relationships/image" Target="../media/image5.emf"/><Relationship Id="rId6" Type="http://schemas.openxmlformats.org/officeDocument/2006/relationships/image" Target="../media/image19.png"/><Relationship Id="rId5" Type="http://schemas.openxmlformats.org/officeDocument/2006/relationships/chart" Target="../charts/chart93.xml"/><Relationship Id="rId4" Type="http://schemas.openxmlformats.org/officeDocument/2006/relationships/chart" Target="../charts/chart92.xml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4.xml"/><Relationship Id="rId2" Type="http://schemas.openxmlformats.org/officeDocument/2006/relationships/image" Target="../media/image18.png"/><Relationship Id="rId1" Type="http://schemas.openxmlformats.org/officeDocument/2006/relationships/image" Target="../media/image5.emf"/><Relationship Id="rId6" Type="http://schemas.openxmlformats.org/officeDocument/2006/relationships/image" Target="../media/image19.png"/><Relationship Id="rId5" Type="http://schemas.openxmlformats.org/officeDocument/2006/relationships/chart" Target="../charts/chart96.xml"/><Relationship Id="rId4" Type="http://schemas.openxmlformats.org/officeDocument/2006/relationships/chart" Target="../charts/chart95.xml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7.xml"/><Relationship Id="rId2" Type="http://schemas.openxmlformats.org/officeDocument/2006/relationships/image" Target="../media/image5.emf"/><Relationship Id="rId1" Type="http://schemas.openxmlformats.org/officeDocument/2006/relationships/image" Target="../media/image9.png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9.png"/></Relationships>
</file>

<file path=xl/drawings/_rels/drawing5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3.xml"/><Relationship Id="rId3" Type="http://schemas.openxmlformats.org/officeDocument/2006/relationships/chart" Target="../charts/chart98.xml"/><Relationship Id="rId7" Type="http://schemas.openxmlformats.org/officeDocument/2006/relationships/chart" Target="../charts/chart102.xml"/><Relationship Id="rId2" Type="http://schemas.openxmlformats.org/officeDocument/2006/relationships/image" Target="../media/image5.emf"/><Relationship Id="rId1" Type="http://schemas.openxmlformats.org/officeDocument/2006/relationships/image" Target="../media/image9.png"/><Relationship Id="rId6" Type="http://schemas.openxmlformats.org/officeDocument/2006/relationships/chart" Target="../charts/chart101.xml"/><Relationship Id="rId5" Type="http://schemas.openxmlformats.org/officeDocument/2006/relationships/chart" Target="../charts/chart100.xml"/><Relationship Id="rId4" Type="http://schemas.openxmlformats.org/officeDocument/2006/relationships/chart" Target="../charts/chart99.xml"/><Relationship Id="rId9" Type="http://schemas.openxmlformats.org/officeDocument/2006/relationships/image" Target="../media/image20.png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10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4.xml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6.xml"/><Relationship Id="rId1" Type="http://schemas.openxmlformats.org/officeDocument/2006/relationships/chart" Target="../charts/chart105.xml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9.xml"/><Relationship Id="rId2" Type="http://schemas.openxmlformats.org/officeDocument/2006/relationships/chart" Target="../charts/chart108.xml"/><Relationship Id="rId1" Type="http://schemas.openxmlformats.org/officeDocument/2006/relationships/chart" Target="../charts/chart107.xml"/><Relationship Id="rId6" Type="http://schemas.openxmlformats.org/officeDocument/2006/relationships/chart" Target="../charts/chart112.xml"/><Relationship Id="rId5" Type="http://schemas.openxmlformats.org/officeDocument/2006/relationships/chart" Target="../charts/chart111.xml"/><Relationship Id="rId4" Type="http://schemas.openxmlformats.org/officeDocument/2006/relationships/chart" Target="../charts/chart110.xml"/></Relationships>
</file>

<file path=xl/drawings/_rels/drawing6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0.xml"/><Relationship Id="rId3" Type="http://schemas.openxmlformats.org/officeDocument/2006/relationships/chart" Target="../charts/chart115.xml"/><Relationship Id="rId7" Type="http://schemas.openxmlformats.org/officeDocument/2006/relationships/chart" Target="../charts/chart119.xml"/><Relationship Id="rId2" Type="http://schemas.openxmlformats.org/officeDocument/2006/relationships/chart" Target="../charts/chart114.xml"/><Relationship Id="rId1" Type="http://schemas.openxmlformats.org/officeDocument/2006/relationships/chart" Target="../charts/chart113.xml"/><Relationship Id="rId6" Type="http://schemas.openxmlformats.org/officeDocument/2006/relationships/chart" Target="../charts/chart118.xml"/><Relationship Id="rId5" Type="http://schemas.openxmlformats.org/officeDocument/2006/relationships/chart" Target="../charts/chart117.xml"/><Relationship Id="rId4" Type="http://schemas.openxmlformats.org/officeDocument/2006/relationships/chart" Target="../charts/chart116.xml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1.xml"/></Relationships>
</file>

<file path=xl/drawings/_rels/drawing6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3.xml"/><Relationship Id="rId1" Type="http://schemas.openxmlformats.org/officeDocument/2006/relationships/chart" Target="../charts/chart122.xml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6.xml"/><Relationship Id="rId2" Type="http://schemas.openxmlformats.org/officeDocument/2006/relationships/chart" Target="../charts/chart125.xml"/><Relationship Id="rId1" Type="http://schemas.openxmlformats.org/officeDocument/2006/relationships/chart" Target="../charts/chart124.xml"/><Relationship Id="rId6" Type="http://schemas.openxmlformats.org/officeDocument/2006/relationships/chart" Target="../charts/chart129.xml"/><Relationship Id="rId5" Type="http://schemas.openxmlformats.org/officeDocument/2006/relationships/chart" Target="../charts/chart128.xml"/><Relationship Id="rId4" Type="http://schemas.openxmlformats.org/officeDocument/2006/relationships/chart" Target="../charts/chart127.xml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2.xml"/><Relationship Id="rId2" Type="http://schemas.openxmlformats.org/officeDocument/2006/relationships/chart" Target="../charts/chart131.xml"/><Relationship Id="rId1" Type="http://schemas.openxmlformats.org/officeDocument/2006/relationships/chart" Target="../charts/chart130.xml"/><Relationship Id="rId6" Type="http://schemas.openxmlformats.org/officeDocument/2006/relationships/chart" Target="../charts/chart135.xml"/><Relationship Id="rId5" Type="http://schemas.openxmlformats.org/officeDocument/2006/relationships/chart" Target="../charts/chart134.xml"/><Relationship Id="rId4" Type="http://schemas.openxmlformats.org/officeDocument/2006/relationships/chart" Target="../charts/chart133.xml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6.xml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7.xml"/></Relationships>
</file>

<file path=xl/drawings/_rels/drawing6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5.xml"/><Relationship Id="rId3" Type="http://schemas.openxmlformats.org/officeDocument/2006/relationships/chart" Target="../charts/chart140.xml"/><Relationship Id="rId7" Type="http://schemas.openxmlformats.org/officeDocument/2006/relationships/chart" Target="../charts/chart144.xml"/><Relationship Id="rId2" Type="http://schemas.openxmlformats.org/officeDocument/2006/relationships/chart" Target="../charts/chart139.xml"/><Relationship Id="rId1" Type="http://schemas.openxmlformats.org/officeDocument/2006/relationships/chart" Target="../charts/chart138.xml"/><Relationship Id="rId6" Type="http://schemas.openxmlformats.org/officeDocument/2006/relationships/chart" Target="../charts/chart143.xml"/><Relationship Id="rId5" Type="http://schemas.openxmlformats.org/officeDocument/2006/relationships/chart" Target="../charts/chart142.xml"/><Relationship Id="rId4" Type="http://schemas.openxmlformats.org/officeDocument/2006/relationships/chart" Target="../charts/chart141.xml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8.xml"/><Relationship Id="rId2" Type="http://schemas.openxmlformats.org/officeDocument/2006/relationships/chart" Target="../charts/chart147.xml"/><Relationship Id="rId1" Type="http://schemas.openxmlformats.org/officeDocument/2006/relationships/chart" Target="../charts/chart146.xml"/><Relationship Id="rId4" Type="http://schemas.openxmlformats.org/officeDocument/2006/relationships/chart" Target="../charts/chart14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619125</xdr:colOff>
      <xdr:row>1</xdr:row>
      <xdr:rowOff>8405</xdr:rowOff>
    </xdr:from>
    <xdr:to>
      <xdr:col>9</xdr:col>
      <xdr:colOff>368300</xdr:colOff>
      <xdr:row>4</xdr:row>
      <xdr:rowOff>21590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1125" y="198905"/>
          <a:ext cx="2028825" cy="57262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1</xdr:row>
      <xdr:rowOff>171450</xdr:rowOff>
    </xdr:from>
    <xdr:to>
      <xdr:col>3</xdr:col>
      <xdr:colOff>63500</xdr:colOff>
      <xdr:row>3</xdr:row>
      <xdr:rowOff>38100</xdr:rowOff>
    </xdr:to>
    <xdr:pic>
      <xdr:nvPicPr>
        <xdr:cNvPr id="4" name="Imagen 3" descr="Alianzas – SIMIN 202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361950"/>
          <a:ext cx="2183130" cy="24765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94763</xdr:colOff>
      <xdr:row>11</xdr:row>
      <xdr:rowOff>140922</xdr:rowOff>
    </xdr:from>
    <xdr:to>
      <xdr:col>6</xdr:col>
      <xdr:colOff>466725</xdr:colOff>
      <xdr:row>26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0.66995</cdr:x>
      <cdr:y>0.177</cdr:y>
    </cdr:from>
    <cdr:to>
      <cdr:x>0.88583</cdr:x>
      <cdr:y>0.25722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52B8A63E-6C8C-959D-8695-4AD42D3A92B8}"/>
            </a:ext>
          </a:extLst>
        </cdr:cNvPr>
        <cdr:cNvSpPr txBox="1"/>
      </cdr:nvSpPr>
      <cdr:spPr>
        <a:xfrm xmlns:a="http://schemas.openxmlformats.org/drawingml/2006/main">
          <a:off x="2298742" y="483868"/>
          <a:ext cx="740705" cy="2192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CL" sz="800" b="1" kern="1200">
              <a:solidFill>
                <a:srgbClr val="595959"/>
              </a:solidFill>
              <a:latin typeface="Source Sans Pro" panose="020B0503030403020204" pitchFamily="34" charset="0"/>
            </a:rPr>
            <a:t>Error: -5,6%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676275</xdr:colOff>
      <xdr:row>18</xdr:row>
      <xdr:rowOff>0</xdr:rowOff>
    </xdr:from>
    <xdr:to>
      <xdr:col>10</xdr:col>
      <xdr:colOff>703943</xdr:colOff>
      <xdr:row>27</xdr:row>
      <xdr:rowOff>130493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275" y="3448050"/>
          <a:ext cx="7380968" cy="184499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8</xdr:col>
      <xdr:colOff>84091</xdr:colOff>
      <xdr:row>51</xdr:row>
      <xdr:rowOff>150251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5549900"/>
          <a:ext cx="5517877" cy="401740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11</xdr:col>
      <xdr:colOff>673706</xdr:colOff>
      <xdr:row>18</xdr:row>
      <xdr:rowOff>18717</xdr:rowOff>
    </xdr:from>
    <xdr:to>
      <xdr:col>18</xdr:col>
      <xdr:colOff>583142</xdr:colOff>
      <xdr:row>27</xdr:row>
      <xdr:rowOff>139934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20141" y="3378143"/>
          <a:ext cx="5845700" cy="179099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5</xdr:row>
      <xdr:rowOff>0</xdr:rowOff>
    </xdr:from>
    <xdr:to>
      <xdr:col>16</xdr:col>
      <xdr:colOff>549318</xdr:colOff>
      <xdr:row>27</xdr:row>
      <xdr:rowOff>163286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85725</xdr:colOff>
      <xdr:row>65</xdr:row>
      <xdr:rowOff>142875</xdr:rowOff>
    </xdr:from>
    <xdr:to>
      <xdr:col>15</xdr:col>
      <xdr:colOff>647743</xdr:colOff>
      <xdr:row>83</xdr:row>
      <xdr:rowOff>152672</xdr:rowOff>
    </xdr:to>
    <xdr:graphicFrame macro="">
      <xdr:nvGraphicFramePr>
        <xdr:cNvPr id="4" name="Curva Molienda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47624</xdr:colOff>
      <xdr:row>108</xdr:row>
      <xdr:rowOff>47623</xdr:rowOff>
    </xdr:from>
    <xdr:to>
      <xdr:col>13</xdr:col>
      <xdr:colOff>457199</xdr:colOff>
      <xdr:row>125</xdr:row>
      <xdr:rowOff>95249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</xdr:colOff>
      <xdr:row>126</xdr:row>
      <xdr:rowOff>76199</xdr:rowOff>
    </xdr:from>
    <xdr:to>
      <xdr:col>14</xdr:col>
      <xdr:colOff>323850</xdr:colOff>
      <xdr:row>143</xdr:row>
      <xdr:rowOff>161925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95249</xdr:colOff>
      <xdr:row>144</xdr:row>
      <xdr:rowOff>95250</xdr:rowOff>
    </xdr:from>
    <xdr:to>
      <xdr:col>14</xdr:col>
      <xdr:colOff>342900</xdr:colOff>
      <xdr:row>162</xdr:row>
      <xdr:rowOff>9526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18</xdr:col>
      <xdr:colOff>142572</xdr:colOff>
      <xdr:row>138</xdr:row>
      <xdr:rowOff>92904</xdr:rowOff>
    </xdr:from>
    <xdr:ext cx="5721393" cy="5465558"/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861747" y="25248429"/>
          <a:ext cx="5721393" cy="5465558"/>
        </a:xfrm>
        <a:prstGeom prst="rect">
          <a:avLst/>
        </a:prstGeom>
      </xdr:spPr>
    </xdr:pic>
    <xdr:clientData/>
  </xdr:oneCellAnchor>
  <xdr:twoCellAnchor>
    <xdr:from>
      <xdr:col>28</xdr:col>
      <xdr:colOff>77561</xdr:colOff>
      <xdr:row>116</xdr:row>
      <xdr:rowOff>59189</xdr:rowOff>
    </xdr:from>
    <xdr:to>
      <xdr:col>36</xdr:col>
      <xdr:colOff>693965</xdr:colOff>
      <xdr:row>138</xdr:row>
      <xdr:rowOff>68036</xdr:rowOff>
    </xdr:to>
    <xdr:graphicFrame macro="">
      <xdr:nvGraphicFramePr>
        <xdr:cNvPr id="6" name="2 Gráfico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95250</xdr:colOff>
      <xdr:row>139</xdr:row>
      <xdr:rowOff>68036</xdr:rowOff>
    </xdr:from>
    <xdr:to>
      <xdr:col>36</xdr:col>
      <xdr:colOff>716416</xdr:colOff>
      <xdr:row>161</xdr:row>
      <xdr:rowOff>76883</xdr:rowOff>
    </xdr:to>
    <xdr:graphicFrame macro="">
      <xdr:nvGraphicFramePr>
        <xdr:cNvPr id="7" name="2 Gráfico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235323</xdr:colOff>
      <xdr:row>104</xdr:row>
      <xdr:rowOff>128868</xdr:rowOff>
    </xdr:from>
    <xdr:ext cx="740462" cy="218187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498" y="18947093"/>
          <a:ext cx="740462" cy="218187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3</xdr:row>
      <xdr:rowOff>28573</xdr:rowOff>
    </xdr:from>
    <xdr:to>
      <xdr:col>14</xdr:col>
      <xdr:colOff>342900</xdr:colOff>
      <xdr:row>26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0.40034</cdr:x>
      <cdr:y>0.28085</cdr:y>
    </cdr:from>
    <cdr:to>
      <cdr:x>0.40541</cdr:x>
      <cdr:y>0.87585</cdr:y>
    </cdr:to>
    <cdr:cxnSp macro="">
      <cdr:nvCxnSpPr>
        <cdr:cNvPr id="3" name="Conector recto 2">
          <a:extLst xmlns:a="http://schemas.openxmlformats.org/drawingml/2006/main">
            <a:ext uri="{FF2B5EF4-FFF2-40B4-BE49-F238E27FC236}">
              <a16:creationId xmlns:a16="http://schemas.microsoft.com/office/drawing/2014/main" id="{A3B850CE-9DFB-E5FD-B63C-D8FD023D78A1}"/>
            </a:ext>
          </a:extLst>
        </cdr:cNvPr>
        <cdr:cNvCxnSpPr/>
      </cdr:nvCxnSpPr>
      <cdr:spPr>
        <a:xfrm xmlns:a="http://schemas.openxmlformats.org/drawingml/2006/main" flipV="1">
          <a:off x="2257425" y="1177927"/>
          <a:ext cx="28575" cy="2495550"/>
        </a:xfrm>
        <a:prstGeom xmlns:a="http://schemas.openxmlformats.org/drawingml/2006/main" prst="line">
          <a:avLst/>
        </a:prstGeom>
        <a:ln xmlns:a="http://schemas.openxmlformats.org/drawingml/2006/main"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0.36993</cdr:x>
      <cdr:y>0.87358</cdr:y>
    </cdr:from>
    <cdr:to>
      <cdr:x>0.42905</cdr:x>
      <cdr:y>0.93263</cdr:y>
    </cdr:to>
    <cdr:sp macro="" textlink="">
      <cdr:nvSpPr>
        <cdr:cNvPr id="7" name="CuadroTexto 6">
          <a:extLst xmlns:a="http://schemas.openxmlformats.org/drawingml/2006/main">
            <a:ext uri="{FF2B5EF4-FFF2-40B4-BE49-F238E27FC236}">
              <a16:creationId xmlns:a16="http://schemas.microsoft.com/office/drawing/2014/main" id="{AE9B64B0-6BFC-BBE3-3D60-FD27644547C8}"/>
            </a:ext>
          </a:extLst>
        </cdr:cNvPr>
        <cdr:cNvSpPr txBox="1"/>
      </cdr:nvSpPr>
      <cdr:spPr>
        <a:xfrm xmlns:a="http://schemas.openxmlformats.org/drawingml/2006/main">
          <a:off x="2085974" y="3663952"/>
          <a:ext cx="333375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CL" sz="1050" kern="1200">
              <a:solidFill>
                <a:srgbClr val="595959"/>
              </a:solidFill>
              <a:latin typeface="Source Sans Pro" panose="020B0503030403020204" pitchFamily="34" charset="0"/>
            </a:rPr>
            <a:t>50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1855624</xdr:colOff>
      <xdr:row>11</xdr:row>
      <xdr:rowOff>152510</xdr:rowOff>
    </xdr:from>
    <xdr:to>
      <xdr:col>7</xdr:col>
      <xdr:colOff>275896</xdr:colOff>
      <xdr:row>26</xdr:row>
      <xdr:rowOff>139919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354505</xdr:colOff>
      <xdr:row>11</xdr:row>
      <xdr:rowOff>141561</xdr:rowOff>
    </xdr:from>
    <xdr:to>
      <xdr:col>9</xdr:col>
      <xdr:colOff>479534</xdr:colOff>
      <xdr:row>26</xdr:row>
      <xdr:rowOff>141670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425450</xdr:colOff>
      <xdr:row>36</xdr:row>
      <xdr:rowOff>7171</xdr:rowOff>
    </xdr:from>
    <xdr:to>
      <xdr:col>10</xdr:col>
      <xdr:colOff>387350</xdr:colOff>
      <xdr:row>55</xdr:row>
      <xdr:rowOff>88900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435292</xdr:colOff>
      <xdr:row>3</xdr:row>
      <xdr:rowOff>952</xdr:rowOff>
    </xdr:from>
    <xdr:to>
      <xdr:col>11</xdr:col>
      <xdr:colOff>539750</xdr:colOff>
      <xdr:row>26</xdr:row>
      <xdr:rowOff>57150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130811</xdr:colOff>
      <xdr:row>4</xdr:row>
      <xdr:rowOff>95885</xdr:rowOff>
    </xdr:from>
    <xdr:to>
      <xdr:col>18</xdr:col>
      <xdr:colOff>156884</xdr:colOff>
      <xdr:row>26</xdr:row>
      <xdr:rowOff>14941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163719</xdr:colOff>
      <xdr:row>32</xdr:row>
      <xdr:rowOff>179870</xdr:rowOff>
    </xdr:from>
    <xdr:to>
      <xdr:col>6</xdr:col>
      <xdr:colOff>67144</xdr:colOff>
      <xdr:row>48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38100</xdr:rowOff>
    </xdr:from>
    <xdr:to>
      <xdr:col>8</xdr:col>
      <xdr:colOff>412425</xdr:colOff>
      <xdr:row>21</xdr:row>
      <xdr:rowOff>154940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100" y="457200"/>
          <a:ext cx="5708325" cy="3374390"/>
        </a:xfrm>
        <a:prstGeom prst="rect">
          <a:avLst/>
        </a:prstGeom>
      </xdr:spPr>
    </xdr:pic>
    <xdr:clientData/>
  </xdr:twoCellAnchor>
  <xdr:twoCellAnchor editAs="oneCell">
    <xdr:from>
      <xdr:col>9</xdr:col>
      <xdr:colOff>493058</xdr:colOff>
      <xdr:row>2</xdr:row>
      <xdr:rowOff>67235</xdr:rowOff>
    </xdr:from>
    <xdr:to>
      <xdr:col>17</xdr:col>
      <xdr:colOff>244372</xdr:colOff>
      <xdr:row>20</xdr:row>
      <xdr:rowOff>99882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83823" y="485588"/>
          <a:ext cx="5787549" cy="3439235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200025</xdr:colOff>
      <xdr:row>24</xdr:row>
      <xdr:rowOff>38100</xdr:rowOff>
    </xdr:from>
    <xdr:to>
      <xdr:col>8</xdr:col>
      <xdr:colOff>439244</xdr:colOff>
      <xdr:row>41</xdr:row>
      <xdr:rowOff>171450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2025" y="4257675"/>
          <a:ext cx="5573219" cy="320992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17</xdr:col>
      <xdr:colOff>239762</xdr:colOff>
      <xdr:row>41</xdr:row>
      <xdr:rowOff>31115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20000" y="4219575"/>
          <a:ext cx="5570587" cy="310451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43</xdr:row>
      <xdr:rowOff>0</xdr:rowOff>
    </xdr:from>
    <xdr:to>
      <xdr:col>8</xdr:col>
      <xdr:colOff>371150</xdr:colOff>
      <xdr:row>61</xdr:row>
      <xdr:rowOff>116840</xdr:rowOff>
    </xdr:to>
    <xdr:grpSp>
      <xdr:nvGrpSpPr>
        <xdr:cNvPr id="11" name="Grupo 10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GrpSpPr/>
      </xdr:nvGrpSpPr>
      <xdr:grpSpPr>
        <a:xfrm>
          <a:off x="749300" y="8020050"/>
          <a:ext cx="5616250" cy="3431540"/>
          <a:chOff x="762000" y="7777655"/>
          <a:chExt cx="5705150" cy="3427599"/>
        </a:xfrm>
      </xdr:grpSpPr>
      <xdr:pic>
        <xdr:nvPicPr>
          <xdr:cNvPr id="2" name="Imagen 1">
            <a:extLst>
              <a:ext uri="{FF2B5EF4-FFF2-40B4-BE49-F238E27FC236}">
                <a16:creationId xmlns:a16="http://schemas.microsoft.com/office/drawing/2014/main" id="{00000000-0008-0000-0D00-00000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62000" y="7777655"/>
            <a:ext cx="5705150" cy="3427599"/>
          </a:xfrm>
          <a:prstGeom prst="rect">
            <a:avLst/>
          </a:prstGeom>
        </xdr:spPr>
      </xdr:pic>
      <xdr:pic>
        <xdr:nvPicPr>
          <xdr:cNvPr id="3" name="Imagen 2">
            <a:extLst>
              <a:ext uri="{FF2B5EF4-FFF2-40B4-BE49-F238E27FC236}">
                <a16:creationId xmlns:a16="http://schemas.microsoft.com/office/drawing/2014/main" id="{00000000-0008-0000-0D00-000003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/>
          <a:srcRect l="49351" t="3139" r="45480" b="51320"/>
          <a:stretch>
            <a:fillRect/>
          </a:stretch>
        </xdr:blipFill>
        <xdr:spPr>
          <a:xfrm>
            <a:off x="983553" y="7881345"/>
            <a:ext cx="284666" cy="1442099"/>
          </a:xfrm>
          <a:prstGeom prst="rect">
            <a:avLst/>
          </a:prstGeom>
        </xdr:spPr>
      </xdr:pic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D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/>
          <a:srcRect l="49351" t="13765" r="45480" b="51319"/>
          <a:stretch>
            <a:fillRect/>
          </a:stretch>
        </xdr:blipFill>
        <xdr:spPr>
          <a:xfrm>
            <a:off x="982855" y="9315622"/>
            <a:ext cx="284666" cy="1106762"/>
          </a:xfrm>
          <a:prstGeom prst="rect">
            <a:avLst/>
          </a:prstGeom>
        </xdr:spPr>
      </xdr:pic>
      <xdr:pic>
        <xdr:nvPicPr>
          <xdr:cNvPr id="7" name="Imagen 6">
            <a:extLst>
              <a:ext uri="{FF2B5EF4-FFF2-40B4-BE49-F238E27FC236}">
                <a16:creationId xmlns:a16="http://schemas.microsoft.com/office/drawing/2014/main" id="{00000000-0008-0000-0D00-000007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/>
          <a:srcRect l="49351" t="13765" r="45480" b="52905"/>
          <a:stretch>
            <a:fillRect/>
          </a:stretch>
        </xdr:blipFill>
        <xdr:spPr>
          <a:xfrm>
            <a:off x="978442" y="9831948"/>
            <a:ext cx="291016" cy="1051323"/>
          </a:xfrm>
          <a:prstGeom prst="rect">
            <a:avLst/>
          </a:prstGeom>
        </xdr:spPr>
      </xdr:pic>
      <xdr:pic>
        <xdr:nvPicPr>
          <xdr:cNvPr id="10" name="Imagen 9">
            <a:extLst>
              <a:ext uri="{FF2B5EF4-FFF2-40B4-BE49-F238E27FC236}">
                <a16:creationId xmlns:a16="http://schemas.microsoft.com/office/drawing/2014/main" id="{00000000-0008-0000-0D00-00000A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/>
          <a:srcRect l="36763" t="48726" r="62253" b="14996"/>
          <a:stretch>
            <a:fillRect/>
          </a:stretch>
        </xdr:blipFill>
        <xdr:spPr>
          <a:xfrm rot="16200000">
            <a:off x="1794132" y="10189278"/>
            <a:ext cx="60609" cy="1423192"/>
          </a:xfrm>
          <a:prstGeom prst="rect">
            <a:avLst/>
          </a:prstGeom>
        </xdr:spPr>
      </xdr:pic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18</xdr:row>
      <xdr:rowOff>0</xdr:rowOff>
    </xdr:from>
    <xdr:to>
      <xdr:col>24</xdr:col>
      <xdr:colOff>749304</xdr:colOff>
      <xdr:row>35</xdr:row>
      <xdr:rowOff>107041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0</xdr:colOff>
      <xdr:row>36</xdr:row>
      <xdr:rowOff>0</xdr:rowOff>
    </xdr:from>
    <xdr:to>
      <xdr:col>24</xdr:col>
      <xdr:colOff>752479</xdr:colOff>
      <xdr:row>53</xdr:row>
      <xdr:rowOff>103866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18</xdr:row>
      <xdr:rowOff>0</xdr:rowOff>
    </xdr:from>
    <xdr:to>
      <xdr:col>31</xdr:col>
      <xdr:colOff>752479</xdr:colOff>
      <xdr:row>35</xdr:row>
      <xdr:rowOff>103866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0</xdr:colOff>
      <xdr:row>36</xdr:row>
      <xdr:rowOff>0</xdr:rowOff>
    </xdr:from>
    <xdr:to>
      <xdr:col>31</xdr:col>
      <xdr:colOff>749304</xdr:colOff>
      <xdr:row>53</xdr:row>
      <xdr:rowOff>107041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0</xdr:colOff>
      <xdr:row>55</xdr:row>
      <xdr:rowOff>0</xdr:rowOff>
    </xdr:from>
    <xdr:to>
      <xdr:col>31</xdr:col>
      <xdr:colOff>752479</xdr:colOff>
      <xdr:row>72</xdr:row>
      <xdr:rowOff>121555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0</xdr:colOff>
      <xdr:row>74</xdr:row>
      <xdr:rowOff>0</xdr:rowOff>
    </xdr:from>
    <xdr:to>
      <xdr:col>24</xdr:col>
      <xdr:colOff>738954</xdr:colOff>
      <xdr:row>91</xdr:row>
      <xdr:rowOff>115207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0</xdr:colOff>
      <xdr:row>74</xdr:row>
      <xdr:rowOff>0</xdr:rowOff>
    </xdr:from>
    <xdr:to>
      <xdr:col>31</xdr:col>
      <xdr:colOff>738954</xdr:colOff>
      <xdr:row>91</xdr:row>
      <xdr:rowOff>115207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0</xdr:colOff>
      <xdr:row>92</xdr:row>
      <xdr:rowOff>0</xdr:rowOff>
    </xdr:from>
    <xdr:to>
      <xdr:col>24</xdr:col>
      <xdr:colOff>752479</xdr:colOff>
      <xdr:row>109</xdr:row>
      <xdr:rowOff>121555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00000000-0008-0000-0E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0</xdr:colOff>
      <xdr:row>111</xdr:row>
      <xdr:rowOff>0</xdr:rowOff>
    </xdr:from>
    <xdr:to>
      <xdr:col>24</xdr:col>
      <xdr:colOff>753922</xdr:colOff>
      <xdr:row>126</xdr:row>
      <xdr:rowOff>154017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00000000-0008-0000-0E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26</xdr:col>
      <xdr:colOff>0</xdr:colOff>
      <xdr:row>111</xdr:row>
      <xdr:rowOff>0</xdr:rowOff>
    </xdr:from>
    <xdr:to>
      <xdr:col>31</xdr:col>
      <xdr:colOff>753922</xdr:colOff>
      <xdr:row>126</xdr:row>
      <xdr:rowOff>154017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00000000-0008-0000-0E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14</xdr:col>
      <xdr:colOff>0</xdr:colOff>
      <xdr:row>92</xdr:row>
      <xdr:rowOff>0</xdr:rowOff>
    </xdr:from>
    <xdr:to>
      <xdr:col>18</xdr:col>
      <xdr:colOff>434565</xdr:colOff>
      <xdr:row>109</xdr:row>
      <xdr:rowOff>124730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00000000-0008-0000-0E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19</xdr:col>
      <xdr:colOff>0</xdr:colOff>
      <xdr:row>128</xdr:row>
      <xdr:rowOff>0</xdr:rowOff>
    </xdr:from>
    <xdr:to>
      <xdr:col>24</xdr:col>
      <xdr:colOff>750747</xdr:colOff>
      <xdr:row>143</xdr:row>
      <xdr:rowOff>154017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00000000-0008-0000-0E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26</xdr:col>
      <xdr:colOff>0</xdr:colOff>
      <xdr:row>128</xdr:row>
      <xdr:rowOff>0</xdr:rowOff>
    </xdr:from>
    <xdr:to>
      <xdr:col>31</xdr:col>
      <xdr:colOff>753922</xdr:colOff>
      <xdr:row>143</xdr:row>
      <xdr:rowOff>154017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00000000-0008-0000-0E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28575</xdr:colOff>
      <xdr:row>92</xdr:row>
      <xdr:rowOff>0</xdr:rowOff>
    </xdr:from>
    <xdr:to>
      <xdr:col>13</xdr:col>
      <xdr:colOff>190504</xdr:colOff>
      <xdr:row>109</xdr:row>
      <xdr:rowOff>121555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26</xdr:col>
      <xdr:colOff>0</xdr:colOff>
      <xdr:row>92</xdr:row>
      <xdr:rowOff>0</xdr:rowOff>
    </xdr:from>
    <xdr:to>
      <xdr:col>31</xdr:col>
      <xdr:colOff>749304</xdr:colOff>
      <xdr:row>109</xdr:row>
      <xdr:rowOff>124730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00000000-0008-0000-0E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19</xdr:col>
      <xdr:colOff>0</xdr:colOff>
      <xdr:row>55</xdr:row>
      <xdr:rowOff>0</xdr:rowOff>
    </xdr:from>
    <xdr:to>
      <xdr:col>25</xdr:col>
      <xdr:colOff>18074</xdr:colOff>
      <xdr:row>72</xdr:row>
      <xdr:rowOff>124729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18</xdr:col>
      <xdr:colOff>495300</xdr:colOff>
      <xdr:row>2</xdr:row>
      <xdr:rowOff>28575</xdr:rowOff>
    </xdr:from>
    <xdr:to>
      <xdr:col>25</xdr:col>
      <xdr:colOff>373754</xdr:colOff>
      <xdr:row>15</xdr:row>
      <xdr:rowOff>133360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00000000-0008-0000-0E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072350" y="447675"/>
              <a:ext cx="5123554" cy="31464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6</xdr:col>
      <xdr:colOff>0</xdr:colOff>
      <xdr:row>2</xdr:row>
      <xdr:rowOff>0</xdr:rowOff>
    </xdr:from>
    <xdr:to>
      <xdr:col>10</xdr:col>
      <xdr:colOff>748612</xdr:colOff>
      <xdr:row>15</xdr:row>
      <xdr:rowOff>92941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00000000-0008-0000-0E00-000006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04200" y="419100"/>
              <a:ext cx="4723712" cy="313459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11</xdr:col>
      <xdr:colOff>0</xdr:colOff>
      <xdr:row>2</xdr:row>
      <xdr:rowOff>0</xdr:rowOff>
    </xdr:from>
    <xdr:to>
      <xdr:col>15</xdr:col>
      <xdr:colOff>306294</xdr:colOff>
      <xdr:row>15</xdr:row>
      <xdr:rowOff>87226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00000000-0008-0000-0E00-000007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928600" y="419100"/>
              <a:ext cx="4706844" cy="31288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644072</xdr:colOff>
      <xdr:row>72</xdr:row>
      <xdr:rowOff>136072</xdr:rowOff>
    </xdr:from>
    <xdr:to>
      <xdr:col>11</xdr:col>
      <xdr:colOff>242117</xdr:colOff>
      <xdr:row>77</xdr:row>
      <xdr:rowOff>120832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44072" y="14115143"/>
          <a:ext cx="11932920" cy="937260"/>
        </a:xfrm>
        <a:prstGeom prst="rect">
          <a:avLst/>
        </a:prstGeom>
      </xdr:spPr>
    </xdr:pic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0.57103</cdr:x>
      <cdr:y>0.14905</cdr:y>
    </cdr:from>
    <cdr:to>
      <cdr:x>0.57306</cdr:x>
      <cdr:y>0.7271</cdr:y>
    </cdr:to>
    <cdr:cxnSp macro="">
      <cdr:nvCxnSpPr>
        <cdr:cNvPr id="3" name="Conector recto 2">
          <a:extLst xmlns:a="http://schemas.openxmlformats.org/drawingml/2006/main">
            <a:ext uri="{FF2B5EF4-FFF2-40B4-BE49-F238E27FC236}">
              <a16:creationId xmlns:a16="http://schemas.microsoft.com/office/drawing/2014/main" id="{A76312C3-3A90-BB7F-61C3-5911F6A6734F}"/>
            </a:ext>
          </a:extLst>
        </cdr:cNvPr>
        <cdr:cNvCxnSpPr/>
      </cdr:nvCxnSpPr>
      <cdr:spPr>
        <a:xfrm xmlns:a="http://schemas.openxmlformats.org/drawingml/2006/main" flipH="1">
          <a:off x="2605322" y="475477"/>
          <a:ext cx="9245" cy="1843937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chemeClr val="bg1">
              <a:lumMod val="50000"/>
            </a:schemeClr>
          </a:solidFill>
          <a:prstDash val="sysDot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0.4411</cdr:x>
      <cdr:y>0.14717</cdr:y>
    </cdr:from>
    <cdr:to>
      <cdr:x>0.72344</cdr:x>
      <cdr:y>0.24607</cdr:y>
    </cdr:to>
    <cdr:sp macro="" textlink="">
      <cdr:nvSpPr>
        <cdr:cNvPr id="6" name="CuadroTexto 5">
          <a:extLst xmlns:a="http://schemas.openxmlformats.org/drawingml/2006/main">
            <a:ext uri="{FF2B5EF4-FFF2-40B4-BE49-F238E27FC236}">
              <a16:creationId xmlns:a16="http://schemas.microsoft.com/office/drawing/2014/main" id="{D30236A7-B635-5D69-DB30-53C7BCE1D7FD}"/>
            </a:ext>
          </a:extLst>
        </cdr:cNvPr>
        <cdr:cNvSpPr txBox="1"/>
      </cdr:nvSpPr>
      <cdr:spPr>
        <a:xfrm xmlns:a="http://schemas.openxmlformats.org/drawingml/2006/main">
          <a:off x="2012513" y="469457"/>
          <a:ext cx="1288170" cy="3154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CL" sz="900" b="1" kern="1200">
              <a:solidFill>
                <a:srgbClr val="595959"/>
              </a:solidFill>
              <a:latin typeface="Source Sans Pro" panose="020B0503030403020204" pitchFamily="34" charset="0"/>
            </a:rPr>
            <a:t>Cond #1         Cond #2</a:t>
          </a:r>
          <a:r>
            <a:rPr lang="es-CL" sz="900" b="1" kern="1200" baseline="0">
              <a:solidFill>
                <a:srgbClr val="595959"/>
              </a:solidFill>
              <a:latin typeface="Source Sans Pro" panose="020B0503030403020204" pitchFamily="34" charset="0"/>
            </a:rPr>
            <a:t>       </a:t>
          </a:r>
          <a:endParaRPr lang="es-CL" sz="900" b="1" kern="1200">
            <a:solidFill>
              <a:srgbClr val="595959"/>
            </a:solidFill>
            <a:latin typeface="Source Sans Pro" panose="020B0503030403020204" pitchFamily="34" charset="0"/>
          </a:endParaRPr>
        </a:p>
      </cdr:txBody>
    </cdr:sp>
  </cdr:relSizeAnchor>
</c:userShapes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0.57515</cdr:x>
      <cdr:y>0.14553</cdr:y>
    </cdr:from>
    <cdr:to>
      <cdr:x>0.57601</cdr:x>
      <cdr:y>0.72638</cdr:y>
    </cdr:to>
    <cdr:cxnSp macro="">
      <cdr:nvCxnSpPr>
        <cdr:cNvPr id="3" name="Conector recto 2">
          <a:extLst xmlns:a="http://schemas.openxmlformats.org/drawingml/2006/main">
            <a:ext uri="{FF2B5EF4-FFF2-40B4-BE49-F238E27FC236}">
              <a16:creationId xmlns:a16="http://schemas.microsoft.com/office/drawing/2014/main" id="{A76312C3-3A90-BB7F-61C3-5911F6A6734F}"/>
            </a:ext>
          </a:extLst>
        </cdr:cNvPr>
        <cdr:cNvCxnSpPr/>
      </cdr:nvCxnSpPr>
      <cdr:spPr>
        <a:xfrm xmlns:a="http://schemas.openxmlformats.org/drawingml/2006/main">
          <a:off x="2622306" y="464709"/>
          <a:ext cx="3912" cy="1854712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chemeClr val="bg1">
              <a:lumMod val="50000"/>
            </a:schemeClr>
          </a:solidFill>
          <a:prstDash val="sysDot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0.44111</cdr:x>
      <cdr:y>0.14421</cdr:y>
    </cdr:from>
    <cdr:to>
      <cdr:x>0.72345</cdr:x>
      <cdr:y>0.24311</cdr:y>
    </cdr:to>
    <cdr:sp macro="" textlink="">
      <cdr:nvSpPr>
        <cdr:cNvPr id="6" name="CuadroTexto 5">
          <a:extLst xmlns:a="http://schemas.openxmlformats.org/drawingml/2006/main">
            <a:ext uri="{FF2B5EF4-FFF2-40B4-BE49-F238E27FC236}">
              <a16:creationId xmlns:a16="http://schemas.microsoft.com/office/drawing/2014/main" id="{D30236A7-B635-5D69-DB30-53C7BCE1D7FD}"/>
            </a:ext>
          </a:extLst>
        </cdr:cNvPr>
        <cdr:cNvSpPr txBox="1"/>
      </cdr:nvSpPr>
      <cdr:spPr>
        <a:xfrm xmlns:a="http://schemas.openxmlformats.org/drawingml/2006/main">
          <a:off x="2011139" y="460484"/>
          <a:ext cx="1287274" cy="3158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CL" sz="900" b="1" kern="1200">
              <a:solidFill>
                <a:srgbClr val="595959"/>
              </a:solidFill>
              <a:latin typeface="Source Sans Pro" panose="020B0503030403020204" pitchFamily="34" charset="0"/>
            </a:rPr>
            <a:t>Cond #1         Cond #2</a:t>
          </a:r>
          <a:r>
            <a:rPr lang="es-CL" sz="900" b="1" kern="1200" baseline="0">
              <a:solidFill>
                <a:srgbClr val="595959"/>
              </a:solidFill>
              <a:latin typeface="Source Sans Pro" panose="020B0503030403020204" pitchFamily="34" charset="0"/>
            </a:rPr>
            <a:t>       </a:t>
          </a:r>
          <a:endParaRPr lang="es-CL" sz="900" b="1" kern="1200">
            <a:solidFill>
              <a:srgbClr val="595959"/>
            </a:solidFill>
            <a:latin typeface="Source Sans Pro" panose="020B0503030403020204" pitchFamily="34" charset="0"/>
          </a:endParaRPr>
        </a:p>
      </cdr:txBody>
    </cdr:sp>
  </cdr:relSizeAnchor>
</c:userShapes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0.56059</cdr:x>
      <cdr:y>0.15204</cdr:y>
    </cdr:from>
    <cdr:to>
      <cdr:x>0.56262</cdr:x>
      <cdr:y>0.73008</cdr:y>
    </cdr:to>
    <cdr:cxnSp macro="">
      <cdr:nvCxnSpPr>
        <cdr:cNvPr id="3" name="Conector recto 2">
          <a:extLst xmlns:a="http://schemas.openxmlformats.org/drawingml/2006/main">
            <a:ext uri="{FF2B5EF4-FFF2-40B4-BE49-F238E27FC236}">
              <a16:creationId xmlns:a16="http://schemas.microsoft.com/office/drawing/2014/main" id="{A76312C3-3A90-BB7F-61C3-5911F6A6734F}"/>
            </a:ext>
          </a:extLst>
        </cdr:cNvPr>
        <cdr:cNvCxnSpPr/>
      </cdr:nvCxnSpPr>
      <cdr:spPr>
        <a:xfrm xmlns:a="http://schemas.openxmlformats.org/drawingml/2006/main" flipH="1">
          <a:off x="2551340" y="486450"/>
          <a:ext cx="9222" cy="1849443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chemeClr val="bg1">
              <a:lumMod val="50000"/>
            </a:schemeClr>
          </a:solidFill>
          <a:prstDash val="sysDot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0.43275</cdr:x>
      <cdr:y>0.17404</cdr:y>
    </cdr:from>
    <cdr:to>
      <cdr:x>0.71509</cdr:x>
      <cdr:y>0.27294</cdr:y>
    </cdr:to>
    <cdr:sp macro="" textlink="">
      <cdr:nvSpPr>
        <cdr:cNvPr id="6" name="CuadroTexto 5">
          <a:extLst xmlns:a="http://schemas.openxmlformats.org/drawingml/2006/main">
            <a:ext uri="{FF2B5EF4-FFF2-40B4-BE49-F238E27FC236}">
              <a16:creationId xmlns:a16="http://schemas.microsoft.com/office/drawing/2014/main" id="{D30236A7-B635-5D69-DB30-53C7BCE1D7FD}"/>
            </a:ext>
          </a:extLst>
        </cdr:cNvPr>
        <cdr:cNvSpPr txBox="1"/>
      </cdr:nvSpPr>
      <cdr:spPr>
        <a:xfrm xmlns:a="http://schemas.openxmlformats.org/drawingml/2006/main">
          <a:off x="1982486" y="471978"/>
          <a:ext cx="1293424" cy="2682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CL" sz="900" b="1" kern="1200">
              <a:solidFill>
                <a:srgbClr val="595959"/>
              </a:solidFill>
              <a:latin typeface="Source Sans Pro" panose="020B0503030403020204" pitchFamily="34" charset="0"/>
            </a:rPr>
            <a:t>Cond #1         Cond #2</a:t>
          </a:r>
          <a:r>
            <a:rPr lang="es-CL" sz="900" b="1" kern="1200" baseline="0">
              <a:solidFill>
                <a:srgbClr val="595959"/>
              </a:solidFill>
              <a:latin typeface="Source Sans Pro" panose="020B0503030403020204" pitchFamily="34" charset="0"/>
            </a:rPr>
            <a:t>       </a:t>
          </a:r>
          <a:endParaRPr lang="es-CL" sz="900" b="1" kern="1200">
            <a:solidFill>
              <a:srgbClr val="595959"/>
            </a:solidFill>
            <a:latin typeface="Source Sans Pro" panose="020B0503030403020204" pitchFamily="34" charset="0"/>
          </a:endParaRPr>
        </a:p>
      </cdr:txBody>
    </cdr:sp>
  </cdr:relSizeAnchor>
</c:userShapes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0.56262</cdr:x>
      <cdr:y>0.14852</cdr:y>
    </cdr:from>
    <cdr:to>
      <cdr:x>0.56348</cdr:x>
      <cdr:y>0.72936</cdr:y>
    </cdr:to>
    <cdr:cxnSp macro="">
      <cdr:nvCxnSpPr>
        <cdr:cNvPr id="3" name="Conector recto 2">
          <a:extLst xmlns:a="http://schemas.openxmlformats.org/drawingml/2006/main">
            <a:ext uri="{FF2B5EF4-FFF2-40B4-BE49-F238E27FC236}">
              <a16:creationId xmlns:a16="http://schemas.microsoft.com/office/drawing/2014/main" id="{A76312C3-3A90-BB7F-61C3-5911F6A6734F}"/>
            </a:ext>
          </a:extLst>
        </cdr:cNvPr>
        <cdr:cNvCxnSpPr/>
      </cdr:nvCxnSpPr>
      <cdr:spPr>
        <a:xfrm xmlns:a="http://schemas.openxmlformats.org/drawingml/2006/main">
          <a:off x="2558776" y="475649"/>
          <a:ext cx="3903" cy="1860244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chemeClr val="bg1">
              <a:lumMod val="50000"/>
            </a:schemeClr>
          </a:solidFill>
          <a:prstDash val="sysDot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0.43275</cdr:x>
      <cdr:y>0.17404</cdr:y>
    </cdr:from>
    <cdr:to>
      <cdr:x>0.71509</cdr:x>
      <cdr:y>0.27294</cdr:y>
    </cdr:to>
    <cdr:sp macro="" textlink="">
      <cdr:nvSpPr>
        <cdr:cNvPr id="6" name="CuadroTexto 5">
          <a:extLst xmlns:a="http://schemas.openxmlformats.org/drawingml/2006/main">
            <a:ext uri="{FF2B5EF4-FFF2-40B4-BE49-F238E27FC236}">
              <a16:creationId xmlns:a16="http://schemas.microsoft.com/office/drawing/2014/main" id="{D30236A7-B635-5D69-DB30-53C7BCE1D7FD}"/>
            </a:ext>
          </a:extLst>
        </cdr:cNvPr>
        <cdr:cNvSpPr txBox="1"/>
      </cdr:nvSpPr>
      <cdr:spPr>
        <a:xfrm xmlns:a="http://schemas.openxmlformats.org/drawingml/2006/main">
          <a:off x="1982486" y="471978"/>
          <a:ext cx="1293424" cy="2682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CL" sz="900" b="1" kern="1200">
              <a:solidFill>
                <a:srgbClr val="595959"/>
              </a:solidFill>
              <a:latin typeface="Source Sans Pro" panose="020B0503030403020204" pitchFamily="34" charset="0"/>
            </a:rPr>
            <a:t>Cond #1         Cond #2</a:t>
          </a:r>
          <a:r>
            <a:rPr lang="es-CL" sz="900" b="1" kern="1200" baseline="0">
              <a:solidFill>
                <a:srgbClr val="595959"/>
              </a:solidFill>
              <a:latin typeface="Source Sans Pro" panose="020B0503030403020204" pitchFamily="34" charset="0"/>
            </a:rPr>
            <a:t>       </a:t>
          </a:r>
          <a:endParaRPr lang="es-CL" sz="900" b="1" kern="1200">
            <a:solidFill>
              <a:srgbClr val="595959"/>
            </a:solidFill>
            <a:latin typeface="Source Sans Pro" panose="020B0503030403020204" pitchFamily="34" charset="0"/>
          </a:endParaRPr>
        </a:p>
      </cdr:txBody>
    </cdr:sp>
  </cdr:relSizeAnchor>
</c:userShapes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0.56262</cdr:x>
      <cdr:y>0.14852</cdr:y>
    </cdr:from>
    <cdr:to>
      <cdr:x>0.56348</cdr:x>
      <cdr:y>0.72936</cdr:y>
    </cdr:to>
    <cdr:cxnSp macro="">
      <cdr:nvCxnSpPr>
        <cdr:cNvPr id="3" name="Conector recto 2">
          <a:extLst xmlns:a="http://schemas.openxmlformats.org/drawingml/2006/main">
            <a:ext uri="{FF2B5EF4-FFF2-40B4-BE49-F238E27FC236}">
              <a16:creationId xmlns:a16="http://schemas.microsoft.com/office/drawing/2014/main" id="{A76312C3-3A90-BB7F-61C3-5911F6A6734F}"/>
            </a:ext>
          </a:extLst>
        </cdr:cNvPr>
        <cdr:cNvCxnSpPr/>
      </cdr:nvCxnSpPr>
      <cdr:spPr>
        <a:xfrm xmlns:a="http://schemas.openxmlformats.org/drawingml/2006/main">
          <a:off x="2558776" y="475649"/>
          <a:ext cx="3903" cy="1860244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chemeClr val="bg1">
              <a:lumMod val="50000"/>
            </a:schemeClr>
          </a:solidFill>
          <a:prstDash val="sysDot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0.43275</cdr:x>
      <cdr:y>0.14221</cdr:y>
    </cdr:from>
    <cdr:to>
      <cdr:x>0.71509</cdr:x>
      <cdr:y>0.24111</cdr:y>
    </cdr:to>
    <cdr:sp macro="" textlink="">
      <cdr:nvSpPr>
        <cdr:cNvPr id="6" name="CuadroTexto 5">
          <a:extLst xmlns:a="http://schemas.openxmlformats.org/drawingml/2006/main">
            <a:ext uri="{FF2B5EF4-FFF2-40B4-BE49-F238E27FC236}">
              <a16:creationId xmlns:a16="http://schemas.microsoft.com/office/drawing/2014/main" id="{D30236A7-B635-5D69-DB30-53C7BCE1D7FD}"/>
            </a:ext>
          </a:extLst>
        </cdr:cNvPr>
        <cdr:cNvSpPr txBox="1"/>
      </cdr:nvSpPr>
      <cdr:spPr>
        <a:xfrm xmlns:a="http://schemas.openxmlformats.org/drawingml/2006/main">
          <a:off x="1969506" y="455892"/>
          <a:ext cx="1284969" cy="3170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CL" sz="900" b="1" kern="1200">
              <a:solidFill>
                <a:srgbClr val="595959"/>
              </a:solidFill>
              <a:latin typeface="Source Sans Pro" panose="020B0503030403020204" pitchFamily="34" charset="0"/>
            </a:rPr>
            <a:t>Cond #1         Cond #2</a:t>
          </a:r>
          <a:r>
            <a:rPr lang="es-CL" sz="900" b="1" kern="1200" baseline="0">
              <a:solidFill>
                <a:srgbClr val="595959"/>
              </a:solidFill>
              <a:latin typeface="Source Sans Pro" panose="020B0503030403020204" pitchFamily="34" charset="0"/>
            </a:rPr>
            <a:t>       </a:t>
          </a:r>
          <a:endParaRPr lang="es-CL" sz="900" b="1" kern="1200">
            <a:solidFill>
              <a:srgbClr val="595959"/>
            </a:solidFill>
            <a:latin typeface="Source Sans Pro" panose="020B0503030403020204" pitchFamily="34" charset="0"/>
          </a:endParaRPr>
        </a:p>
      </cdr:txBody>
    </cdr:sp>
  </cdr:relSizeAnchor>
</c:userShapes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0.57392</cdr:x>
      <cdr:y>0.14221</cdr:y>
    </cdr:from>
    <cdr:to>
      <cdr:x>0.57587</cdr:x>
      <cdr:y>0.85848</cdr:y>
    </cdr:to>
    <cdr:cxnSp macro="">
      <cdr:nvCxnSpPr>
        <cdr:cNvPr id="3" name="Conector recto 2">
          <a:extLst xmlns:a="http://schemas.openxmlformats.org/drawingml/2006/main">
            <a:ext uri="{FF2B5EF4-FFF2-40B4-BE49-F238E27FC236}">
              <a16:creationId xmlns:a16="http://schemas.microsoft.com/office/drawing/2014/main" id="{A76312C3-3A90-BB7F-61C3-5911F6A6734F}"/>
            </a:ext>
          </a:extLst>
        </cdr:cNvPr>
        <cdr:cNvCxnSpPr>
          <a:stCxn xmlns:a="http://schemas.openxmlformats.org/drawingml/2006/main" id="6" idx="0"/>
        </cdr:cNvCxnSpPr>
      </cdr:nvCxnSpPr>
      <cdr:spPr>
        <a:xfrm xmlns:a="http://schemas.openxmlformats.org/drawingml/2006/main">
          <a:off x="2616676" y="458261"/>
          <a:ext cx="8911" cy="2308130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chemeClr val="bg1">
              <a:lumMod val="50000"/>
            </a:schemeClr>
          </a:solidFill>
          <a:prstDash val="sysDot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0.43275</cdr:x>
      <cdr:y>0.14221</cdr:y>
    </cdr:from>
    <cdr:to>
      <cdr:x>0.71509</cdr:x>
      <cdr:y>0.24111</cdr:y>
    </cdr:to>
    <cdr:sp macro="" textlink="">
      <cdr:nvSpPr>
        <cdr:cNvPr id="6" name="CuadroTexto 5">
          <a:extLst xmlns:a="http://schemas.openxmlformats.org/drawingml/2006/main">
            <a:ext uri="{FF2B5EF4-FFF2-40B4-BE49-F238E27FC236}">
              <a16:creationId xmlns:a16="http://schemas.microsoft.com/office/drawing/2014/main" id="{D30236A7-B635-5D69-DB30-53C7BCE1D7FD}"/>
            </a:ext>
          </a:extLst>
        </cdr:cNvPr>
        <cdr:cNvSpPr txBox="1"/>
      </cdr:nvSpPr>
      <cdr:spPr>
        <a:xfrm xmlns:a="http://schemas.openxmlformats.org/drawingml/2006/main">
          <a:off x="1969506" y="455892"/>
          <a:ext cx="1284969" cy="3170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CL" sz="900" b="1" kern="1200">
              <a:solidFill>
                <a:srgbClr val="595959"/>
              </a:solidFill>
              <a:latin typeface="Source Sans Pro" panose="020B0503030403020204" pitchFamily="34" charset="0"/>
            </a:rPr>
            <a:t>Cond #1         Cond #2</a:t>
          </a:r>
          <a:r>
            <a:rPr lang="es-CL" sz="900" b="1" kern="1200" baseline="0">
              <a:solidFill>
                <a:srgbClr val="595959"/>
              </a:solidFill>
              <a:latin typeface="Source Sans Pro" panose="020B0503030403020204" pitchFamily="34" charset="0"/>
            </a:rPr>
            <a:t>       </a:t>
          </a:r>
          <a:endParaRPr lang="es-CL" sz="900" b="1" kern="1200">
            <a:solidFill>
              <a:srgbClr val="595959"/>
            </a:solidFill>
            <a:latin typeface="Source Sans Pro" panose="020B0503030403020204" pitchFamily="34" charset="0"/>
          </a:endParaRPr>
        </a:p>
      </cdr:txBody>
    </cdr:sp>
  </cdr:relSizeAnchor>
</c:userShapes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0.30971</cdr:x>
      <cdr:y>0.17451</cdr:y>
    </cdr:from>
    <cdr:to>
      <cdr:x>0.39476</cdr:x>
      <cdr:y>0.69401</cdr:y>
    </cdr:to>
    <cdr:sp macro="" textlink="">
      <cdr:nvSpPr>
        <cdr:cNvPr id="2" name="Rectángulo 1">
          <a:extLst xmlns:a="http://schemas.openxmlformats.org/drawingml/2006/main">
            <a:ext uri="{FF2B5EF4-FFF2-40B4-BE49-F238E27FC236}">
              <a16:creationId xmlns:a16="http://schemas.microsoft.com/office/drawing/2014/main" id="{7935B478-F02A-05B8-232D-D7F60DFFBCA1}"/>
            </a:ext>
          </a:extLst>
        </cdr:cNvPr>
        <cdr:cNvSpPr/>
      </cdr:nvSpPr>
      <cdr:spPr>
        <a:xfrm xmlns:a="http://schemas.openxmlformats.org/drawingml/2006/main">
          <a:off x="1412488" y="501215"/>
          <a:ext cx="387912" cy="1492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accent2"/>
          </a:solidFill>
          <a:prstDash val="dash"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s-CL" kern="1200"/>
        </a:p>
      </cdr:txBody>
    </cdr:sp>
  </cdr:relSizeAnchor>
</c:userShapes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0.31989</cdr:x>
      <cdr:y>0.17451</cdr:y>
    </cdr:from>
    <cdr:to>
      <cdr:x>0.40241</cdr:x>
      <cdr:y>0.69886</cdr:y>
    </cdr:to>
    <cdr:sp macro="" textlink="">
      <cdr:nvSpPr>
        <cdr:cNvPr id="2" name="Rectángulo 1">
          <a:extLst xmlns:a="http://schemas.openxmlformats.org/drawingml/2006/main">
            <a:ext uri="{FF2B5EF4-FFF2-40B4-BE49-F238E27FC236}">
              <a16:creationId xmlns:a16="http://schemas.microsoft.com/office/drawing/2014/main" id="{7935B478-F02A-05B8-232D-D7F60DFFBCA1}"/>
            </a:ext>
          </a:extLst>
        </cdr:cNvPr>
        <cdr:cNvSpPr/>
      </cdr:nvSpPr>
      <cdr:spPr>
        <a:xfrm xmlns:a="http://schemas.openxmlformats.org/drawingml/2006/main">
          <a:off x="1458951" y="501214"/>
          <a:ext cx="376354" cy="150600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accent2"/>
          </a:solidFill>
          <a:prstDash val="dash"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s-CL" kern="1200"/>
        </a:p>
      </cdr:txBody>
    </cdr:sp>
  </cdr:relSizeAnchor>
</c:userShapes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0.57392</cdr:x>
      <cdr:y>0.14221</cdr:y>
    </cdr:from>
    <cdr:to>
      <cdr:x>0.57587</cdr:x>
      <cdr:y>0.85848</cdr:y>
    </cdr:to>
    <cdr:cxnSp macro="">
      <cdr:nvCxnSpPr>
        <cdr:cNvPr id="3" name="Conector recto 2">
          <a:extLst xmlns:a="http://schemas.openxmlformats.org/drawingml/2006/main">
            <a:ext uri="{FF2B5EF4-FFF2-40B4-BE49-F238E27FC236}">
              <a16:creationId xmlns:a16="http://schemas.microsoft.com/office/drawing/2014/main" id="{A76312C3-3A90-BB7F-61C3-5911F6A6734F}"/>
            </a:ext>
          </a:extLst>
        </cdr:cNvPr>
        <cdr:cNvCxnSpPr>
          <a:stCxn xmlns:a="http://schemas.openxmlformats.org/drawingml/2006/main" id="6" idx="0"/>
        </cdr:cNvCxnSpPr>
      </cdr:nvCxnSpPr>
      <cdr:spPr>
        <a:xfrm xmlns:a="http://schemas.openxmlformats.org/drawingml/2006/main">
          <a:off x="2616676" y="458261"/>
          <a:ext cx="8911" cy="2308130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chemeClr val="bg1">
              <a:lumMod val="50000"/>
            </a:schemeClr>
          </a:solidFill>
          <a:prstDash val="sysDot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0.43275</cdr:x>
      <cdr:y>0.14221</cdr:y>
    </cdr:from>
    <cdr:to>
      <cdr:x>0.71509</cdr:x>
      <cdr:y>0.24111</cdr:y>
    </cdr:to>
    <cdr:sp macro="" textlink="">
      <cdr:nvSpPr>
        <cdr:cNvPr id="6" name="CuadroTexto 5">
          <a:extLst xmlns:a="http://schemas.openxmlformats.org/drawingml/2006/main">
            <a:ext uri="{FF2B5EF4-FFF2-40B4-BE49-F238E27FC236}">
              <a16:creationId xmlns:a16="http://schemas.microsoft.com/office/drawing/2014/main" id="{D30236A7-B635-5D69-DB30-53C7BCE1D7FD}"/>
            </a:ext>
          </a:extLst>
        </cdr:cNvPr>
        <cdr:cNvSpPr txBox="1"/>
      </cdr:nvSpPr>
      <cdr:spPr>
        <a:xfrm xmlns:a="http://schemas.openxmlformats.org/drawingml/2006/main">
          <a:off x="1969506" y="455892"/>
          <a:ext cx="1284969" cy="3170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CL" sz="900" b="1" kern="1200">
              <a:solidFill>
                <a:srgbClr val="595959"/>
              </a:solidFill>
              <a:latin typeface="Source Sans Pro" panose="020B0503030403020204" pitchFamily="34" charset="0"/>
            </a:rPr>
            <a:t>Cond #1         Cond #2</a:t>
          </a:r>
          <a:r>
            <a:rPr lang="es-CL" sz="900" b="1" kern="1200" baseline="0">
              <a:solidFill>
                <a:srgbClr val="595959"/>
              </a:solidFill>
              <a:latin typeface="Source Sans Pro" panose="020B0503030403020204" pitchFamily="34" charset="0"/>
            </a:rPr>
            <a:t>       </a:t>
          </a:r>
          <a:endParaRPr lang="es-CL" sz="900" b="1" kern="1200">
            <a:solidFill>
              <a:srgbClr val="595959"/>
            </a:solidFill>
            <a:latin typeface="Source Sans Pro" panose="020B0503030403020204" pitchFamily="34" charset="0"/>
          </a:endParaRPr>
        </a:p>
      </cdr:txBody>
    </cdr:sp>
  </cdr:relSizeAnchor>
</c:userShapes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0.57392</cdr:x>
      <cdr:y>0.14221</cdr:y>
    </cdr:from>
    <cdr:to>
      <cdr:x>0.57587</cdr:x>
      <cdr:y>0.85848</cdr:y>
    </cdr:to>
    <cdr:cxnSp macro="">
      <cdr:nvCxnSpPr>
        <cdr:cNvPr id="3" name="Conector recto 2">
          <a:extLst xmlns:a="http://schemas.openxmlformats.org/drawingml/2006/main">
            <a:ext uri="{FF2B5EF4-FFF2-40B4-BE49-F238E27FC236}">
              <a16:creationId xmlns:a16="http://schemas.microsoft.com/office/drawing/2014/main" id="{A76312C3-3A90-BB7F-61C3-5911F6A6734F}"/>
            </a:ext>
          </a:extLst>
        </cdr:cNvPr>
        <cdr:cNvCxnSpPr>
          <a:stCxn xmlns:a="http://schemas.openxmlformats.org/drawingml/2006/main" id="6" idx="0"/>
        </cdr:cNvCxnSpPr>
      </cdr:nvCxnSpPr>
      <cdr:spPr>
        <a:xfrm xmlns:a="http://schemas.openxmlformats.org/drawingml/2006/main">
          <a:off x="2616676" y="458261"/>
          <a:ext cx="8911" cy="2308130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chemeClr val="bg1">
              <a:lumMod val="50000"/>
            </a:schemeClr>
          </a:solidFill>
          <a:prstDash val="sysDot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0.43275</cdr:x>
      <cdr:y>0.14221</cdr:y>
    </cdr:from>
    <cdr:to>
      <cdr:x>0.71509</cdr:x>
      <cdr:y>0.24111</cdr:y>
    </cdr:to>
    <cdr:sp macro="" textlink="">
      <cdr:nvSpPr>
        <cdr:cNvPr id="6" name="CuadroTexto 5">
          <a:extLst xmlns:a="http://schemas.openxmlformats.org/drawingml/2006/main">
            <a:ext uri="{FF2B5EF4-FFF2-40B4-BE49-F238E27FC236}">
              <a16:creationId xmlns:a16="http://schemas.microsoft.com/office/drawing/2014/main" id="{D30236A7-B635-5D69-DB30-53C7BCE1D7FD}"/>
            </a:ext>
          </a:extLst>
        </cdr:cNvPr>
        <cdr:cNvSpPr txBox="1"/>
      </cdr:nvSpPr>
      <cdr:spPr>
        <a:xfrm xmlns:a="http://schemas.openxmlformats.org/drawingml/2006/main">
          <a:off x="1969506" y="455892"/>
          <a:ext cx="1284969" cy="3170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CL" sz="900" b="1" kern="1200">
              <a:solidFill>
                <a:srgbClr val="595959"/>
              </a:solidFill>
              <a:latin typeface="Source Sans Pro" panose="020B0503030403020204" pitchFamily="34" charset="0"/>
            </a:rPr>
            <a:t>Cond #1         Cond #2</a:t>
          </a:r>
          <a:r>
            <a:rPr lang="es-CL" sz="900" b="1" kern="1200" baseline="0">
              <a:solidFill>
                <a:srgbClr val="595959"/>
              </a:solidFill>
              <a:latin typeface="Source Sans Pro" panose="020B0503030403020204" pitchFamily="34" charset="0"/>
            </a:rPr>
            <a:t>       </a:t>
          </a:r>
          <a:endParaRPr lang="es-CL" sz="900" b="1" kern="1200">
            <a:solidFill>
              <a:srgbClr val="595959"/>
            </a:solidFill>
            <a:latin typeface="Source Sans Pro" panose="020B0503030403020204" pitchFamily="34" charset="0"/>
          </a:endParaRPr>
        </a:p>
      </cdr:txBody>
    </cdr:sp>
  </cdr:relSizeAnchor>
</c:userShapes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0.57392</cdr:x>
      <cdr:y>0.14221</cdr:y>
    </cdr:from>
    <cdr:to>
      <cdr:x>0.57587</cdr:x>
      <cdr:y>0.85848</cdr:y>
    </cdr:to>
    <cdr:cxnSp macro="">
      <cdr:nvCxnSpPr>
        <cdr:cNvPr id="3" name="Conector recto 2">
          <a:extLst xmlns:a="http://schemas.openxmlformats.org/drawingml/2006/main">
            <a:ext uri="{FF2B5EF4-FFF2-40B4-BE49-F238E27FC236}">
              <a16:creationId xmlns:a16="http://schemas.microsoft.com/office/drawing/2014/main" id="{A76312C3-3A90-BB7F-61C3-5911F6A6734F}"/>
            </a:ext>
          </a:extLst>
        </cdr:cNvPr>
        <cdr:cNvCxnSpPr>
          <a:stCxn xmlns:a="http://schemas.openxmlformats.org/drawingml/2006/main" id="6" idx="0"/>
        </cdr:cNvCxnSpPr>
      </cdr:nvCxnSpPr>
      <cdr:spPr>
        <a:xfrm xmlns:a="http://schemas.openxmlformats.org/drawingml/2006/main">
          <a:off x="2616676" y="458261"/>
          <a:ext cx="8911" cy="2308130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chemeClr val="bg1">
              <a:lumMod val="50000"/>
            </a:schemeClr>
          </a:solidFill>
          <a:prstDash val="sysDot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0.43275</cdr:x>
      <cdr:y>0.14221</cdr:y>
    </cdr:from>
    <cdr:to>
      <cdr:x>0.71509</cdr:x>
      <cdr:y>0.24111</cdr:y>
    </cdr:to>
    <cdr:sp macro="" textlink="">
      <cdr:nvSpPr>
        <cdr:cNvPr id="6" name="CuadroTexto 5">
          <a:extLst xmlns:a="http://schemas.openxmlformats.org/drawingml/2006/main">
            <a:ext uri="{FF2B5EF4-FFF2-40B4-BE49-F238E27FC236}">
              <a16:creationId xmlns:a16="http://schemas.microsoft.com/office/drawing/2014/main" id="{D30236A7-B635-5D69-DB30-53C7BCE1D7FD}"/>
            </a:ext>
          </a:extLst>
        </cdr:cNvPr>
        <cdr:cNvSpPr txBox="1"/>
      </cdr:nvSpPr>
      <cdr:spPr>
        <a:xfrm xmlns:a="http://schemas.openxmlformats.org/drawingml/2006/main">
          <a:off x="1969506" y="455892"/>
          <a:ext cx="1284969" cy="3170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CL" sz="900" b="1" kern="1200">
              <a:solidFill>
                <a:srgbClr val="595959"/>
              </a:solidFill>
              <a:latin typeface="Source Sans Pro" panose="020B0503030403020204" pitchFamily="34" charset="0"/>
            </a:rPr>
            <a:t>Cond #1         Cond #2</a:t>
          </a:r>
          <a:r>
            <a:rPr lang="es-CL" sz="900" b="1" kern="1200" baseline="0">
              <a:solidFill>
                <a:srgbClr val="595959"/>
              </a:solidFill>
              <a:latin typeface="Source Sans Pro" panose="020B0503030403020204" pitchFamily="34" charset="0"/>
            </a:rPr>
            <a:t>       </a:t>
          </a:r>
          <a:endParaRPr lang="es-CL" sz="900" b="1" kern="1200">
            <a:solidFill>
              <a:srgbClr val="595959"/>
            </a:solidFill>
            <a:latin typeface="Source Sans Pro" panose="020B0503030403020204" pitchFamily="34" charset="0"/>
          </a:endParaRPr>
        </a:p>
      </cdr:txBody>
    </cdr:sp>
  </cdr:relSizeAnchor>
</c:userShapes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0.58081</cdr:x>
      <cdr:y>0.14852</cdr:y>
    </cdr:from>
    <cdr:to>
      <cdr:x>0.58164</cdr:x>
      <cdr:y>0.72832</cdr:y>
    </cdr:to>
    <cdr:cxnSp macro="">
      <cdr:nvCxnSpPr>
        <cdr:cNvPr id="3" name="Conector recto 2">
          <a:extLst xmlns:a="http://schemas.openxmlformats.org/drawingml/2006/main">
            <a:ext uri="{FF2B5EF4-FFF2-40B4-BE49-F238E27FC236}">
              <a16:creationId xmlns:a16="http://schemas.microsoft.com/office/drawing/2014/main" id="{A76312C3-3A90-BB7F-61C3-5911F6A6734F}"/>
            </a:ext>
          </a:extLst>
        </cdr:cNvPr>
        <cdr:cNvCxnSpPr/>
      </cdr:nvCxnSpPr>
      <cdr:spPr>
        <a:xfrm xmlns:a="http://schemas.openxmlformats.org/drawingml/2006/main">
          <a:off x="2663195" y="477644"/>
          <a:ext cx="3805" cy="1864640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chemeClr val="bg1">
              <a:lumMod val="50000"/>
            </a:schemeClr>
          </a:solidFill>
          <a:prstDash val="sysDot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0.44751</cdr:x>
      <cdr:y>0.13115</cdr:y>
    </cdr:from>
    <cdr:to>
      <cdr:x>0.72985</cdr:x>
      <cdr:y>0.23005</cdr:y>
    </cdr:to>
    <cdr:sp macro="" textlink="">
      <cdr:nvSpPr>
        <cdr:cNvPr id="6" name="CuadroTexto 5">
          <a:extLst xmlns:a="http://schemas.openxmlformats.org/drawingml/2006/main">
            <a:ext uri="{FF2B5EF4-FFF2-40B4-BE49-F238E27FC236}">
              <a16:creationId xmlns:a16="http://schemas.microsoft.com/office/drawing/2014/main" id="{D30236A7-B635-5D69-DB30-53C7BCE1D7FD}"/>
            </a:ext>
          </a:extLst>
        </cdr:cNvPr>
        <cdr:cNvSpPr txBox="1"/>
      </cdr:nvSpPr>
      <cdr:spPr>
        <a:xfrm xmlns:a="http://schemas.openxmlformats.org/drawingml/2006/main">
          <a:off x="2051948" y="421790"/>
          <a:ext cx="1294606" cy="3180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CL" sz="900" b="1" kern="1200">
              <a:solidFill>
                <a:srgbClr val="595959"/>
              </a:solidFill>
              <a:latin typeface="Source Sans Pro" panose="020B0503030403020204" pitchFamily="34" charset="0"/>
            </a:rPr>
            <a:t>Cond #1         Cond #2</a:t>
          </a:r>
          <a:r>
            <a:rPr lang="es-CL" sz="900" b="1" kern="1200" baseline="0">
              <a:solidFill>
                <a:srgbClr val="595959"/>
              </a:solidFill>
              <a:latin typeface="Source Sans Pro" panose="020B0503030403020204" pitchFamily="34" charset="0"/>
            </a:rPr>
            <a:t>       </a:t>
          </a:r>
          <a:endParaRPr lang="es-CL" sz="900" b="1" kern="1200">
            <a:solidFill>
              <a:srgbClr val="595959"/>
            </a:solidFill>
            <a:latin typeface="Source Sans Pro" panose="020B0503030403020204" pitchFamily="34" charset="0"/>
          </a:endParaRPr>
        </a:p>
      </cdr:txBody>
    </cdr:sp>
  </cdr:relSizeAnchor>
</c:userShapes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608690</xdr:colOff>
      <xdr:row>2</xdr:row>
      <xdr:rowOff>126093</xdr:rowOff>
    </xdr:from>
    <xdr:to>
      <xdr:col>24</xdr:col>
      <xdr:colOff>530678</xdr:colOff>
      <xdr:row>27</xdr:row>
      <xdr:rowOff>149678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724807</xdr:colOff>
      <xdr:row>3</xdr:row>
      <xdr:rowOff>19504</xdr:rowOff>
    </xdr:from>
    <xdr:to>
      <xdr:col>35</xdr:col>
      <xdr:colOff>760052</xdr:colOff>
      <xdr:row>28</xdr:row>
      <xdr:rowOff>29349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478972</xdr:colOff>
      <xdr:row>33</xdr:row>
      <xdr:rowOff>171450</xdr:rowOff>
    </xdr:from>
    <xdr:to>
      <xdr:col>10</xdr:col>
      <xdr:colOff>337456</xdr:colOff>
      <xdr:row>64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619125</xdr:colOff>
      <xdr:row>33</xdr:row>
      <xdr:rowOff>171450</xdr:rowOff>
    </xdr:from>
    <xdr:to>
      <xdr:col>25</xdr:col>
      <xdr:colOff>342899</xdr:colOff>
      <xdr:row>64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9</xdr:col>
      <xdr:colOff>114151</xdr:colOff>
      <xdr:row>25</xdr:row>
      <xdr:rowOff>130794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600075"/>
          <a:ext cx="6848475" cy="4116053"/>
        </a:xfrm>
        <a:prstGeom prst="rect">
          <a:avLst/>
        </a:prstGeom>
      </xdr:spPr>
    </xdr:pic>
    <xdr:clientData/>
  </xdr:twoCellAnchor>
  <xdr:twoCellAnchor>
    <xdr:from>
      <xdr:col>12</xdr:col>
      <xdr:colOff>609332</xdr:colOff>
      <xdr:row>26</xdr:row>
      <xdr:rowOff>113900</xdr:rowOff>
    </xdr:from>
    <xdr:to>
      <xdr:col>24</xdr:col>
      <xdr:colOff>418813</xdr:colOff>
      <xdr:row>56</xdr:row>
      <xdr:rowOff>28689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342900</xdr:colOff>
      <xdr:row>60</xdr:row>
      <xdr:rowOff>57150</xdr:rowOff>
    </xdr:from>
    <xdr:to>
      <xdr:col>28</xdr:col>
      <xdr:colOff>247631</xdr:colOff>
      <xdr:row>89</xdr:row>
      <xdr:rowOff>152914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126</xdr:row>
      <xdr:rowOff>0</xdr:rowOff>
    </xdr:from>
    <xdr:to>
      <xdr:col>7</xdr:col>
      <xdr:colOff>38100</xdr:colOff>
      <xdr:row>142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00000000-0008-0000-1100-000008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9300" y="23552150"/>
              <a:ext cx="5130800" cy="2965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8</xdr:col>
      <xdr:colOff>0</xdr:colOff>
      <xdr:row>126</xdr:row>
      <xdr:rowOff>0</xdr:rowOff>
    </xdr:from>
    <xdr:to>
      <xdr:col>14</xdr:col>
      <xdr:colOff>57150</xdr:colOff>
      <xdr:row>142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Gráfico 8">
              <a:extLst>
                <a:ext uri="{FF2B5EF4-FFF2-40B4-BE49-F238E27FC236}">
                  <a16:creationId xmlns:a16="http://schemas.microsoft.com/office/drawing/2014/main" id="{00000000-0008-0000-1100-000009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91300" y="23552150"/>
              <a:ext cx="4730750" cy="2965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15</xdr:col>
      <xdr:colOff>0</xdr:colOff>
      <xdr:row>126</xdr:row>
      <xdr:rowOff>0</xdr:rowOff>
    </xdr:from>
    <xdr:to>
      <xdr:col>21</xdr:col>
      <xdr:colOff>152400</xdr:colOff>
      <xdr:row>142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Gráfico 10">
              <a:extLst>
                <a:ext uri="{FF2B5EF4-FFF2-40B4-BE49-F238E27FC236}">
                  <a16:creationId xmlns:a16="http://schemas.microsoft.com/office/drawing/2014/main" id="{00000000-0008-0000-1100-00000B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14200" y="23552150"/>
              <a:ext cx="4648200" cy="2965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20</xdr:col>
      <xdr:colOff>414618</xdr:colOff>
      <xdr:row>92</xdr:row>
      <xdr:rowOff>148852</xdr:rowOff>
    </xdr:from>
    <xdr:to>
      <xdr:col>32</xdr:col>
      <xdr:colOff>319349</xdr:colOff>
      <xdr:row>122</xdr:row>
      <xdr:rowOff>113307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186690</xdr:colOff>
      <xdr:row>116</xdr:row>
      <xdr:rowOff>121921</xdr:rowOff>
    </xdr:from>
    <xdr:to>
      <xdr:col>26</xdr:col>
      <xdr:colOff>106680</xdr:colOff>
      <xdr:row>118</xdr:row>
      <xdr:rowOff>40006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SpPr txBox="1"/>
      </xdr:nvSpPr>
      <xdr:spPr>
        <a:xfrm>
          <a:off x="19036665" y="21553171"/>
          <a:ext cx="662940" cy="2800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000" b="1">
              <a:latin typeface="Source Sans Pro" panose="020B0503030403020204" pitchFamily="34" charset="0"/>
            </a:rPr>
            <a:t>Día</a:t>
          </a:r>
        </a:p>
      </xdr:txBody>
    </xdr:sp>
    <xdr:clientData/>
  </xdr:twoCellAnchor>
  <xdr:twoCellAnchor>
    <xdr:from>
      <xdr:col>25</xdr:col>
      <xdr:colOff>186690</xdr:colOff>
      <xdr:row>116</xdr:row>
      <xdr:rowOff>121921</xdr:rowOff>
    </xdr:from>
    <xdr:to>
      <xdr:col>26</xdr:col>
      <xdr:colOff>104775</xdr:colOff>
      <xdr:row>118</xdr:row>
      <xdr:rowOff>38101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SpPr txBox="1"/>
      </xdr:nvSpPr>
      <xdr:spPr>
        <a:xfrm>
          <a:off x="19036665" y="21553171"/>
          <a:ext cx="661035" cy="27813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000" b="1">
              <a:latin typeface="Source Sans Pro" panose="020B0503030403020204" pitchFamily="34" charset="0"/>
            </a:rPr>
            <a:t>Día</a:t>
          </a:r>
        </a:p>
      </xdr:txBody>
    </xdr:sp>
    <xdr:clientData/>
  </xdr:twoCellAnchor>
  <xdr:twoCellAnchor>
    <xdr:from>
      <xdr:col>26</xdr:col>
      <xdr:colOff>714375</xdr:colOff>
      <xdr:row>116</xdr:row>
      <xdr:rowOff>133350</xdr:rowOff>
    </xdr:from>
    <xdr:to>
      <xdr:col>27</xdr:col>
      <xdr:colOff>634365</xdr:colOff>
      <xdr:row>118</xdr:row>
      <xdr:rowOff>43815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SpPr txBox="1"/>
      </xdr:nvSpPr>
      <xdr:spPr>
        <a:xfrm>
          <a:off x="20307300" y="21564600"/>
          <a:ext cx="662940" cy="27241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000" b="1">
              <a:latin typeface="Source Sans Pro" panose="020B0503030403020204" pitchFamily="34" charset="0"/>
            </a:rPr>
            <a:t>Noche</a:t>
          </a:r>
        </a:p>
      </xdr:txBody>
    </xdr:sp>
    <xdr:clientData/>
  </xdr:twoCellAnchor>
  <xdr:twoCellAnchor>
    <xdr:from>
      <xdr:col>26</xdr:col>
      <xdr:colOff>714375</xdr:colOff>
      <xdr:row>116</xdr:row>
      <xdr:rowOff>133350</xdr:rowOff>
    </xdr:from>
    <xdr:to>
      <xdr:col>27</xdr:col>
      <xdr:colOff>632460</xdr:colOff>
      <xdr:row>118</xdr:row>
      <xdr:rowOff>49530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0000000-0008-0000-1100-00000A000000}"/>
            </a:ext>
          </a:extLst>
        </xdr:cNvPr>
        <xdr:cNvSpPr txBox="1"/>
      </xdr:nvSpPr>
      <xdr:spPr>
        <a:xfrm>
          <a:off x="20307300" y="21564600"/>
          <a:ext cx="661035" cy="27813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000" b="1">
              <a:latin typeface="Source Sans Pro" panose="020B0503030403020204" pitchFamily="34" charset="0"/>
            </a:rPr>
            <a:t>Noche</a:t>
          </a:r>
        </a:p>
      </xdr:txBody>
    </xdr:sp>
    <xdr:clientData/>
  </xdr:twoCellAnchor>
  <xdr:twoCellAnchor>
    <xdr:from>
      <xdr:col>28</xdr:col>
      <xdr:colOff>485775</xdr:colOff>
      <xdr:row>116</xdr:row>
      <xdr:rowOff>133350</xdr:rowOff>
    </xdr:from>
    <xdr:to>
      <xdr:col>29</xdr:col>
      <xdr:colOff>405765</xdr:colOff>
      <xdr:row>118</xdr:row>
      <xdr:rowOff>55245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0000000-0008-0000-1100-00000C000000}"/>
            </a:ext>
          </a:extLst>
        </xdr:cNvPr>
        <xdr:cNvSpPr txBox="1"/>
      </xdr:nvSpPr>
      <xdr:spPr>
        <a:xfrm>
          <a:off x="21564600" y="21564600"/>
          <a:ext cx="662940" cy="2838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000" b="1">
              <a:latin typeface="Source Sans Pro" panose="020B0503030403020204" pitchFamily="34" charset="0"/>
            </a:rPr>
            <a:t>Noche</a:t>
          </a:r>
        </a:p>
      </xdr:txBody>
    </xdr:sp>
    <xdr:clientData/>
  </xdr:twoCellAnchor>
  <xdr:twoCellAnchor>
    <xdr:from>
      <xdr:col>30</xdr:col>
      <xdr:colOff>295275</xdr:colOff>
      <xdr:row>116</xdr:row>
      <xdr:rowOff>114300</xdr:rowOff>
    </xdr:from>
    <xdr:to>
      <xdr:col>31</xdr:col>
      <xdr:colOff>215265</xdr:colOff>
      <xdr:row>118</xdr:row>
      <xdr:rowOff>36195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00000000-0008-0000-1100-00000D000000}"/>
            </a:ext>
          </a:extLst>
        </xdr:cNvPr>
        <xdr:cNvSpPr txBox="1"/>
      </xdr:nvSpPr>
      <xdr:spPr>
        <a:xfrm>
          <a:off x="22860000" y="21545550"/>
          <a:ext cx="662940" cy="2838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000" b="1">
              <a:latin typeface="Source Sans Pro" panose="020B0503030403020204" pitchFamily="34" charset="0"/>
            </a:rPr>
            <a:t>Noche</a:t>
          </a:r>
        </a:p>
      </xdr:txBody>
    </xdr:sp>
    <xdr:clientData/>
  </xdr:twoCellAnchor>
  <xdr:twoCellAnchor>
    <xdr:from>
      <xdr:col>25</xdr:col>
      <xdr:colOff>95250</xdr:colOff>
      <xdr:row>118</xdr:row>
      <xdr:rowOff>0</xdr:rowOff>
    </xdr:from>
    <xdr:to>
      <xdr:col>26</xdr:col>
      <xdr:colOff>182880</xdr:colOff>
      <xdr:row>119</xdr:row>
      <xdr:rowOff>97155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00000000-0008-0000-1100-00000F000000}"/>
            </a:ext>
          </a:extLst>
        </xdr:cNvPr>
        <xdr:cNvSpPr txBox="1"/>
      </xdr:nvSpPr>
      <xdr:spPr>
        <a:xfrm>
          <a:off x="18945225" y="21793200"/>
          <a:ext cx="830580" cy="27813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000" b="1">
              <a:latin typeface="Source Sans Pro" panose="020B0503030403020204" pitchFamily="34" charset="0"/>
            </a:rPr>
            <a:t>22-09-2025</a:t>
          </a:r>
        </a:p>
      </xdr:txBody>
    </xdr:sp>
    <xdr:clientData/>
  </xdr:twoCellAnchor>
  <xdr:twoCellAnchor>
    <xdr:from>
      <xdr:col>25</xdr:col>
      <xdr:colOff>95250</xdr:colOff>
      <xdr:row>118</xdr:row>
      <xdr:rowOff>0</xdr:rowOff>
    </xdr:from>
    <xdr:to>
      <xdr:col>26</xdr:col>
      <xdr:colOff>184785</xdr:colOff>
      <xdr:row>119</xdr:row>
      <xdr:rowOff>93345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00000000-0008-0000-1100-000010000000}"/>
            </a:ext>
          </a:extLst>
        </xdr:cNvPr>
        <xdr:cNvSpPr txBox="1"/>
      </xdr:nvSpPr>
      <xdr:spPr>
        <a:xfrm>
          <a:off x="18945225" y="21793200"/>
          <a:ext cx="832485" cy="274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000" b="1">
              <a:latin typeface="Source Sans Pro" panose="020B0503030403020204" pitchFamily="34" charset="0"/>
            </a:rPr>
            <a:t>22-09-2025</a:t>
          </a:r>
        </a:p>
      </xdr:txBody>
    </xdr:sp>
    <xdr:clientData/>
  </xdr:twoCellAnchor>
  <xdr:twoCellAnchor>
    <xdr:from>
      <xdr:col>26</xdr:col>
      <xdr:colOff>628650</xdr:colOff>
      <xdr:row>118</xdr:row>
      <xdr:rowOff>0</xdr:rowOff>
    </xdr:from>
    <xdr:to>
      <xdr:col>27</xdr:col>
      <xdr:colOff>721995</xdr:colOff>
      <xdr:row>119</xdr:row>
      <xdr:rowOff>97155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00000000-0008-0000-1100-000011000000}"/>
            </a:ext>
          </a:extLst>
        </xdr:cNvPr>
        <xdr:cNvSpPr txBox="1"/>
      </xdr:nvSpPr>
      <xdr:spPr>
        <a:xfrm>
          <a:off x="20221575" y="21793200"/>
          <a:ext cx="836295" cy="27813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000" b="1">
              <a:latin typeface="Source Sans Pro" panose="020B0503030403020204" pitchFamily="34" charset="0"/>
            </a:rPr>
            <a:t>22-09-2025</a:t>
          </a:r>
        </a:p>
      </xdr:txBody>
    </xdr:sp>
    <xdr:clientData/>
  </xdr:twoCellAnchor>
  <xdr:twoCellAnchor>
    <xdr:from>
      <xdr:col>28</xdr:col>
      <xdr:colOff>381000</xdr:colOff>
      <xdr:row>118</xdr:row>
      <xdr:rowOff>0</xdr:rowOff>
    </xdr:from>
    <xdr:to>
      <xdr:col>29</xdr:col>
      <xdr:colOff>474345</xdr:colOff>
      <xdr:row>119</xdr:row>
      <xdr:rowOff>97155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00000000-0008-0000-1100-000012000000}"/>
            </a:ext>
          </a:extLst>
        </xdr:cNvPr>
        <xdr:cNvSpPr txBox="1"/>
      </xdr:nvSpPr>
      <xdr:spPr>
        <a:xfrm>
          <a:off x="21459825" y="21793200"/>
          <a:ext cx="836295" cy="27813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000" b="1">
              <a:latin typeface="Source Sans Pro" panose="020B0503030403020204" pitchFamily="34" charset="0"/>
            </a:rPr>
            <a:t>23-09-2025</a:t>
          </a:r>
        </a:p>
      </xdr:txBody>
    </xdr:sp>
    <xdr:clientData/>
  </xdr:twoCellAnchor>
  <xdr:twoCellAnchor>
    <xdr:from>
      <xdr:col>30</xdr:col>
      <xdr:colOff>180975</xdr:colOff>
      <xdr:row>117</xdr:row>
      <xdr:rowOff>171450</xdr:rowOff>
    </xdr:from>
    <xdr:to>
      <xdr:col>31</xdr:col>
      <xdr:colOff>274320</xdr:colOff>
      <xdr:row>119</xdr:row>
      <xdr:rowOff>87630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1100-000013000000}"/>
            </a:ext>
          </a:extLst>
        </xdr:cNvPr>
        <xdr:cNvSpPr txBox="1"/>
      </xdr:nvSpPr>
      <xdr:spPr>
        <a:xfrm>
          <a:off x="22745700" y="21783675"/>
          <a:ext cx="836295" cy="27813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000" b="1">
              <a:latin typeface="Source Sans Pro" panose="020B0503030403020204" pitchFamily="34" charset="0"/>
            </a:rPr>
            <a:t>25-09-2025</a:t>
          </a:r>
        </a:p>
      </xdr:txBody>
    </xdr:sp>
    <xdr:clientData/>
  </xdr:twoCellAnchor>
  <xdr:twoCellAnchor>
    <xdr:from>
      <xdr:col>24</xdr:col>
      <xdr:colOff>674370</xdr:colOff>
      <xdr:row>119</xdr:row>
      <xdr:rowOff>95250</xdr:rowOff>
    </xdr:from>
    <xdr:to>
      <xdr:col>31</xdr:col>
      <xdr:colOff>434340</xdr:colOff>
      <xdr:row>120</xdr:row>
      <xdr:rowOff>177165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00000000-0008-0000-1100-000014000000}"/>
            </a:ext>
          </a:extLst>
        </xdr:cNvPr>
        <xdr:cNvSpPr txBox="1"/>
      </xdr:nvSpPr>
      <xdr:spPr>
        <a:xfrm>
          <a:off x="18781395" y="22069425"/>
          <a:ext cx="4960620" cy="26289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000" b="1">
              <a:latin typeface="Source Sans Pro" panose="020B0503030403020204" pitchFamily="34" charset="0"/>
            </a:rPr>
            <a:t>Cu</a:t>
          </a:r>
          <a:r>
            <a:rPr lang="es-CL" sz="1000" b="1" baseline="0">
              <a:latin typeface="Source Sans Pro" panose="020B0503030403020204" pitchFamily="34" charset="0"/>
            </a:rPr>
            <a:t> Cond. 2</a:t>
          </a:r>
          <a:endParaRPr lang="es-CL" sz="1000" b="1">
            <a:latin typeface="Source Sans Pro" panose="020B0503030403020204" pitchFamily="34" charset="0"/>
          </a:endParaRPr>
        </a:p>
      </xdr:txBody>
    </xdr:sp>
    <xdr:clientData/>
  </xdr:twoCellAnchor>
</xdr:wsDr>
</file>

<file path=xl/drawings/drawing31.xml><?xml version="1.0" encoding="utf-8"?>
<c:userShapes xmlns:c="http://schemas.openxmlformats.org/drawingml/2006/chart">
  <cdr:relSizeAnchor xmlns:cdr="http://schemas.openxmlformats.org/drawingml/2006/chartDrawing">
    <cdr:from>
      <cdr:x>0.35943</cdr:x>
      <cdr:y>0.09322</cdr:y>
    </cdr:from>
    <cdr:to>
      <cdr:x>0.36048</cdr:x>
      <cdr:y>0.79326</cdr:y>
    </cdr:to>
    <cdr:cxnSp macro="">
      <cdr:nvCxnSpPr>
        <cdr:cNvPr id="3" name="Conector recto 2">
          <a:extLst xmlns:a="http://schemas.openxmlformats.org/drawingml/2006/main">
            <a:ext uri="{FF2B5EF4-FFF2-40B4-BE49-F238E27FC236}">
              <a16:creationId xmlns:a16="http://schemas.microsoft.com/office/drawing/2014/main" id="{DBD2879D-1F9F-7F40-F82F-2CFA6D29AAFF}"/>
            </a:ext>
          </a:extLst>
        </cdr:cNvPr>
        <cdr:cNvCxnSpPr/>
      </cdr:nvCxnSpPr>
      <cdr:spPr>
        <a:xfrm xmlns:a="http://schemas.openxmlformats.org/drawingml/2006/main" flipH="1" flipV="1">
          <a:off x="3252404" y="516952"/>
          <a:ext cx="9525" cy="3881952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bg2">
              <a:lumMod val="90000"/>
            </a:schemeClr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1143000</xdr:colOff>
      <xdr:row>49</xdr:row>
      <xdr:rowOff>149678</xdr:rowOff>
    </xdr:from>
    <xdr:to>
      <xdr:col>12</xdr:col>
      <xdr:colOff>1003300</xdr:colOff>
      <xdr:row>69</xdr:row>
      <xdr:rowOff>75746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29</xdr:row>
      <xdr:rowOff>7325</xdr:rowOff>
    </xdr:from>
    <xdr:to>
      <xdr:col>21</xdr:col>
      <xdr:colOff>238314</xdr:colOff>
      <xdr:row>52</xdr:row>
      <xdr:rowOff>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14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0</xdr:colOff>
      <xdr:row>29</xdr:row>
      <xdr:rowOff>0</xdr:rowOff>
    </xdr:from>
    <xdr:to>
      <xdr:col>30</xdr:col>
      <xdr:colOff>208329</xdr:colOff>
      <xdr:row>51</xdr:row>
      <xdr:rowOff>168547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20</xdr:col>
      <xdr:colOff>158048</xdr:colOff>
      <xdr:row>25</xdr:row>
      <xdr:rowOff>162785</xdr:rowOff>
    </xdr:to>
    <xdr:grpSp>
      <xdr:nvGrpSpPr>
        <xdr:cNvPr id="29" name="Grupo 28">
          <a:extLst>
            <a:ext uri="{FF2B5EF4-FFF2-40B4-BE49-F238E27FC236}">
              <a16:creationId xmlns:a16="http://schemas.microsoft.com/office/drawing/2014/main" id="{00000000-0008-0000-1400-00001D000000}"/>
            </a:ext>
          </a:extLst>
        </xdr:cNvPr>
        <xdr:cNvGrpSpPr/>
      </xdr:nvGrpSpPr>
      <xdr:grpSpPr>
        <a:xfrm>
          <a:off x="19183350" y="184150"/>
          <a:ext cx="4888798" cy="4633185"/>
          <a:chOff x="3020568" y="659368"/>
          <a:chExt cx="4898136" cy="4465844"/>
        </a:xfrm>
      </xdr:grpSpPr>
      <xdr:sp macro="" textlink="">
        <xdr:nvSpPr>
          <xdr:cNvPr id="30" name="Rectángulo 29">
            <a:extLst>
              <a:ext uri="{FF2B5EF4-FFF2-40B4-BE49-F238E27FC236}">
                <a16:creationId xmlns:a16="http://schemas.microsoft.com/office/drawing/2014/main" id="{00000000-0008-0000-1400-00001E000000}"/>
              </a:ext>
            </a:extLst>
          </xdr:cNvPr>
          <xdr:cNvSpPr/>
        </xdr:nvSpPr>
        <xdr:spPr>
          <a:xfrm>
            <a:off x="4367784" y="722376"/>
            <a:ext cx="1728216" cy="612648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CL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MX">
                <a:solidFill>
                  <a:schemeClr val="tx1"/>
                </a:solidFill>
                <a:latin typeface="Source Sans Pro" panose="020B0503030403020204" pitchFamily="34" charset="0"/>
              </a:rPr>
              <a:t>1ra Etapa 1</a:t>
            </a:r>
            <a:endParaRPr lang="es-CL">
              <a:solidFill>
                <a:schemeClr val="tx1"/>
              </a:solidFill>
              <a:latin typeface="Source Sans Pro" panose="020B0503030403020204" pitchFamily="34" charset="0"/>
            </a:endParaRPr>
          </a:p>
        </xdr:txBody>
      </xdr:sp>
      <xdr:sp macro="" textlink="">
        <xdr:nvSpPr>
          <xdr:cNvPr id="31" name="Rectángulo 30">
            <a:extLst>
              <a:ext uri="{FF2B5EF4-FFF2-40B4-BE49-F238E27FC236}">
                <a16:creationId xmlns:a16="http://schemas.microsoft.com/office/drawing/2014/main" id="{00000000-0008-0000-1400-00001F000000}"/>
              </a:ext>
            </a:extLst>
          </xdr:cNvPr>
          <xdr:cNvSpPr/>
        </xdr:nvSpPr>
        <xdr:spPr>
          <a:xfrm>
            <a:off x="4367784" y="1981200"/>
            <a:ext cx="1728216" cy="612648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CL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MX">
                <a:solidFill>
                  <a:schemeClr val="tx1"/>
                </a:solidFill>
                <a:latin typeface="Source Sans Pro" panose="020B0503030403020204" pitchFamily="34" charset="0"/>
              </a:rPr>
              <a:t>1ra Etapa 2</a:t>
            </a:r>
            <a:endParaRPr lang="es-CL">
              <a:solidFill>
                <a:schemeClr val="tx1"/>
              </a:solidFill>
              <a:latin typeface="Source Sans Pro" panose="020B0503030403020204" pitchFamily="34" charset="0"/>
            </a:endParaRPr>
          </a:p>
        </xdr:txBody>
      </xdr:sp>
      <xdr:sp macro="" textlink="">
        <xdr:nvSpPr>
          <xdr:cNvPr id="32" name="Rectángulo 31">
            <a:extLst>
              <a:ext uri="{FF2B5EF4-FFF2-40B4-BE49-F238E27FC236}">
                <a16:creationId xmlns:a16="http://schemas.microsoft.com/office/drawing/2014/main" id="{00000000-0008-0000-1400-000020000000}"/>
              </a:ext>
            </a:extLst>
          </xdr:cNvPr>
          <xdr:cNvSpPr/>
        </xdr:nvSpPr>
        <xdr:spPr>
          <a:xfrm>
            <a:off x="4367784" y="3240024"/>
            <a:ext cx="1728216" cy="612648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CL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MX">
                <a:solidFill>
                  <a:schemeClr val="tx1"/>
                </a:solidFill>
                <a:latin typeface="Source Sans Pro" panose="020B0503030403020204" pitchFamily="34" charset="0"/>
              </a:rPr>
              <a:t>1ra Etapa 3</a:t>
            </a:r>
            <a:endParaRPr lang="es-CL">
              <a:solidFill>
                <a:schemeClr val="tx1"/>
              </a:solidFill>
              <a:latin typeface="Source Sans Pro" panose="020B0503030403020204" pitchFamily="34" charset="0"/>
            </a:endParaRPr>
          </a:p>
        </xdr:txBody>
      </xdr:sp>
      <xdr:grpSp>
        <xdr:nvGrpSpPr>
          <xdr:cNvPr id="33" name="Grupo 32">
            <a:extLst>
              <a:ext uri="{FF2B5EF4-FFF2-40B4-BE49-F238E27FC236}">
                <a16:creationId xmlns:a16="http://schemas.microsoft.com/office/drawing/2014/main" id="{00000000-0008-0000-1400-000021000000}"/>
              </a:ext>
            </a:extLst>
          </xdr:cNvPr>
          <xdr:cNvGrpSpPr/>
        </xdr:nvGrpSpPr>
        <xdr:grpSpPr>
          <a:xfrm>
            <a:off x="6096000" y="1028700"/>
            <a:ext cx="1822704" cy="2531364"/>
            <a:chOff x="6096000" y="1028700"/>
            <a:chExt cx="2005584" cy="2531364"/>
          </a:xfrm>
        </xdr:grpSpPr>
        <xdr:cxnSp macro="">
          <xdr:nvCxnSpPr>
            <xdr:cNvPr id="50" name="Conector recto de flecha 49">
              <a:extLst>
                <a:ext uri="{FF2B5EF4-FFF2-40B4-BE49-F238E27FC236}">
                  <a16:creationId xmlns:a16="http://schemas.microsoft.com/office/drawing/2014/main" id="{00000000-0008-0000-1400-000032000000}"/>
                </a:ext>
              </a:extLst>
            </xdr:cNvPr>
            <xdr:cNvCxnSpPr>
              <a:stCxn id="30" idx="3"/>
            </xdr:cNvCxnSpPr>
          </xdr:nvCxnSpPr>
          <xdr:spPr>
            <a:xfrm>
              <a:off x="6096000" y="1028700"/>
              <a:ext cx="2005584" cy="13716"/>
            </a:xfrm>
            <a:prstGeom prst="straightConnector1">
              <a:avLst/>
            </a:prstGeom>
            <a:ln>
              <a:solidFill>
                <a:schemeClr val="tx1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1" name="Conector recto de flecha 50">
              <a:extLst>
                <a:ext uri="{FF2B5EF4-FFF2-40B4-BE49-F238E27FC236}">
                  <a16:creationId xmlns:a16="http://schemas.microsoft.com/office/drawing/2014/main" id="{00000000-0008-0000-1400-000033000000}"/>
                </a:ext>
              </a:extLst>
            </xdr:cNvPr>
            <xdr:cNvCxnSpPr>
              <a:cxnSpLocks/>
            </xdr:cNvCxnSpPr>
          </xdr:nvCxnSpPr>
          <xdr:spPr>
            <a:xfrm>
              <a:off x="6096000" y="2287524"/>
              <a:ext cx="2005584" cy="13716"/>
            </a:xfrm>
            <a:prstGeom prst="straightConnector1">
              <a:avLst/>
            </a:prstGeom>
            <a:ln>
              <a:solidFill>
                <a:schemeClr val="tx1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2" name="Conector recto de flecha 51">
              <a:extLst>
                <a:ext uri="{FF2B5EF4-FFF2-40B4-BE49-F238E27FC236}">
                  <a16:creationId xmlns:a16="http://schemas.microsoft.com/office/drawing/2014/main" id="{00000000-0008-0000-1400-000034000000}"/>
                </a:ext>
              </a:extLst>
            </xdr:cNvPr>
            <xdr:cNvCxnSpPr>
              <a:cxnSpLocks/>
            </xdr:cNvCxnSpPr>
          </xdr:nvCxnSpPr>
          <xdr:spPr>
            <a:xfrm>
              <a:off x="6096000" y="3546348"/>
              <a:ext cx="2005584" cy="13716"/>
            </a:xfrm>
            <a:prstGeom prst="straightConnector1">
              <a:avLst/>
            </a:prstGeom>
            <a:ln>
              <a:solidFill>
                <a:schemeClr val="tx1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34" name="CuadroTexto 10">
            <a:extLst>
              <a:ext uri="{FF2B5EF4-FFF2-40B4-BE49-F238E27FC236}">
                <a16:creationId xmlns:a16="http://schemas.microsoft.com/office/drawing/2014/main" id="{00000000-0008-0000-1400-000022000000}"/>
              </a:ext>
            </a:extLst>
          </xdr:cNvPr>
          <xdr:cNvSpPr txBox="1"/>
        </xdr:nvSpPr>
        <xdr:spPr>
          <a:xfrm>
            <a:off x="6617660" y="659368"/>
            <a:ext cx="779381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CL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>
                <a:latin typeface="Source Sans Pro" panose="020B0503030403020204" pitchFamily="34" charset="0"/>
                <a:ea typeface="Source Sans Pro" panose="020B0503030403020204" pitchFamily="34" charset="0"/>
              </a:rPr>
              <a:t>Cola 1</a:t>
            </a:r>
            <a:endParaRPr lang="es-CL">
              <a:latin typeface="Source Sans Pro" panose="020B0503030403020204" pitchFamily="34" charset="0"/>
              <a:ea typeface="Source Sans Pro" panose="020B0503030403020204" pitchFamily="34" charset="0"/>
            </a:endParaRPr>
          </a:p>
        </xdr:txBody>
      </xdr:sp>
      <xdr:sp macro="" textlink="">
        <xdr:nvSpPr>
          <xdr:cNvPr id="35" name="CuadroTexto 11">
            <a:extLst>
              <a:ext uri="{FF2B5EF4-FFF2-40B4-BE49-F238E27FC236}">
                <a16:creationId xmlns:a16="http://schemas.microsoft.com/office/drawing/2014/main" id="{00000000-0008-0000-1400-000023000000}"/>
              </a:ext>
            </a:extLst>
          </xdr:cNvPr>
          <xdr:cNvSpPr txBox="1"/>
        </xdr:nvSpPr>
        <xdr:spPr>
          <a:xfrm>
            <a:off x="6617659" y="1931908"/>
            <a:ext cx="779381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CL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>
                <a:latin typeface="Source Sans Pro" panose="020B0503030403020204" pitchFamily="34" charset="0"/>
                <a:ea typeface="Source Sans Pro" panose="020B0503030403020204" pitchFamily="34" charset="0"/>
              </a:rPr>
              <a:t>Cola 2</a:t>
            </a:r>
            <a:endParaRPr lang="es-CL">
              <a:latin typeface="Source Sans Pro" panose="020B0503030403020204" pitchFamily="34" charset="0"/>
              <a:ea typeface="Source Sans Pro" panose="020B0503030403020204" pitchFamily="34" charset="0"/>
            </a:endParaRPr>
          </a:p>
        </xdr:txBody>
      </xdr:sp>
      <xdr:sp macro="" textlink="">
        <xdr:nvSpPr>
          <xdr:cNvPr id="36" name="CuadroTexto 12">
            <a:extLst>
              <a:ext uri="{FF2B5EF4-FFF2-40B4-BE49-F238E27FC236}">
                <a16:creationId xmlns:a16="http://schemas.microsoft.com/office/drawing/2014/main" id="{00000000-0008-0000-1400-000024000000}"/>
              </a:ext>
            </a:extLst>
          </xdr:cNvPr>
          <xdr:cNvSpPr txBox="1"/>
        </xdr:nvSpPr>
        <xdr:spPr>
          <a:xfrm>
            <a:off x="6617658" y="3190732"/>
            <a:ext cx="779381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CL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>
                <a:latin typeface="Source Sans Pro" panose="020B0503030403020204" pitchFamily="34" charset="0"/>
                <a:ea typeface="Source Sans Pro" panose="020B0503030403020204" pitchFamily="34" charset="0"/>
              </a:rPr>
              <a:t>Cola 3</a:t>
            </a:r>
            <a:endParaRPr lang="es-CL">
              <a:latin typeface="Source Sans Pro" panose="020B0503030403020204" pitchFamily="34" charset="0"/>
              <a:ea typeface="Source Sans Pro" panose="020B0503030403020204" pitchFamily="34" charset="0"/>
            </a:endParaRPr>
          </a:p>
        </xdr:txBody>
      </xdr:sp>
      <xdr:grpSp>
        <xdr:nvGrpSpPr>
          <xdr:cNvPr id="37" name="Grupo 36">
            <a:extLst>
              <a:ext uri="{FF2B5EF4-FFF2-40B4-BE49-F238E27FC236}">
                <a16:creationId xmlns:a16="http://schemas.microsoft.com/office/drawing/2014/main" id="{00000000-0008-0000-1400-000025000000}"/>
              </a:ext>
            </a:extLst>
          </xdr:cNvPr>
          <xdr:cNvGrpSpPr/>
        </xdr:nvGrpSpPr>
        <xdr:grpSpPr>
          <a:xfrm>
            <a:off x="3020568" y="4512564"/>
            <a:ext cx="4422648" cy="612648"/>
            <a:chOff x="3511296" y="4512564"/>
            <a:chExt cx="4422648" cy="612648"/>
          </a:xfrm>
        </xdr:grpSpPr>
        <xdr:sp macro="" textlink="">
          <xdr:nvSpPr>
            <xdr:cNvPr id="45" name="Rectángulo 44">
              <a:extLst>
                <a:ext uri="{FF2B5EF4-FFF2-40B4-BE49-F238E27FC236}">
                  <a16:creationId xmlns:a16="http://schemas.microsoft.com/office/drawing/2014/main" id="{00000000-0008-0000-1400-00002D000000}"/>
                </a:ext>
              </a:extLst>
            </xdr:cNvPr>
            <xdr:cNvSpPr/>
          </xdr:nvSpPr>
          <xdr:spPr>
            <a:xfrm>
              <a:off x="3511296" y="4512564"/>
              <a:ext cx="856488" cy="612648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CL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s-MX">
                  <a:solidFill>
                    <a:schemeClr val="tx1"/>
                  </a:solidFill>
                  <a:latin typeface="Source Sans Pro" panose="020B0503030403020204" pitchFamily="34" charset="0"/>
                </a:rPr>
                <a:t>Conc 1</a:t>
              </a:r>
              <a:endParaRPr lang="es-CL">
                <a:solidFill>
                  <a:schemeClr val="tx1"/>
                </a:solidFill>
                <a:latin typeface="Source Sans Pro" panose="020B0503030403020204" pitchFamily="34" charset="0"/>
              </a:endParaRPr>
            </a:p>
          </xdr:txBody>
        </xdr:sp>
        <xdr:sp macro="" textlink="">
          <xdr:nvSpPr>
            <xdr:cNvPr id="46" name="Rectángulo 45">
              <a:extLst>
                <a:ext uri="{FF2B5EF4-FFF2-40B4-BE49-F238E27FC236}">
                  <a16:creationId xmlns:a16="http://schemas.microsoft.com/office/drawing/2014/main" id="{00000000-0008-0000-1400-00002E000000}"/>
                </a:ext>
              </a:extLst>
            </xdr:cNvPr>
            <xdr:cNvSpPr/>
          </xdr:nvSpPr>
          <xdr:spPr>
            <a:xfrm>
              <a:off x="4402836" y="4512564"/>
              <a:ext cx="856488" cy="612648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CL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s-MX">
                  <a:solidFill>
                    <a:schemeClr val="tx1"/>
                  </a:solidFill>
                  <a:latin typeface="Source Sans Pro" panose="020B0503030403020204" pitchFamily="34" charset="0"/>
                </a:rPr>
                <a:t>Conc 2</a:t>
              </a:r>
              <a:endParaRPr lang="es-CL">
                <a:solidFill>
                  <a:schemeClr val="tx1"/>
                </a:solidFill>
                <a:latin typeface="Source Sans Pro" panose="020B0503030403020204" pitchFamily="34" charset="0"/>
              </a:endParaRPr>
            </a:p>
          </xdr:txBody>
        </xdr:sp>
        <xdr:sp macro="" textlink="">
          <xdr:nvSpPr>
            <xdr:cNvPr id="47" name="Rectángulo 46">
              <a:extLst>
                <a:ext uri="{FF2B5EF4-FFF2-40B4-BE49-F238E27FC236}">
                  <a16:creationId xmlns:a16="http://schemas.microsoft.com/office/drawing/2014/main" id="{00000000-0008-0000-1400-00002F000000}"/>
                </a:ext>
              </a:extLst>
            </xdr:cNvPr>
            <xdr:cNvSpPr/>
          </xdr:nvSpPr>
          <xdr:spPr>
            <a:xfrm>
              <a:off x="5294376" y="4512564"/>
              <a:ext cx="856488" cy="612648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CL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s-MX">
                  <a:solidFill>
                    <a:schemeClr val="tx1"/>
                  </a:solidFill>
                  <a:latin typeface="Source Sans Pro" panose="020B0503030403020204" pitchFamily="34" charset="0"/>
                </a:rPr>
                <a:t>Conc 3</a:t>
              </a:r>
              <a:endParaRPr lang="es-CL">
                <a:solidFill>
                  <a:schemeClr val="tx1"/>
                </a:solidFill>
                <a:latin typeface="Source Sans Pro" panose="020B0503030403020204" pitchFamily="34" charset="0"/>
              </a:endParaRPr>
            </a:p>
          </xdr:txBody>
        </xdr:sp>
        <xdr:sp macro="" textlink="">
          <xdr:nvSpPr>
            <xdr:cNvPr id="48" name="Rectángulo 47">
              <a:extLst>
                <a:ext uri="{FF2B5EF4-FFF2-40B4-BE49-F238E27FC236}">
                  <a16:creationId xmlns:a16="http://schemas.microsoft.com/office/drawing/2014/main" id="{00000000-0008-0000-1400-000030000000}"/>
                </a:ext>
              </a:extLst>
            </xdr:cNvPr>
            <xdr:cNvSpPr/>
          </xdr:nvSpPr>
          <xdr:spPr>
            <a:xfrm>
              <a:off x="6185916" y="4512564"/>
              <a:ext cx="856488" cy="612648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CL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s-MX">
                  <a:solidFill>
                    <a:schemeClr val="tx1"/>
                  </a:solidFill>
                  <a:latin typeface="Source Sans Pro" panose="020B0503030403020204" pitchFamily="34" charset="0"/>
                </a:rPr>
                <a:t>Conc 4</a:t>
              </a:r>
              <a:endParaRPr lang="es-CL">
                <a:solidFill>
                  <a:schemeClr val="tx1"/>
                </a:solidFill>
                <a:latin typeface="Source Sans Pro" panose="020B0503030403020204" pitchFamily="34" charset="0"/>
              </a:endParaRPr>
            </a:p>
          </xdr:txBody>
        </xdr:sp>
        <xdr:sp macro="" textlink="">
          <xdr:nvSpPr>
            <xdr:cNvPr id="49" name="Rectángulo 48">
              <a:extLst>
                <a:ext uri="{FF2B5EF4-FFF2-40B4-BE49-F238E27FC236}">
                  <a16:creationId xmlns:a16="http://schemas.microsoft.com/office/drawing/2014/main" id="{00000000-0008-0000-1400-000031000000}"/>
                </a:ext>
              </a:extLst>
            </xdr:cNvPr>
            <xdr:cNvSpPr/>
          </xdr:nvSpPr>
          <xdr:spPr>
            <a:xfrm>
              <a:off x="7077456" y="4512564"/>
              <a:ext cx="856488" cy="612648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CL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s-MX">
                  <a:solidFill>
                    <a:schemeClr val="tx1"/>
                  </a:solidFill>
                  <a:latin typeface="Source Sans Pro" panose="020B0503030403020204" pitchFamily="34" charset="0"/>
                </a:rPr>
                <a:t>Conc 5</a:t>
              </a:r>
              <a:endParaRPr lang="es-CL">
                <a:solidFill>
                  <a:schemeClr val="tx1"/>
                </a:solidFill>
                <a:latin typeface="Source Sans Pro" panose="020B0503030403020204" pitchFamily="34" charset="0"/>
              </a:endParaRPr>
            </a:p>
          </xdr:txBody>
        </xdr:sp>
      </xdr:grpSp>
      <xdr:cxnSp macro="">
        <xdr:nvCxnSpPr>
          <xdr:cNvPr id="38" name="Conector recto de flecha 37">
            <a:extLst>
              <a:ext uri="{FF2B5EF4-FFF2-40B4-BE49-F238E27FC236}">
                <a16:creationId xmlns:a16="http://schemas.microsoft.com/office/drawing/2014/main" id="{00000000-0008-0000-1400-000026000000}"/>
              </a:ext>
            </a:extLst>
          </xdr:cNvPr>
          <xdr:cNvCxnSpPr>
            <a:cxnSpLocks/>
          </xdr:cNvCxnSpPr>
        </xdr:nvCxnSpPr>
        <xdr:spPr>
          <a:xfrm>
            <a:off x="5231892" y="3852672"/>
            <a:ext cx="0" cy="545592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" name="Conector recto de flecha 38">
            <a:extLst>
              <a:ext uri="{FF2B5EF4-FFF2-40B4-BE49-F238E27FC236}">
                <a16:creationId xmlns:a16="http://schemas.microsoft.com/office/drawing/2014/main" id="{00000000-0008-0000-1400-000027000000}"/>
              </a:ext>
            </a:extLst>
          </xdr:cNvPr>
          <xdr:cNvCxnSpPr>
            <a:cxnSpLocks/>
          </xdr:cNvCxnSpPr>
        </xdr:nvCxnSpPr>
        <xdr:spPr>
          <a:xfrm flipH="1">
            <a:off x="4443984" y="3852672"/>
            <a:ext cx="565404" cy="545592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" name="Conector recto de flecha 39">
            <a:extLst>
              <a:ext uri="{FF2B5EF4-FFF2-40B4-BE49-F238E27FC236}">
                <a16:creationId xmlns:a16="http://schemas.microsoft.com/office/drawing/2014/main" id="{00000000-0008-0000-1400-000028000000}"/>
              </a:ext>
            </a:extLst>
          </xdr:cNvPr>
          <xdr:cNvCxnSpPr>
            <a:cxnSpLocks/>
          </xdr:cNvCxnSpPr>
        </xdr:nvCxnSpPr>
        <xdr:spPr>
          <a:xfrm flipH="1">
            <a:off x="3448812" y="3852672"/>
            <a:ext cx="1277874" cy="545592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" name="Conector recto de flecha 40">
            <a:extLst>
              <a:ext uri="{FF2B5EF4-FFF2-40B4-BE49-F238E27FC236}">
                <a16:creationId xmlns:a16="http://schemas.microsoft.com/office/drawing/2014/main" id="{00000000-0008-0000-1400-000029000000}"/>
              </a:ext>
            </a:extLst>
          </xdr:cNvPr>
          <xdr:cNvCxnSpPr>
            <a:cxnSpLocks/>
          </xdr:cNvCxnSpPr>
        </xdr:nvCxnSpPr>
        <xdr:spPr>
          <a:xfrm>
            <a:off x="5454397" y="3852672"/>
            <a:ext cx="565404" cy="545592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2" name="Conector recto de flecha 41">
            <a:extLst>
              <a:ext uri="{FF2B5EF4-FFF2-40B4-BE49-F238E27FC236}">
                <a16:creationId xmlns:a16="http://schemas.microsoft.com/office/drawing/2014/main" id="{00000000-0008-0000-1400-00002A000000}"/>
              </a:ext>
            </a:extLst>
          </xdr:cNvPr>
          <xdr:cNvCxnSpPr>
            <a:cxnSpLocks/>
          </xdr:cNvCxnSpPr>
        </xdr:nvCxnSpPr>
        <xdr:spPr>
          <a:xfrm>
            <a:off x="5737099" y="3852672"/>
            <a:ext cx="1277874" cy="545592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3" name="Conector recto de flecha 42">
            <a:extLst>
              <a:ext uri="{FF2B5EF4-FFF2-40B4-BE49-F238E27FC236}">
                <a16:creationId xmlns:a16="http://schemas.microsoft.com/office/drawing/2014/main" id="{00000000-0008-0000-1400-00002B000000}"/>
              </a:ext>
            </a:extLst>
          </xdr:cNvPr>
          <xdr:cNvCxnSpPr>
            <a:cxnSpLocks/>
          </xdr:cNvCxnSpPr>
        </xdr:nvCxnSpPr>
        <xdr:spPr>
          <a:xfrm>
            <a:off x="5231892" y="1335024"/>
            <a:ext cx="0" cy="545592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4" name="Conector recto de flecha 43">
            <a:extLst>
              <a:ext uri="{FF2B5EF4-FFF2-40B4-BE49-F238E27FC236}">
                <a16:creationId xmlns:a16="http://schemas.microsoft.com/office/drawing/2014/main" id="{00000000-0008-0000-1400-00002C000000}"/>
              </a:ext>
            </a:extLst>
          </xdr:cNvPr>
          <xdr:cNvCxnSpPr>
            <a:cxnSpLocks/>
          </xdr:cNvCxnSpPr>
        </xdr:nvCxnSpPr>
        <xdr:spPr>
          <a:xfrm>
            <a:off x="5231892" y="2593848"/>
            <a:ext cx="0" cy="545592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1389974</xdr:colOff>
      <xdr:row>80</xdr:row>
      <xdr:rowOff>7860</xdr:rowOff>
    </xdr:from>
    <xdr:to>
      <xdr:col>12</xdr:col>
      <xdr:colOff>825725</xdr:colOff>
      <xdr:row>98</xdr:row>
      <xdr:rowOff>36296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66675</xdr:colOff>
      <xdr:row>56</xdr:row>
      <xdr:rowOff>123825</xdr:rowOff>
    </xdr:from>
    <xdr:to>
      <xdr:col>21</xdr:col>
      <xdr:colOff>304989</xdr:colOff>
      <xdr:row>79</xdr:row>
      <xdr:rowOff>113325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47</xdr:row>
      <xdr:rowOff>111125</xdr:rowOff>
    </xdr:from>
    <xdr:to>
      <xdr:col>7</xdr:col>
      <xdr:colOff>360863</xdr:colOff>
      <xdr:row>70</xdr:row>
      <xdr:rowOff>28393</xdr:rowOff>
    </xdr:to>
    <xdr:pic>
      <xdr:nvPicPr>
        <xdr:cNvPr id="2" name="Imagen 1" descr="Gráfico, Gráfico de dispersión&#10;&#10;Descripción generada automáticamente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0" y="8797925"/>
          <a:ext cx="5504363" cy="4079693"/>
        </a:xfrm>
        <a:prstGeom prst="rect">
          <a:avLst/>
        </a:prstGeom>
      </xdr:spPr>
    </xdr:pic>
    <xdr:clientData/>
  </xdr:twoCellAnchor>
  <xdr:twoCellAnchor editAs="oneCell">
    <xdr:from>
      <xdr:col>24</xdr:col>
      <xdr:colOff>503918</xdr:colOff>
      <xdr:row>48</xdr:row>
      <xdr:rowOff>105682</xdr:rowOff>
    </xdr:from>
    <xdr:to>
      <xdr:col>30</xdr:col>
      <xdr:colOff>550092</xdr:colOff>
      <xdr:row>65</xdr:row>
      <xdr:rowOff>64771</xdr:rowOff>
    </xdr:to>
    <xdr:pic>
      <xdr:nvPicPr>
        <xdr:cNvPr id="3" name="Imagen 2" descr="Imagen que contiene Gráfico de líneas&#10;&#10;Descripción generada automáticamente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144468" y="8973457"/>
          <a:ext cx="4618174" cy="3035664"/>
        </a:xfrm>
        <a:prstGeom prst="rect">
          <a:avLst/>
        </a:prstGeom>
      </xdr:spPr>
    </xdr:pic>
    <xdr:clientData/>
  </xdr:twoCellAnchor>
  <xdr:twoCellAnchor editAs="oneCell">
    <xdr:from>
      <xdr:col>16</xdr:col>
      <xdr:colOff>25400</xdr:colOff>
      <xdr:row>48</xdr:row>
      <xdr:rowOff>18597</xdr:rowOff>
    </xdr:from>
    <xdr:to>
      <xdr:col>22</xdr:col>
      <xdr:colOff>629468</xdr:colOff>
      <xdr:row>67</xdr:row>
      <xdr:rowOff>168549</xdr:rowOff>
    </xdr:to>
    <xdr:pic>
      <xdr:nvPicPr>
        <xdr:cNvPr id="4" name="Imagen 3" descr="Gráfico, Gráfico de dispersión&#10;&#10;Descripción generada automáticamente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50875" y="8886372"/>
          <a:ext cx="5395143" cy="3588477"/>
        </a:xfrm>
        <a:prstGeom prst="rect">
          <a:avLst/>
        </a:prstGeom>
      </xdr:spPr>
    </xdr:pic>
    <xdr:clientData/>
  </xdr:twoCellAnchor>
  <xdr:twoCellAnchor editAs="oneCell">
    <xdr:from>
      <xdr:col>8</xdr:col>
      <xdr:colOff>67582</xdr:colOff>
      <xdr:row>48</xdr:row>
      <xdr:rowOff>9072</xdr:rowOff>
    </xdr:from>
    <xdr:to>
      <xdr:col>14</xdr:col>
      <xdr:colOff>516981</xdr:colOff>
      <xdr:row>67</xdr:row>
      <xdr:rowOff>145054</xdr:rowOff>
    </xdr:to>
    <xdr:pic>
      <xdr:nvPicPr>
        <xdr:cNvPr id="5" name="Imagen 4" descr="Gráfico&#10;&#10;Descripción generada automáticamente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49382" y="8876847"/>
          <a:ext cx="5183324" cy="3574507"/>
        </a:xfrm>
        <a:prstGeom prst="rect">
          <a:avLst/>
        </a:prstGeom>
      </xdr:spPr>
    </xdr:pic>
    <xdr:clientData/>
  </xdr:twoCellAnchor>
  <xdr:twoCellAnchor>
    <xdr:from>
      <xdr:col>7</xdr:col>
      <xdr:colOff>845930</xdr:colOff>
      <xdr:row>27</xdr:row>
      <xdr:rowOff>2692</xdr:rowOff>
    </xdr:from>
    <xdr:to>
      <xdr:col>13</xdr:col>
      <xdr:colOff>601455</xdr:colOff>
      <xdr:row>46</xdr:row>
      <xdr:rowOff>20155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760068</xdr:colOff>
      <xdr:row>27</xdr:row>
      <xdr:rowOff>8488</xdr:rowOff>
    </xdr:from>
    <xdr:to>
      <xdr:col>6</xdr:col>
      <xdr:colOff>798168</xdr:colOff>
      <xdr:row>46</xdr:row>
      <xdr:rowOff>18222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38100</xdr:colOff>
      <xdr:row>26</xdr:row>
      <xdr:rowOff>177800</xdr:rowOff>
    </xdr:from>
    <xdr:to>
      <xdr:col>21</xdr:col>
      <xdr:colOff>590550</xdr:colOff>
      <xdr:row>46</xdr:row>
      <xdr:rowOff>17463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438150</xdr:colOff>
      <xdr:row>54</xdr:row>
      <xdr:rowOff>66675</xdr:rowOff>
    </xdr:from>
    <xdr:to>
      <xdr:col>29</xdr:col>
      <xdr:colOff>650289</xdr:colOff>
      <xdr:row>77</xdr:row>
      <xdr:rowOff>78006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1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30</xdr:row>
      <xdr:rowOff>0</xdr:rowOff>
    </xdr:from>
    <xdr:to>
      <xdr:col>21</xdr:col>
      <xdr:colOff>238314</xdr:colOff>
      <xdr:row>53</xdr:row>
      <xdr:rowOff>9525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1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1</xdr:row>
      <xdr:rowOff>0</xdr:rowOff>
    </xdr:from>
    <xdr:to>
      <xdr:col>11</xdr:col>
      <xdr:colOff>153417</xdr:colOff>
      <xdr:row>27</xdr:row>
      <xdr:rowOff>926</xdr:rowOff>
    </xdr:to>
    <xdr:pic>
      <xdr:nvPicPr>
        <xdr:cNvPr id="52" name="Imagen 51">
          <a:extLst>
            <a:ext uri="{FF2B5EF4-FFF2-40B4-BE49-F238E27FC236}">
              <a16:creationId xmlns:a16="http://schemas.microsoft.com/office/drawing/2014/main" id="{00000000-0008-0000-16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29118" y="179294"/>
          <a:ext cx="8337176" cy="4719723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1</xdr:row>
      <xdr:rowOff>0</xdr:rowOff>
    </xdr:from>
    <xdr:to>
      <xdr:col>20</xdr:col>
      <xdr:colOff>158048</xdr:colOff>
      <xdr:row>25</xdr:row>
      <xdr:rowOff>162785</xdr:rowOff>
    </xdr:to>
    <xdr:grpSp>
      <xdr:nvGrpSpPr>
        <xdr:cNvPr id="75" name="Grupo 74">
          <a:extLst>
            <a:ext uri="{FF2B5EF4-FFF2-40B4-BE49-F238E27FC236}">
              <a16:creationId xmlns:a16="http://schemas.microsoft.com/office/drawing/2014/main" id="{00000000-0008-0000-1600-00004B000000}"/>
            </a:ext>
          </a:extLst>
        </xdr:cNvPr>
        <xdr:cNvGrpSpPr/>
      </xdr:nvGrpSpPr>
      <xdr:grpSpPr>
        <a:xfrm>
          <a:off x="20808950" y="184150"/>
          <a:ext cx="4888798" cy="4633185"/>
          <a:chOff x="3020568" y="659368"/>
          <a:chExt cx="4898136" cy="4465844"/>
        </a:xfrm>
      </xdr:grpSpPr>
      <xdr:sp macro="" textlink="">
        <xdr:nvSpPr>
          <xdr:cNvPr id="76" name="Rectángulo 75">
            <a:extLst>
              <a:ext uri="{FF2B5EF4-FFF2-40B4-BE49-F238E27FC236}">
                <a16:creationId xmlns:a16="http://schemas.microsoft.com/office/drawing/2014/main" id="{00000000-0008-0000-1600-00004C000000}"/>
              </a:ext>
            </a:extLst>
          </xdr:cNvPr>
          <xdr:cNvSpPr/>
        </xdr:nvSpPr>
        <xdr:spPr>
          <a:xfrm>
            <a:off x="4367784" y="722376"/>
            <a:ext cx="1728216" cy="612648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CL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MX">
                <a:solidFill>
                  <a:schemeClr val="tx1"/>
                </a:solidFill>
                <a:latin typeface="Source Sans Pro" panose="020B0503030403020204" pitchFamily="34" charset="0"/>
              </a:rPr>
              <a:t>1ra Etapa 1</a:t>
            </a:r>
            <a:endParaRPr lang="es-CL">
              <a:solidFill>
                <a:schemeClr val="tx1"/>
              </a:solidFill>
              <a:latin typeface="Source Sans Pro" panose="020B0503030403020204" pitchFamily="34" charset="0"/>
            </a:endParaRPr>
          </a:p>
        </xdr:txBody>
      </xdr:sp>
      <xdr:sp macro="" textlink="">
        <xdr:nvSpPr>
          <xdr:cNvPr id="77" name="Rectángulo 76">
            <a:extLst>
              <a:ext uri="{FF2B5EF4-FFF2-40B4-BE49-F238E27FC236}">
                <a16:creationId xmlns:a16="http://schemas.microsoft.com/office/drawing/2014/main" id="{00000000-0008-0000-1600-00004D000000}"/>
              </a:ext>
            </a:extLst>
          </xdr:cNvPr>
          <xdr:cNvSpPr/>
        </xdr:nvSpPr>
        <xdr:spPr>
          <a:xfrm>
            <a:off x="4367784" y="1981200"/>
            <a:ext cx="1728216" cy="612648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CL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MX">
                <a:solidFill>
                  <a:schemeClr val="tx1"/>
                </a:solidFill>
                <a:latin typeface="Source Sans Pro" panose="020B0503030403020204" pitchFamily="34" charset="0"/>
              </a:rPr>
              <a:t>1ra Etapa 2</a:t>
            </a:r>
            <a:endParaRPr lang="es-CL">
              <a:solidFill>
                <a:schemeClr val="tx1"/>
              </a:solidFill>
              <a:latin typeface="Source Sans Pro" panose="020B0503030403020204" pitchFamily="34" charset="0"/>
            </a:endParaRPr>
          </a:p>
        </xdr:txBody>
      </xdr:sp>
      <xdr:sp macro="" textlink="">
        <xdr:nvSpPr>
          <xdr:cNvPr id="78" name="Rectángulo 77">
            <a:extLst>
              <a:ext uri="{FF2B5EF4-FFF2-40B4-BE49-F238E27FC236}">
                <a16:creationId xmlns:a16="http://schemas.microsoft.com/office/drawing/2014/main" id="{00000000-0008-0000-1600-00004E000000}"/>
              </a:ext>
            </a:extLst>
          </xdr:cNvPr>
          <xdr:cNvSpPr/>
        </xdr:nvSpPr>
        <xdr:spPr>
          <a:xfrm>
            <a:off x="4367784" y="3240024"/>
            <a:ext cx="1728216" cy="612648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CL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MX">
                <a:solidFill>
                  <a:schemeClr val="tx1"/>
                </a:solidFill>
                <a:latin typeface="Source Sans Pro" panose="020B0503030403020204" pitchFamily="34" charset="0"/>
              </a:rPr>
              <a:t>1ra Etapa 3</a:t>
            </a:r>
            <a:endParaRPr lang="es-CL">
              <a:solidFill>
                <a:schemeClr val="tx1"/>
              </a:solidFill>
              <a:latin typeface="Source Sans Pro" panose="020B0503030403020204" pitchFamily="34" charset="0"/>
            </a:endParaRPr>
          </a:p>
        </xdr:txBody>
      </xdr:sp>
      <xdr:grpSp>
        <xdr:nvGrpSpPr>
          <xdr:cNvPr id="79" name="Grupo 78">
            <a:extLst>
              <a:ext uri="{FF2B5EF4-FFF2-40B4-BE49-F238E27FC236}">
                <a16:creationId xmlns:a16="http://schemas.microsoft.com/office/drawing/2014/main" id="{00000000-0008-0000-1600-00004F000000}"/>
              </a:ext>
            </a:extLst>
          </xdr:cNvPr>
          <xdr:cNvGrpSpPr/>
        </xdr:nvGrpSpPr>
        <xdr:grpSpPr>
          <a:xfrm>
            <a:off x="6096000" y="1028700"/>
            <a:ext cx="1822704" cy="2531364"/>
            <a:chOff x="6096000" y="1028700"/>
            <a:chExt cx="2005584" cy="2531364"/>
          </a:xfrm>
        </xdr:grpSpPr>
        <xdr:cxnSp macro="">
          <xdr:nvCxnSpPr>
            <xdr:cNvPr id="96" name="Conector recto de flecha 95">
              <a:extLst>
                <a:ext uri="{FF2B5EF4-FFF2-40B4-BE49-F238E27FC236}">
                  <a16:creationId xmlns:a16="http://schemas.microsoft.com/office/drawing/2014/main" id="{00000000-0008-0000-1600-000060000000}"/>
                </a:ext>
              </a:extLst>
            </xdr:cNvPr>
            <xdr:cNvCxnSpPr>
              <a:stCxn id="76" idx="3"/>
            </xdr:cNvCxnSpPr>
          </xdr:nvCxnSpPr>
          <xdr:spPr>
            <a:xfrm>
              <a:off x="6096000" y="1028700"/>
              <a:ext cx="2005584" cy="13716"/>
            </a:xfrm>
            <a:prstGeom prst="straightConnector1">
              <a:avLst/>
            </a:prstGeom>
            <a:ln>
              <a:solidFill>
                <a:schemeClr val="tx1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7" name="Conector recto de flecha 96">
              <a:extLst>
                <a:ext uri="{FF2B5EF4-FFF2-40B4-BE49-F238E27FC236}">
                  <a16:creationId xmlns:a16="http://schemas.microsoft.com/office/drawing/2014/main" id="{00000000-0008-0000-1600-000061000000}"/>
                </a:ext>
              </a:extLst>
            </xdr:cNvPr>
            <xdr:cNvCxnSpPr>
              <a:cxnSpLocks/>
            </xdr:cNvCxnSpPr>
          </xdr:nvCxnSpPr>
          <xdr:spPr>
            <a:xfrm>
              <a:off x="6096000" y="2287524"/>
              <a:ext cx="2005584" cy="13716"/>
            </a:xfrm>
            <a:prstGeom prst="straightConnector1">
              <a:avLst/>
            </a:prstGeom>
            <a:ln>
              <a:solidFill>
                <a:schemeClr val="tx1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8" name="Conector recto de flecha 97">
              <a:extLst>
                <a:ext uri="{FF2B5EF4-FFF2-40B4-BE49-F238E27FC236}">
                  <a16:creationId xmlns:a16="http://schemas.microsoft.com/office/drawing/2014/main" id="{00000000-0008-0000-1600-000062000000}"/>
                </a:ext>
              </a:extLst>
            </xdr:cNvPr>
            <xdr:cNvCxnSpPr>
              <a:cxnSpLocks/>
            </xdr:cNvCxnSpPr>
          </xdr:nvCxnSpPr>
          <xdr:spPr>
            <a:xfrm>
              <a:off x="6096000" y="3546348"/>
              <a:ext cx="2005584" cy="13716"/>
            </a:xfrm>
            <a:prstGeom prst="straightConnector1">
              <a:avLst/>
            </a:prstGeom>
            <a:ln>
              <a:solidFill>
                <a:schemeClr val="tx1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80" name="CuadroTexto 10">
            <a:extLst>
              <a:ext uri="{FF2B5EF4-FFF2-40B4-BE49-F238E27FC236}">
                <a16:creationId xmlns:a16="http://schemas.microsoft.com/office/drawing/2014/main" id="{00000000-0008-0000-1600-000050000000}"/>
              </a:ext>
            </a:extLst>
          </xdr:cNvPr>
          <xdr:cNvSpPr txBox="1"/>
        </xdr:nvSpPr>
        <xdr:spPr>
          <a:xfrm>
            <a:off x="6617660" y="659368"/>
            <a:ext cx="779381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CL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>
                <a:latin typeface="Source Sans Pro" panose="020B0503030403020204" pitchFamily="34" charset="0"/>
                <a:ea typeface="Source Sans Pro" panose="020B0503030403020204" pitchFamily="34" charset="0"/>
              </a:rPr>
              <a:t>Cola 1</a:t>
            </a:r>
            <a:endParaRPr lang="es-CL">
              <a:latin typeface="Source Sans Pro" panose="020B0503030403020204" pitchFamily="34" charset="0"/>
              <a:ea typeface="Source Sans Pro" panose="020B0503030403020204" pitchFamily="34" charset="0"/>
            </a:endParaRPr>
          </a:p>
        </xdr:txBody>
      </xdr:sp>
      <xdr:sp macro="" textlink="">
        <xdr:nvSpPr>
          <xdr:cNvPr id="81" name="CuadroTexto 11">
            <a:extLst>
              <a:ext uri="{FF2B5EF4-FFF2-40B4-BE49-F238E27FC236}">
                <a16:creationId xmlns:a16="http://schemas.microsoft.com/office/drawing/2014/main" id="{00000000-0008-0000-1600-000051000000}"/>
              </a:ext>
            </a:extLst>
          </xdr:cNvPr>
          <xdr:cNvSpPr txBox="1"/>
        </xdr:nvSpPr>
        <xdr:spPr>
          <a:xfrm>
            <a:off x="6617659" y="1931908"/>
            <a:ext cx="779381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CL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>
                <a:latin typeface="Source Sans Pro" panose="020B0503030403020204" pitchFamily="34" charset="0"/>
                <a:ea typeface="Source Sans Pro" panose="020B0503030403020204" pitchFamily="34" charset="0"/>
              </a:rPr>
              <a:t>Cola 2</a:t>
            </a:r>
            <a:endParaRPr lang="es-CL">
              <a:latin typeface="Source Sans Pro" panose="020B0503030403020204" pitchFamily="34" charset="0"/>
              <a:ea typeface="Source Sans Pro" panose="020B0503030403020204" pitchFamily="34" charset="0"/>
            </a:endParaRPr>
          </a:p>
        </xdr:txBody>
      </xdr:sp>
      <xdr:sp macro="" textlink="">
        <xdr:nvSpPr>
          <xdr:cNvPr id="82" name="CuadroTexto 12">
            <a:extLst>
              <a:ext uri="{FF2B5EF4-FFF2-40B4-BE49-F238E27FC236}">
                <a16:creationId xmlns:a16="http://schemas.microsoft.com/office/drawing/2014/main" id="{00000000-0008-0000-1600-000052000000}"/>
              </a:ext>
            </a:extLst>
          </xdr:cNvPr>
          <xdr:cNvSpPr txBox="1"/>
        </xdr:nvSpPr>
        <xdr:spPr>
          <a:xfrm>
            <a:off x="6617658" y="3190732"/>
            <a:ext cx="779381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CL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>
                <a:latin typeface="Source Sans Pro" panose="020B0503030403020204" pitchFamily="34" charset="0"/>
                <a:ea typeface="Source Sans Pro" panose="020B0503030403020204" pitchFamily="34" charset="0"/>
              </a:rPr>
              <a:t>Cola 3</a:t>
            </a:r>
            <a:endParaRPr lang="es-CL">
              <a:latin typeface="Source Sans Pro" panose="020B0503030403020204" pitchFamily="34" charset="0"/>
              <a:ea typeface="Source Sans Pro" panose="020B0503030403020204" pitchFamily="34" charset="0"/>
            </a:endParaRPr>
          </a:p>
        </xdr:txBody>
      </xdr:sp>
      <xdr:grpSp>
        <xdr:nvGrpSpPr>
          <xdr:cNvPr id="83" name="Grupo 82">
            <a:extLst>
              <a:ext uri="{FF2B5EF4-FFF2-40B4-BE49-F238E27FC236}">
                <a16:creationId xmlns:a16="http://schemas.microsoft.com/office/drawing/2014/main" id="{00000000-0008-0000-1600-000053000000}"/>
              </a:ext>
            </a:extLst>
          </xdr:cNvPr>
          <xdr:cNvGrpSpPr/>
        </xdr:nvGrpSpPr>
        <xdr:grpSpPr>
          <a:xfrm>
            <a:off x="3020568" y="4512564"/>
            <a:ext cx="4422648" cy="612648"/>
            <a:chOff x="3511296" y="4512564"/>
            <a:chExt cx="4422648" cy="612648"/>
          </a:xfrm>
        </xdr:grpSpPr>
        <xdr:sp macro="" textlink="">
          <xdr:nvSpPr>
            <xdr:cNvPr id="91" name="Rectángulo 90">
              <a:extLst>
                <a:ext uri="{FF2B5EF4-FFF2-40B4-BE49-F238E27FC236}">
                  <a16:creationId xmlns:a16="http://schemas.microsoft.com/office/drawing/2014/main" id="{00000000-0008-0000-1600-00005B000000}"/>
                </a:ext>
              </a:extLst>
            </xdr:cNvPr>
            <xdr:cNvSpPr/>
          </xdr:nvSpPr>
          <xdr:spPr>
            <a:xfrm>
              <a:off x="3511296" y="4512564"/>
              <a:ext cx="856488" cy="612648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CL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s-MX">
                  <a:solidFill>
                    <a:schemeClr val="tx1"/>
                  </a:solidFill>
                  <a:latin typeface="Source Sans Pro" panose="020B0503030403020204" pitchFamily="34" charset="0"/>
                </a:rPr>
                <a:t>Conc 1</a:t>
              </a:r>
              <a:endParaRPr lang="es-CL">
                <a:solidFill>
                  <a:schemeClr val="tx1"/>
                </a:solidFill>
                <a:latin typeface="Source Sans Pro" panose="020B0503030403020204" pitchFamily="34" charset="0"/>
              </a:endParaRPr>
            </a:p>
          </xdr:txBody>
        </xdr:sp>
        <xdr:sp macro="" textlink="">
          <xdr:nvSpPr>
            <xdr:cNvPr id="92" name="Rectángulo 91">
              <a:extLst>
                <a:ext uri="{FF2B5EF4-FFF2-40B4-BE49-F238E27FC236}">
                  <a16:creationId xmlns:a16="http://schemas.microsoft.com/office/drawing/2014/main" id="{00000000-0008-0000-1600-00005C000000}"/>
                </a:ext>
              </a:extLst>
            </xdr:cNvPr>
            <xdr:cNvSpPr/>
          </xdr:nvSpPr>
          <xdr:spPr>
            <a:xfrm>
              <a:off x="4402836" y="4512564"/>
              <a:ext cx="856488" cy="612648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CL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s-MX">
                  <a:solidFill>
                    <a:schemeClr val="tx1"/>
                  </a:solidFill>
                  <a:latin typeface="Source Sans Pro" panose="020B0503030403020204" pitchFamily="34" charset="0"/>
                </a:rPr>
                <a:t>Conc 2</a:t>
              </a:r>
              <a:endParaRPr lang="es-CL">
                <a:solidFill>
                  <a:schemeClr val="tx1"/>
                </a:solidFill>
                <a:latin typeface="Source Sans Pro" panose="020B0503030403020204" pitchFamily="34" charset="0"/>
              </a:endParaRPr>
            </a:p>
          </xdr:txBody>
        </xdr:sp>
        <xdr:sp macro="" textlink="">
          <xdr:nvSpPr>
            <xdr:cNvPr id="93" name="Rectángulo 92">
              <a:extLst>
                <a:ext uri="{FF2B5EF4-FFF2-40B4-BE49-F238E27FC236}">
                  <a16:creationId xmlns:a16="http://schemas.microsoft.com/office/drawing/2014/main" id="{00000000-0008-0000-1600-00005D000000}"/>
                </a:ext>
              </a:extLst>
            </xdr:cNvPr>
            <xdr:cNvSpPr/>
          </xdr:nvSpPr>
          <xdr:spPr>
            <a:xfrm>
              <a:off x="5294376" y="4512564"/>
              <a:ext cx="856488" cy="612648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CL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s-MX">
                  <a:solidFill>
                    <a:schemeClr val="tx1"/>
                  </a:solidFill>
                  <a:latin typeface="Source Sans Pro" panose="020B0503030403020204" pitchFamily="34" charset="0"/>
                </a:rPr>
                <a:t>Conc 3</a:t>
              </a:r>
              <a:endParaRPr lang="es-CL">
                <a:solidFill>
                  <a:schemeClr val="tx1"/>
                </a:solidFill>
                <a:latin typeface="Source Sans Pro" panose="020B0503030403020204" pitchFamily="34" charset="0"/>
              </a:endParaRPr>
            </a:p>
          </xdr:txBody>
        </xdr:sp>
        <xdr:sp macro="" textlink="">
          <xdr:nvSpPr>
            <xdr:cNvPr id="94" name="Rectángulo 93">
              <a:extLst>
                <a:ext uri="{FF2B5EF4-FFF2-40B4-BE49-F238E27FC236}">
                  <a16:creationId xmlns:a16="http://schemas.microsoft.com/office/drawing/2014/main" id="{00000000-0008-0000-1600-00005E000000}"/>
                </a:ext>
              </a:extLst>
            </xdr:cNvPr>
            <xdr:cNvSpPr/>
          </xdr:nvSpPr>
          <xdr:spPr>
            <a:xfrm>
              <a:off x="6185916" y="4512564"/>
              <a:ext cx="856488" cy="612648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CL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s-MX">
                  <a:solidFill>
                    <a:schemeClr val="tx1"/>
                  </a:solidFill>
                  <a:latin typeface="Source Sans Pro" panose="020B0503030403020204" pitchFamily="34" charset="0"/>
                </a:rPr>
                <a:t>Conc 4</a:t>
              </a:r>
              <a:endParaRPr lang="es-CL">
                <a:solidFill>
                  <a:schemeClr val="tx1"/>
                </a:solidFill>
                <a:latin typeface="Source Sans Pro" panose="020B0503030403020204" pitchFamily="34" charset="0"/>
              </a:endParaRPr>
            </a:p>
          </xdr:txBody>
        </xdr:sp>
        <xdr:sp macro="" textlink="">
          <xdr:nvSpPr>
            <xdr:cNvPr id="95" name="Rectángulo 94">
              <a:extLst>
                <a:ext uri="{FF2B5EF4-FFF2-40B4-BE49-F238E27FC236}">
                  <a16:creationId xmlns:a16="http://schemas.microsoft.com/office/drawing/2014/main" id="{00000000-0008-0000-1600-00005F000000}"/>
                </a:ext>
              </a:extLst>
            </xdr:cNvPr>
            <xdr:cNvSpPr/>
          </xdr:nvSpPr>
          <xdr:spPr>
            <a:xfrm>
              <a:off x="7077456" y="4512564"/>
              <a:ext cx="856488" cy="612648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CL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s-MX">
                  <a:solidFill>
                    <a:schemeClr val="tx1"/>
                  </a:solidFill>
                  <a:latin typeface="Source Sans Pro" panose="020B0503030403020204" pitchFamily="34" charset="0"/>
                </a:rPr>
                <a:t>Conc 5</a:t>
              </a:r>
              <a:endParaRPr lang="es-CL">
                <a:solidFill>
                  <a:schemeClr val="tx1"/>
                </a:solidFill>
                <a:latin typeface="Source Sans Pro" panose="020B0503030403020204" pitchFamily="34" charset="0"/>
              </a:endParaRPr>
            </a:p>
          </xdr:txBody>
        </xdr:sp>
      </xdr:grpSp>
      <xdr:cxnSp macro="">
        <xdr:nvCxnSpPr>
          <xdr:cNvPr id="84" name="Conector recto de flecha 83">
            <a:extLst>
              <a:ext uri="{FF2B5EF4-FFF2-40B4-BE49-F238E27FC236}">
                <a16:creationId xmlns:a16="http://schemas.microsoft.com/office/drawing/2014/main" id="{00000000-0008-0000-1600-000054000000}"/>
              </a:ext>
            </a:extLst>
          </xdr:cNvPr>
          <xdr:cNvCxnSpPr>
            <a:cxnSpLocks/>
          </xdr:cNvCxnSpPr>
        </xdr:nvCxnSpPr>
        <xdr:spPr>
          <a:xfrm>
            <a:off x="5231892" y="3852672"/>
            <a:ext cx="0" cy="545592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5" name="Conector recto de flecha 84">
            <a:extLst>
              <a:ext uri="{FF2B5EF4-FFF2-40B4-BE49-F238E27FC236}">
                <a16:creationId xmlns:a16="http://schemas.microsoft.com/office/drawing/2014/main" id="{00000000-0008-0000-1600-000055000000}"/>
              </a:ext>
            </a:extLst>
          </xdr:cNvPr>
          <xdr:cNvCxnSpPr>
            <a:cxnSpLocks/>
          </xdr:cNvCxnSpPr>
        </xdr:nvCxnSpPr>
        <xdr:spPr>
          <a:xfrm flipH="1">
            <a:off x="4443984" y="3852672"/>
            <a:ext cx="565404" cy="545592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6" name="Conector recto de flecha 85">
            <a:extLst>
              <a:ext uri="{FF2B5EF4-FFF2-40B4-BE49-F238E27FC236}">
                <a16:creationId xmlns:a16="http://schemas.microsoft.com/office/drawing/2014/main" id="{00000000-0008-0000-1600-000056000000}"/>
              </a:ext>
            </a:extLst>
          </xdr:cNvPr>
          <xdr:cNvCxnSpPr>
            <a:cxnSpLocks/>
          </xdr:cNvCxnSpPr>
        </xdr:nvCxnSpPr>
        <xdr:spPr>
          <a:xfrm flipH="1">
            <a:off x="3448812" y="3852672"/>
            <a:ext cx="1277874" cy="545592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7" name="Conector recto de flecha 86">
            <a:extLst>
              <a:ext uri="{FF2B5EF4-FFF2-40B4-BE49-F238E27FC236}">
                <a16:creationId xmlns:a16="http://schemas.microsoft.com/office/drawing/2014/main" id="{00000000-0008-0000-1600-000057000000}"/>
              </a:ext>
            </a:extLst>
          </xdr:cNvPr>
          <xdr:cNvCxnSpPr>
            <a:cxnSpLocks/>
          </xdr:cNvCxnSpPr>
        </xdr:nvCxnSpPr>
        <xdr:spPr>
          <a:xfrm>
            <a:off x="5454397" y="3852672"/>
            <a:ext cx="565404" cy="545592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8" name="Conector recto de flecha 87">
            <a:extLst>
              <a:ext uri="{FF2B5EF4-FFF2-40B4-BE49-F238E27FC236}">
                <a16:creationId xmlns:a16="http://schemas.microsoft.com/office/drawing/2014/main" id="{00000000-0008-0000-1600-000058000000}"/>
              </a:ext>
            </a:extLst>
          </xdr:cNvPr>
          <xdr:cNvCxnSpPr>
            <a:cxnSpLocks/>
          </xdr:cNvCxnSpPr>
        </xdr:nvCxnSpPr>
        <xdr:spPr>
          <a:xfrm>
            <a:off x="5737099" y="3852672"/>
            <a:ext cx="1277874" cy="545592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9" name="Conector recto de flecha 88">
            <a:extLst>
              <a:ext uri="{FF2B5EF4-FFF2-40B4-BE49-F238E27FC236}">
                <a16:creationId xmlns:a16="http://schemas.microsoft.com/office/drawing/2014/main" id="{00000000-0008-0000-1600-000059000000}"/>
              </a:ext>
            </a:extLst>
          </xdr:cNvPr>
          <xdr:cNvCxnSpPr>
            <a:cxnSpLocks/>
          </xdr:cNvCxnSpPr>
        </xdr:nvCxnSpPr>
        <xdr:spPr>
          <a:xfrm>
            <a:off x="5231892" y="1335024"/>
            <a:ext cx="0" cy="545592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0" name="Conector recto de flecha 89">
            <a:extLst>
              <a:ext uri="{FF2B5EF4-FFF2-40B4-BE49-F238E27FC236}">
                <a16:creationId xmlns:a16="http://schemas.microsoft.com/office/drawing/2014/main" id="{00000000-0008-0000-1600-00005A000000}"/>
              </a:ext>
            </a:extLst>
          </xdr:cNvPr>
          <xdr:cNvCxnSpPr>
            <a:cxnSpLocks/>
          </xdr:cNvCxnSpPr>
        </xdr:nvCxnSpPr>
        <xdr:spPr>
          <a:xfrm>
            <a:off x="5231892" y="2593848"/>
            <a:ext cx="0" cy="545592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21</xdr:col>
      <xdr:colOff>241590</xdr:colOff>
      <xdr:row>30</xdr:row>
      <xdr:rowOff>0</xdr:rowOff>
    </xdr:from>
    <xdr:to>
      <xdr:col>29</xdr:col>
      <xdr:colOff>507209</xdr:colOff>
      <xdr:row>53</xdr:row>
      <xdr:rowOff>8255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57150</xdr:colOff>
      <xdr:row>141</xdr:row>
      <xdr:rowOff>104775</xdr:rowOff>
    </xdr:from>
    <xdr:to>
      <xdr:col>30</xdr:col>
      <xdr:colOff>269289</xdr:colOff>
      <xdr:row>164</xdr:row>
      <xdr:rowOff>116106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115</xdr:row>
      <xdr:rowOff>0</xdr:rowOff>
    </xdr:from>
    <xdr:to>
      <xdr:col>21</xdr:col>
      <xdr:colOff>238314</xdr:colOff>
      <xdr:row>138</xdr:row>
      <xdr:rowOff>9525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251115</xdr:colOff>
      <xdr:row>115</xdr:row>
      <xdr:rowOff>0</xdr:rowOff>
    </xdr:from>
    <xdr:to>
      <xdr:col>29</xdr:col>
      <xdr:colOff>516734</xdr:colOff>
      <xdr:row>138</xdr:row>
      <xdr:rowOff>8255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0</xdr:colOff>
      <xdr:row>86</xdr:row>
      <xdr:rowOff>0</xdr:rowOff>
    </xdr:from>
    <xdr:to>
      <xdr:col>21</xdr:col>
      <xdr:colOff>235139</xdr:colOff>
      <xdr:row>109</xdr:row>
      <xdr:rowOff>6350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47</xdr:row>
      <xdr:rowOff>111125</xdr:rowOff>
    </xdr:from>
    <xdr:to>
      <xdr:col>7</xdr:col>
      <xdr:colOff>360863</xdr:colOff>
      <xdr:row>70</xdr:row>
      <xdr:rowOff>31568</xdr:rowOff>
    </xdr:to>
    <xdr:pic>
      <xdr:nvPicPr>
        <xdr:cNvPr id="2" name="Imagen 1" descr="Gráfico, Gráfico de dispersión&#10;&#10;Descripción generada automáticamente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0" y="8797925"/>
          <a:ext cx="5504363" cy="4082868"/>
        </a:xfrm>
        <a:prstGeom prst="rect">
          <a:avLst/>
        </a:prstGeom>
      </xdr:spPr>
    </xdr:pic>
    <xdr:clientData/>
  </xdr:twoCellAnchor>
  <xdr:twoCellAnchor editAs="oneCell">
    <xdr:from>
      <xdr:col>24</xdr:col>
      <xdr:colOff>503918</xdr:colOff>
      <xdr:row>48</xdr:row>
      <xdr:rowOff>105682</xdr:rowOff>
    </xdr:from>
    <xdr:to>
      <xdr:col>30</xdr:col>
      <xdr:colOff>550092</xdr:colOff>
      <xdr:row>65</xdr:row>
      <xdr:rowOff>67946</xdr:rowOff>
    </xdr:to>
    <xdr:pic>
      <xdr:nvPicPr>
        <xdr:cNvPr id="3" name="Imagen 2" descr="Imagen que contiene Gráfico de líneas&#10;&#10;Descripción generada automáticamente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147643" y="8970282"/>
          <a:ext cx="4614999" cy="3042014"/>
        </a:xfrm>
        <a:prstGeom prst="rect">
          <a:avLst/>
        </a:prstGeom>
      </xdr:spPr>
    </xdr:pic>
    <xdr:clientData/>
  </xdr:twoCellAnchor>
  <xdr:twoCellAnchor editAs="oneCell">
    <xdr:from>
      <xdr:col>16</xdr:col>
      <xdr:colOff>25400</xdr:colOff>
      <xdr:row>48</xdr:row>
      <xdr:rowOff>18597</xdr:rowOff>
    </xdr:from>
    <xdr:to>
      <xdr:col>22</xdr:col>
      <xdr:colOff>626293</xdr:colOff>
      <xdr:row>67</xdr:row>
      <xdr:rowOff>168549</xdr:rowOff>
    </xdr:to>
    <xdr:pic>
      <xdr:nvPicPr>
        <xdr:cNvPr id="4" name="Imagen 3" descr="Gráfico, Gráfico de dispersión&#10;&#10;Descripción generada automáticamente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54050" y="8886372"/>
          <a:ext cx="5391968" cy="3588477"/>
        </a:xfrm>
        <a:prstGeom prst="rect">
          <a:avLst/>
        </a:prstGeom>
      </xdr:spPr>
    </xdr:pic>
    <xdr:clientData/>
  </xdr:twoCellAnchor>
  <xdr:twoCellAnchor editAs="oneCell">
    <xdr:from>
      <xdr:col>8</xdr:col>
      <xdr:colOff>67582</xdr:colOff>
      <xdr:row>48</xdr:row>
      <xdr:rowOff>9072</xdr:rowOff>
    </xdr:from>
    <xdr:to>
      <xdr:col>14</xdr:col>
      <xdr:colOff>513806</xdr:colOff>
      <xdr:row>67</xdr:row>
      <xdr:rowOff>141879</xdr:rowOff>
    </xdr:to>
    <xdr:pic>
      <xdr:nvPicPr>
        <xdr:cNvPr id="5" name="Imagen 4" descr="Gráfico&#10;&#10;Descripción generada automáticamente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46207" y="8880022"/>
          <a:ext cx="5186499" cy="3568157"/>
        </a:xfrm>
        <a:prstGeom prst="rect">
          <a:avLst/>
        </a:prstGeom>
      </xdr:spPr>
    </xdr:pic>
    <xdr:clientData/>
  </xdr:twoCellAnchor>
  <xdr:twoCellAnchor>
    <xdr:from>
      <xdr:col>7</xdr:col>
      <xdr:colOff>845930</xdr:colOff>
      <xdr:row>27</xdr:row>
      <xdr:rowOff>2692</xdr:rowOff>
    </xdr:from>
    <xdr:to>
      <xdr:col>13</xdr:col>
      <xdr:colOff>601455</xdr:colOff>
      <xdr:row>46</xdr:row>
      <xdr:rowOff>20155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760068</xdr:colOff>
      <xdr:row>27</xdr:row>
      <xdr:rowOff>8488</xdr:rowOff>
    </xdr:from>
    <xdr:to>
      <xdr:col>6</xdr:col>
      <xdr:colOff>798168</xdr:colOff>
      <xdr:row>46</xdr:row>
      <xdr:rowOff>18222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38100</xdr:colOff>
      <xdr:row>26</xdr:row>
      <xdr:rowOff>177800</xdr:rowOff>
    </xdr:from>
    <xdr:to>
      <xdr:col>21</xdr:col>
      <xdr:colOff>590550</xdr:colOff>
      <xdr:row>46</xdr:row>
      <xdr:rowOff>17463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30</xdr:row>
      <xdr:rowOff>0</xdr:rowOff>
    </xdr:from>
    <xdr:to>
      <xdr:col>21</xdr:col>
      <xdr:colOff>238314</xdr:colOff>
      <xdr:row>53</xdr:row>
      <xdr:rowOff>9525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20</xdr:col>
      <xdr:colOff>161223</xdr:colOff>
      <xdr:row>25</xdr:row>
      <xdr:rowOff>159610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GrpSpPr/>
      </xdr:nvGrpSpPr>
      <xdr:grpSpPr>
        <a:xfrm>
          <a:off x="19530786" y="181429"/>
          <a:ext cx="4896508" cy="4568324"/>
          <a:chOff x="3020568" y="659368"/>
          <a:chExt cx="4898136" cy="4465844"/>
        </a:xfrm>
      </xdr:grpSpPr>
      <xdr:sp macro="" textlink="">
        <xdr:nvSpPr>
          <xdr:cNvPr id="6" name="Rectángulo 5">
            <a:extLst>
              <a:ext uri="{FF2B5EF4-FFF2-40B4-BE49-F238E27FC236}">
                <a16:creationId xmlns:a16="http://schemas.microsoft.com/office/drawing/2014/main" id="{00000000-0008-0000-1800-000006000000}"/>
              </a:ext>
            </a:extLst>
          </xdr:cNvPr>
          <xdr:cNvSpPr/>
        </xdr:nvSpPr>
        <xdr:spPr>
          <a:xfrm>
            <a:off x="4367784" y="722376"/>
            <a:ext cx="1728216" cy="612648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CL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MX">
                <a:solidFill>
                  <a:schemeClr val="tx1"/>
                </a:solidFill>
                <a:latin typeface="Source Sans Pro" panose="020B0503030403020204" pitchFamily="34" charset="0"/>
              </a:rPr>
              <a:t>1ra Etapa 1</a:t>
            </a:r>
            <a:endParaRPr lang="es-CL">
              <a:solidFill>
                <a:schemeClr val="tx1"/>
              </a:solidFill>
              <a:latin typeface="Source Sans Pro" panose="020B0503030403020204" pitchFamily="34" charset="0"/>
            </a:endParaRPr>
          </a:p>
        </xdr:txBody>
      </xdr:sp>
      <xdr:sp macro="" textlink="">
        <xdr:nvSpPr>
          <xdr:cNvPr id="7" name="Rectángulo 6">
            <a:extLst>
              <a:ext uri="{FF2B5EF4-FFF2-40B4-BE49-F238E27FC236}">
                <a16:creationId xmlns:a16="http://schemas.microsoft.com/office/drawing/2014/main" id="{00000000-0008-0000-1800-000007000000}"/>
              </a:ext>
            </a:extLst>
          </xdr:cNvPr>
          <xdr:cNvSpPr/>
        </xdr:nvSpPr>
        <xdr:spPr>
          <a:xfrm>
            <a:off x="4367784" y="1981200"/>
            <a:ext cx="1728216" cy="612648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CL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MX">
                <a:solidFill>
                  <a:schemeClr val="tx1"/>
                </a:solidFill>
                <a:latin typeface="Source Sans Pro" panose="020B0503030403020204" pitchFamily="34" charset="0"/>
              </a:rPr>
              <a:t>1ra Etapa 2</a:t>
            </a:r>
            <a:endParaRPr lang="es-CL">
              <a:solidFill>
                <a:schemeClr val="tx1"/>
              </a:solidFill>
              <a:latin typeface="Source Sans Pro" panose="020B0503030403020204" pitchFamily="34" charset="0"/>
            </a:endParaRPr>
          </a:p>
        </xdr:txBody>
      </xdr:sp>
      <xdr:sp macro="" textlink="">
        <xdr:nvSpPr>
          <xdr:cNvPr id="8" name="Rectángulo 7">
            <a:extLst>
              <a:ext uri="{FF2B5EF4-FFF2-40B4-BE49-F238E27FC236}">
                <a16:creationId xmlns:a16="http://schemas.microsoft.com/office/drawing/2014/main" id="{00000000-0008-0000-1800-000008000000}"/>
              </a:ext>
            </a:extLst>
          </xdr:cNvPr>
          <xdr:cNvSpPr/>
        </xdr:nvSpPr>
        <xdr:spPr>
          <a:xfrm>
            <a:off x="4367784" y="3240024"/>
            <a:ext cx="1728216" cy="612648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CL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MX">
                <a:solidFill>
                  <a:schemeClr val="tx1"/>
                </a:solidFill>
                <a:latin typeface="Source Sans Pro" panose="020B0503030403020204" pitchFamily="34" charset="0"/>
              </a:rPr>
              <a:t>1ra Etapa 3</a:t>
            </a:r>
            <a:endParaRPr lang="es-CL">
              <a:solidFill>
                <a:schemeClr val="tx1"/>
              </a:solidFill>
              <a:latin typeface="Source Sans Pro" panose="020B0503030403020204" pitchFamily="34" charset="0"/>
            </a:endParaRPr>
          </a:p>
        </xdr:txBody>
      </xdr:sp>
      <xdr:grpSp>
        <xdr:nvGrpSpPr>
          <xdr:cNvPr id="9" name="Grupo 8">
            <a:extLst>
              <a:ext uri="{FF2B5EF4-FFF2-40B4-BE49-F238E27FC236}">
                <a16:creationId xmlns:a16="http://schemas.microsoft.com/office/drawing/2014/main" id="{00000000-0008-0000-1800-000009000000}"/>
              </a:ext>
            </a:extLst>
          </xdr:cNvPr>
          <xdr:cNvGrpSpPr/>
        </xdr:nvGrpSpPr>
        <xdr:grpSpPr>
          <a:xfrm>
            <a:off x="6096000" y="1028700"/>
            <a:ext cx="1822704" cy="2531364"/>
            <a:chOff x="6096000" y="1028700"/>
            <a:chExt cx="2005584" cy="2531364"/>
          </a:xfrm>
        </xdr:grpSpPr>
        <xdr:cxnSp macro="">
          <xdr:nvCxnSpPr>
            <xdr:cNvPr id="26" name="Conector recto de flecha 25">
              <a:extLst>
                <a:ext uri="{FF2B5EF4-FFF2-40B4-BE49-F238E27FC236}">
                  <a16:creationId xmlns:a16="http://schemas.microsoft.com/office/drawing/2014/main" id="{00000000-0008-0000-1800-00001A000000}"/>
                </a:ext>
              </a:extLst>
            </xdr:cNvPr>
            <xdr:cNvCxnSpPr>
              <a:stCxn id="6" idx="3"/>
            </xdr:cNvCxnSpPr>
          </xdr:nvCxnSpPr>
          <xdr:spPr>
            <a:xfrm>
              <a:off x="6096000" y="1028700"/>
              <a:ext cx="2005584" cy="13716"/>
            </a:xfrm>
            <a:prstGeom prst="straightConnector1">
              <a:avLst/>
            </a:prstGeom>
            <a:ln>
              <a:solidFill>
                <a:schemeClr val="tx1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" name="Conector recto de flecha 26">
              <a:extLst>
                <a:ext uri="{FF2B5EF4-FFF2-40B4-BE49-F238E27FC236}">
                  <a16:creationId xmlns:a16="http://schemas.microsoft.com/office/drawing/2014/main" id="{00000000-0008-0000-1800-00001B000000}"/>
                </a:ext>
              </a:extLst>
            </xdr:cNvPr>
            <xdr:cNvCxnSpPr>
              <a:cxnSpLocks/>
            </xdr:cNvCxnSpPr>
          </xdr:nvCxnSpPr>
          <xdr:spPr>
            <a:xfrm>
              <a:off x="6096000" y="2287524"/>
              <a:ext cx="2005584" cy="13716"/>
            </a:xfrm>
            <a:prstGeom prst="straightConnector1">
              <a:avLst/>
            </a:prstGeom>
            <a:ln>
              <a:solidFill>
                <a:schemeClr val="tx1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" name="Conector recto de flecha 27">
              <a:extLst>
                <a:ext uri="{FF2B5EF4-FFF2-40B4-BE49-F238E27FC236}">
                  <a16:creationId xmlns:a16="http://schemas.microsoft.com/office/drawing/2014/main" id="{00000000-0008-0000-1800-00001C000000}"/>
                </a:ext>
              </a:extLst>
            </xdr:cNvPr>
            <xdr:cNvCxnSpPr>
              <a:cxnSpLocks/>
            </xdr:cNvCxnSpPr>
          </xdr:nvCxnSpPr>
          <xdr:spPr>
            <a:xfrm>
              <a:off x="6096000" y="3546348"/>
              <a:ext cx="2005584" cy="13716"/>
            </a:xfrm>
            <a:prstGeom prst="straightConnector1">
              <a:avLst/>
            </a:prstGeom>
            <a:ln>
              <a:solidFill>
                <a:schemeClr val="tx1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10" name="CuadroTexto 10">
            <a:extLst>
              <a:ext uri="{FF2B5EF4-FFF2-40B4-BE49-F238E27FC236}">
                <a16:creationId xmlns:a16="http://schemas.microsoft.com/office/drawing/2014/main" id="{00000000-0008-0000-1800-00000A000000}"/>
              </a:ext>
            </a:extLst>
          </xdr:cNvPr>
          <xdr:cNvSpPr txBox="1"/>
        </xdr:nvSpPr>
        <xdr:spPr>
          <a:xfrm>
            <a:off x="6617660" y="659368"/>
            <a:ext cx="779381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CL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>
                <a:latin typeface="Source Sans Pro" panose="020B0503030403020204" pitchFamily="34" charset="0"/>
                <a:ea typeface="Source Sans Pro" panose="020B0503030403020204" pitchFamily="34" charset="0"/>
              </a:rPr>
              <a:t>Cola 1</a:t>
            </a:r>
            <a:endParaRPr lang="es-CL">
              <a:latin typeface="Source Sans Pro" panose="020B0503030403020204" pitchFamily="34" charset="0"/>
              <a:ea typeface="Source Sans Pro" panose="020B0503030403020204" pitchFamily="34" charset="0"/>
            </a:endParaRPr>
          </a:p>
        </xdr:txBody>
      </xdr:sp>
      <xdr:sp macro="" textlink="">
        <xdr:nvSpPr>
          <xdr:cNvPr id="11" name="CuadroTexto 11">
            <a:extLst>
              <a:ext uri="{FF2B5EF4-FFF2-40B4-BE49-F238E27FC236}">
                <a16:creationId xmlns:a16="http://schemas.microsoft.com/office/drawing/2014/main" id="{00000000-0008-0000-1800-00000B000000}"/>
              </a:ext>
            </a:extLst>
          </xdr:cNvPr>
          <xdr:cNvSpPr txBox="1"/>
        </xdr:nvSpPr>
        <xdr:spPr>
          <a:xfrm>
            <a:off x="6617659" y="1931908"/>
            <a:ext cx="779381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CL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>
                <a:latin typeface="Source Sans Pro" panose="020B0503030403020204" pitchFamily="34" charset="0"/>
                <a:ea typeface="Source Sans Pro" panose="020B0503030403020204" pitchFamily="34" charset="0"/>
              </a:rPr>
              <a:t>Cola 2</a:t>
            </a:r>
            <a:endParaRPr lang="es-CL">
              <a:latin typeface="Source Sans Pro" panose="020B0503030403020204" pitchFamily="34" charset="0"/>
              <a:ea typeface="Source Sans Pro" panose="020B0503030403020204" pitchFamily="34" charset="0"/>
            </a:endParaRPr>
          </a:p>
        </xdr:txBody>
      </xdr:sp>
      <xdr:sp macro="" textlink="">
        <xdr:nvSpPr>
          <xdr:cNvPr id="12" name="CuadroTexto 12">
            <a:extLst>
              <a:ext uri="{FF2B5EF4-FFF2-40B4-BE49-F238E27FC236}">
                <a16:creationId xmlns:a16="http://schemas.microsoft.com/office/drawing/2014/main" id="{00000000-0008-0000-1800-00000C000000}"/>
              </a:ext>
            </a:extLst>
          </xdr:cNvPr>
          <xdr:cNvSpPr txBox="1"/>
        </xdr:nvSpPr>
        <xdr:spPr>
          <a:xfrm>
            <a:off x="6617658" y="3190732"/>
            <a:ext cx="779381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CL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>
                <a:latin typeface="Source Sans Pro" panose="020B0503030403020204" pitchFamily="34" charset="0"/>
                <a:ea typeface="Source Sans Pro" panose="020B0503030403020204" pitchFamily="34" charset="0"/>
              </a:rPr>
              <a:t>Cola 3</a:t>
            </a:r>
            <a:endParaRPr lang="es-CL">
              <a:latin typeface="Source Sans Pro" panose="020B0503030403020204" pitchFamily="34" charset="0"/>
              <a:ea typeface="Source Sans Pro" panose="020B0503030403020204" pitchFamily="34" charset="0"/>
            </a:endParaRPr>
          </a:p>
        </xdr:txBody>
      </xdr:sp>
      <xdr:grpSp>
        <xdr:nvGrpSpPr>
          <xdr:cNvPr id="13" name="Grupo 12">
            <a:extLst>
              <a:ext uri="{FF2B5EF4-FFF2-40B4-BE49-F238E27FC236}">
                <a16:creationId xmlns:a16="http://schemas.microsoft.com/office/drawing/2014/main" id="{00000000-0008-0000-1800-00000D000000}"/>
              </a:ext>
            </a:extLst>
          </xdr:cNvPr>
          <xdr:cNvGrpSpPr/>
        </xdr:nvGrpSpPr>
        <xdr:grpSpPr>
          <a:xfrm>
            <a:off x="3020568" y="4512564"/>
            <a:ext cx="4422648" cy="612648"/>
            <a:chOff x="3511296" y="4512564"/>
            <a:chExt cx="4422648" cy="612648"/>
          </a:xfrm>
        </xdr:grpSpPr>
        <xdr:sp macro="" textlink="">
          <xdr:nvSpPr>
            <xdr:cNvPr id="21" name="Rectángulo 20">
              <a:extLst>
                <a:ext uri="{FF2B5EF4-FFF2-40B4-BE49-F238E27FC236}">
                  <a16:creationId xmlns:a16="http://schemas.microsoft.com/office/drawing/2014/main" id="{00000000-0008-0000-1800-000015000000}"/>
                </a:ext>
              </a:extLst>
            </xdr:cNvPr>
            <xdr:cNvSpPr/>
          </xdr:nvSpPr>
          <xdr:spPr>
            <a:xfrm>
              <a:off x="3511296" y="4512564"/>
              <a:ext cx="856488" cy="612648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CL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s-MX">
                  <a:solidFill>
                    <a:schemeClr val="tx1"/>
                  </a:solidFill>
                  <a:latin typeface="Source Sans Pro" panose="020B0503030403020204" pitchFamily="34" charset="0"/>
                </a:rPr>
                <a:t>Conc 1</a:t>
              </a:r>
              <a:endParaRPr lang="es-CL">
                <a:solidFill>
                  <a:schemeClr val="tx1"/>
                </a:solidFill>
                <a:latin typeface="Source Sans Pro" panose="020B0503030403020204" pitchFamily="34" charset="0"/>
              </a:endParaRPr>
            </a:p>
          </xdr:txBody>
        </xdr:sp>
        <xdr:sp macro="" textlink="">
          <xdr:nvSpPr>
            <xdr:cNvPr id="22" name="Rectángulo 21">
              <a:extLst>
                <a:ext uri="{FF2B5EF4-FFF2-40B4-BE49-F238E27FC236}">
                  <a16:creationId xmlns:a16="http://schemas.microsoft.com/office/drawing/2014/main" id="{00000000-0008-0000-1800-000016000000}"/>
                </a:ext>
              </a:extLst>
            </xdr:cNvPr>
            <xdr:cNvSpPr/>
          </xdr:nvSpPr>
          <xdr:spPr>
            <a:xfrm>
              <a:off x="4402836" y="4512564"/>
              <a:ext cx="856488" cy="612648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CL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s-MX">
                  <a:solidFill>
                    <a:schemeClr val="tx1"/>
                  </a:solidFill>
                  <a:latin typeface="Source Sans Pro" panose="020B0503030403020204" pitchFamily="34" charset="0"/>
                </a:rPr>
                <a:t>Conc 2</a:t>
              </a:r>
              <a:endParaRPr lang="es-CL">
                <a:solidFill>
                  <a:schemeClr val="tx1"/>
                </a:solidFill>
                <a:latin typeface="Source Sans Pro" panose="020B0503030403020204" pitchFamily="34" charset="0"/>
              </a:endParaRPr>
            </a:p>
          </xdr:txBody>
        </xdr:sp>
        <xdr:sp macro="" textlink="">
          <xdr:nvSpPr>
            <xdr:cNvPr id="23" name="Rectángulo 22">
              <a:extLst>
                <a:ext uri="{FF2B5EF4-FFF2-40B4-BE49-F238E27FC236}">
                  <a16:creationId xmlns:a16="http://schemas.microsoft.com/office/drawing/2014/main" id="{00000000-0008-0000-1800-000017000000}"/>
                </a:ext>
              </a:extLst>
            </xdr:cNvPr>
            <xdr:cNvSpPr/>
          </xdr:nvSpPr>
          <xdr:spPr>
            <a:xfrm>
              <a:off x="5294376" y="4512564"/>
              <a:ext cx="856488" cy="612648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CL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s-MX">
                  <a:solidFill>
                    <a:schemeClr val="tx1"/>
                  </a:solidFill>
                  <a:latin typeface="Source Sans Pro" panose="020B0503030403020204" pitchFamily="34" charset="0"/>
                </a:rPr>
                <a:t>Conc 3</a:t>
              </a:r>
              <a:endParaRPr lang="es-CL">
                <a:solidFill>
                  <a:schemeClr val="tx1"/>
                </a:solidFill>
                <a:latin typeface="Source Sans Pro" panose="020B0503030403020204" pitchFamily="34" charset="0"/>
              </a:endParaRPr>
            </a:p>
          </xdr:txBody>
        </xdr:sp>
        <xdr:sp macro="" textlink="">
          <xdr:nvSpPr>
            <xdr:cNvPr id="24" name="Rectángulo 23">
              <a:extLst>
                <a:ext uri="{FF2B5EF4-FFF2-40B4-BE49-F238E27FC236}">
                  <a16:creationId xmlns:a16="http://schemas.microsoft.com/office/drawing/2014/main" id="{00000000-0008-0000-1800-000018000000}"/>
                </a:ext>
              </a:extLst>
            </xdr:cNvPr>
            <xdr:cNvSpPr/>
          </xdr:nvSpPr>
          <xdr:spPr>
            <a:xfrm>
              <a:off x="6185916" y="4512564"/>
              <a:ext cx="856488" cy="612648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CL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s-MX">
                  <a:solidFill>
                    <a:schemeClr val="tx1"/>
                  </a:solidFill>
                  <a:latin typeface="Source Sans Pro" panose="020B0503030403020204" pitchFamily="34" charset="0"/>
                </a:rPr>
                <a:t>Conc 4</a:t>
              </a:r>
              <a:endParaRPr lang="es-CL">
                <a:solidFill>
                  <a:schemeClr val="tx1"/>
                </a:solidFill>
                <a:latin typeface="Source Sans Pro" panose="020B0503030403020204" pitchFamily="34" charset="0"/>
              </a:endParaRPr>
            </a:p>
          </xdr:txBody>
        </xdr:sp>
        <xdr:sp macro="" textlink="">
          <xdr:nvSpPr>
            <xdr:cNvPr id="25" name="Rectángulo 24">
              <a:extLst>
                <a:ext uri="{FF2B5EF4-FFF2-40B4-BE49-F238E27FC236}">
                  <a16:creationId xmlns:a16="http://schemas.microsoft.com/office/drawing/2014/main" id="{00000000-0008-0000-1800-000019000000}"/>
                </a:ext>
              </a:extLst>
            </xdr:cNvPr>
            <xdr:cNvSpPr/>
          </xdr:nvSpPr>
          <xdr:spPr>
            <a:xfrm>
              <a:off x="7077456" y="4512564"/>
              <a:ext cx="856488" cy="612648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CL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s-MX">
                  <a:solidFill>
                    <a:schemeClr val="tx1"/>
                  </a:solidFill>
                  <a:latin typeface="Source Sans Pro" panose="020B0503030403020204" pitchFamily="34" charset="0"/>
                </a:rPr>
                <a:t>Conc 5</a:t>
              </a:r>
              <a:endParaRPr lang="es-CL">
                <a:solidFill>
                  <a:schemeClr val="tx1"/>
                </a:solidFill>
                <a:latin typeface="Source Sans Pro" panose="020B0503030403020204" pitchFamily="34" charset="0"/>
              </a:endParaRPr>
            </a:p>
          </xdr:txBody>
        </xdr:sp>
      </xdr:grpSp>
      <xdr:cxnSp macro="">
        <xdr:nvCxnSpPr>
          <xdr:cNvPr id="14" name="Conector recto de flecha 13">
            <a:extLst>
              <a:ext uri="{FF2B5EF4-FFF2-40B4-BE49-F238E27FC236}">
                <a16:creationId xmlns:a16="http://schemas.microsoft.com/office/drawing/2014/main" id="{00000000-0008-0000-1800-00000E000000}"/>
              </a:ext>
            </a:extLst>
          </xdr:cNvPr>
          <xdr:cNvCxnSpPr>
            <a:cxnSpLocks/>
          </xdr:cNvCxnSpPr>
        </xdr:nvCxnSpPr>
        <xdr:spPr>
          <a:xfrm>
            <a:off x="5231892" y="3852672"/>
            <a:ext cx="0" cy="545592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" name="Conector recto de flecha 14">
            <a:extLst>
              <a:ext uri="{FF2B5EF4-FFF2-40B4-BE49-F238E27FC236}">
                <a16:creationId xmlns:a16="http://schemas.microsoft.com/office/drawing/2014/main" id="{00000000-0008-0000-1800-00000F000000}"/>
              </a:ext>
            </a:extLst>
          </xdr:cNvPr>
          <xdr:cNvCxnSpPr>
            <a:cxnSpLocks/>
          </xdr:cNvCxnSpPr>
        </xdr:nvCxnSpPr>
        <xdr:spPr>
          <a:xfrm flipH="1">
            <a:off x="4443984" y="3852672"/>
            <a:ext cx="565404" cy="545592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Conector recto de flecha 15">
            <a:extLst>
              <a:ext uri="{FF2B5EF4-FFF2-40B4-BE49-F238E27FC236}">
                <a16:creationId xmlns:a16="http://schemas.microsoft.com/office/drawing/2014/main" id="{00000000-0008-0000-1800-000010000000}"/>
              </a:ext>
            </a:extLst>
          </xdr:cNvPr>
          <xdr:cNvCxnSpPr>
            <a:cxnSpLocks/>
          </xdr:cNvCxnSpPr>
        </xdr:nvCxnSpPr>
        <xdr:spPr>
          <a:xfrm flipH="1">
            <a:off x="3448812" y="3852672"/>
            <a:ext cx="1277874" cy="545592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Conector recto de flecha 16">
            <a:extLst>
              <a:ext uri="{FF2B5EF4-FFF2-40B4-BE49-F238E27FC236}">
                <a16:creationId xmlns:a16="http://schemas.microsoft.com/office/drawing/2014/main" id="{00000000-0008-0000-1800-000011000000}"/>
              </a:ext>
            </a:extLst>
          </xdr:cNvPr>
          <xdr:cNvCxnSpPr>
            <a:cxnSpLocks/>
          </xdr:cNvCxnSpPr>
        </xdr:nvCxnSpPr>
        <xdr:spPr>
          <a:xfrm>
            <a:off x="5454397" y="3852672"/>
            <a:ext cx="565404" cy="545592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" name="Conector recto de flecha 17">
            <a:extLst>
              <a:ext uri="{FF2B5EF4-FFF2-40B4-BE49-F238E27FC236}">
                <a16:creationId xmlns:a16="http://schemas.microsoft.com/office/drawing/2014/main" id="{00000000-0008-0000-1800-000012000000}"/>
              </a:ext>
            </a:extLst>
          </xdr:cNvPr>
          <xdr:cNvCxnSpPr>
            <a:cxnSpLocks/>
          </xdr:cNvCxnSpPr>
        </xdr:nvCxnSpPr>
        <xdr:spPr>
          <a:xfrm>
            <a:off x="5737099" y="3852672"/>
            <a:ext cx="1277874" cy="545592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Conector recto de flecha 18">
            <a:extLst>
              <a:ext uri="{FF2B5EF4-FFF2-40B4-BE49-F238E27FC236}">
                <a16:creationId xmlns:a16="http://schemas.microsoft.com/office/drawing/2014/main" id="{00000000-0008-0000-1800-000013000000}"/>
              </a:ext>
            </a:extLst>
          </xdr:cNvPr>
          <xdr:cNvCxnSpPr>
            <a:cxnSpLocks/>
          </xdr:cNvCxnSpPr>
        </xdr:nvCxnSpPr>
        <xdr:spPr>
          <a:xfrm>
            <a:off x="5231892" y="1335024"/>
            <a:ext cx="0" cy="545592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Conector recto de flecha 19">
            <a:extLst>
              <a:ext uri="{FF2B5EF4-FFF2-40B4-BE49-F238E27FC236}">
                <a16:creationId xmlns:a16="http://schemas.microsoft.com/office/drawing/2014/main" id="{00000000-0008-0000-1800-000014000000}"/>
              </a:ext>
            </a:extLst>
          </xdr:cNvPr>
          <xdr:cNvCxnSpPr>
            <a:cxnSpLocks/>
          </xdr:cNvCxnSpPr>
        </xdr:nvCxnSpPr>
        <xdr:spPr>
          <a:xfrm>
            <a:off x="5231892" y="2593848"/>
            <a:ext cx="0" cy="545592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4</xdr:col>
      <xdr:colOff>0</xdr:colOff>
      <xdr:row>1</xdr:row>
      <xdr:rowOff>0</xdr:rowOff>
    </xdr:from>
    <xdr:to>
      <xdr:col>11</xdr:col>
      <xdr:colOff>448593</xdr:colOff>
      <xdr:row>27</xdr:row>
      <xdr:rowOff>2198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00000000-0008-0000-18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95850" y="180975"/>
          <a:ext cx="8274407" cy="4762500"/>
        </a:xfrm>
        <a:prstGeom prst="rect">
          <a:avLst/>
        </a:prstGeom>
      </xdr:spPr>
    </xdr:pic>
    <xdr:clientData/>
  </xdr:twoCellAnchor>
  <xdr:twoCellAnchor>
    <xdr:from>
      <xdr:col>30</xdr:col>
      <xdr:colOff>281214</xdr:colOff>
      <xdr:row>85</xdr:row>
      <xdr:rowOff>9070</xdr:rowOff>
    </xdr:from>
    <xdr:to>
      <xdr:col>38</xdr:col>
      <xdr:colOff>489543</xdr:colOff>
      <xdr:row>108</xdr:row>
      <xdr:rowOff>18496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00000000-0008-0000-18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98425</xdr:colOff>
      <xdr:row>60</xdr:row>
      <xdr:rowOff>111125</xdr:rowOff>
    </xdr:from>
    <xdr:to>
      <xdr:col>21</xdr:col>
      <xdr:colOff>343089</xdr:colOff>
      <xdr:row>83</xdr:row>
      <xdr:rowOff>120650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00000000-0008-0000-18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773205</xdr:colOff>
      <xdr:row>148</xdr:row>
      <xdr:rowOff>78441</xdr:rowOff>
    </xdr:from>
    <xdr:to>
      <xdr:col>11</xdr:col>
      <xdr:colOff>388140</xdr:colOff>
      <xdr:row>171</xdr:row>
      <xdr:rowOff>15606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30</xdr:col>
      <xdr:colOff>0</xdr:colOff>
      <xdr:row>30</xdr:row>
      <xdr:rowOff>0</xdr:rowOff>
    </xdr:from>
    <xdr:to>
      <xdr:col>38</xdr:col>
      <xdr:colOff>208329</xdr:colOff>
      <xdr:row>53</xdr:row>
      <xdr:rowOff>9426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00000000-0008-0000-18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235866</xdr:colOff>
      <xdr:row>30</xdr:row>
      <xdr:rowOff>0</xdr:rowOff>
    </xdr:from>
    <xdr:to>
      <xdr:col>29</xdr:col>
      <xdr:colOff>458305</xdr:colOff>
      <xdr:row>53</xdr:row>
      <xdr:rowOff>6350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00000000-0008-0000-18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0</xdr:colOff>
      <xdr:row>85</xdr:row>
      <xdr:rowOff>0</xdr:rowOff>
    </xdr:from>
    <xdr:to>
      <xdr:col>21</xdr:col>
      <xdr:colOff>242463</xdr:colOff>
      <xdr:row>108</xdr:row>
      <xdr:rowOff>5974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00000000-0008-0000-1800-00002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21</xdr:col>
      <xdr:colOff>244926</xdr:colOff>
      <xdr:row>85</xdr:row>
      <xdr:rowOff>0</xdr:rowOff>
    </xdr:from>
    <xdr:to>
      <xdr:col>29</xdr:col>
      <xdr:colOff>461923</xdr:colOff>
      <xdr:row>108</xdr:row>
      <xdr:rowOff>6349</xdr:rowOff>
    </xdr:to>
    <xdr:graphicFrame macro="">
      <xdr:nvGraphicFramePr>
        <xdr:cNvPr id="38" name="Gráfico 37">
          <a:extLst>
            <a:ext uri="{FF2B5EF4-FFF2-40B4-BE49-F238E27FC236}">
              <a16:creationId xmlns:a16="http://schemas.microsoft.com/office/drawing/2014/main" id="{00000000-0008-0000-1800-00002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81643</xdr:colOff>
      <xdr:row>29</xdr:row>
      <xdr:rowOff>163287</xdr:rowOff>
    </xdr:from>
    <xdr:to>
      <xdr:col>38</xdr:col>
      <xdr:colOff>289972</xdr:colOff>
      <xdr:row>52</xdr:row>
      <xdr:rowOff>172713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30</xdr:row>
      <xdr:rowOff>0</xdr:rowOff>
    </xdr:from>
    <xdr:to>
      <xdr:col>21</xdr:col>
      <xdr:colOff>238314</xdr:colOff>
      <xdr:row>53</xdr:row>
      <xdr:rowOff>9525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20</xdr:col>
      <xdr:colOff>164398</xdr:colOff>
      <xdr:row>25</xdr:row>
      <xdr:rowOff>162785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GrpSpPr/>
      </xdr:nvGrpSpPr>
      <xdr:grpSpPr>
        <a:xfrm>
          <a:off x="20247429" y="181429"/>
          <a:ext cx="4899683" cy="4571499"/>
          <a:chOff x="3020568" y="659368"/>
          <a:chExt cx="4898136" cy="4465844"/>
        </a:xfrm>
      </xdr:grpSpPr>
      <xdr:sp macro="" textlink="">
        <xdr:nvSpPr>
          <xdr:cNvPr id="6" name="Rectángulo 5">
            <a:extLst>
              <a:ext uri="{FF2B5EF4-FFF2-40B4-BE49-F238E27FC236}">
                <a16:creationId xmlns:a16="http://schemas.microsoft.com/office/drawing/2014/main" id="{00000000-0008-0000-1900-000006000000}"/>
              </a:ext>
            </a:extLst>
          </xdr:cNvPr>
          <xdr:cNvSpPr/>
        </xdr:nvSpPr>
        <xdr:spPr>
          <a:xfrm>
            <a:off x="4367784" y="722376"/>
            <a:ext cx="1728216" cy="612648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CL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MX">
                <a:solidFill>
                  <a:schemeClr val="tx1"/>
                </a:solidFill>
                <a:latin typeface="Source Sans Pro" panose="020B0503030403020204" pitchFamily="34" charset="0"/>
              </a:rPr>
              <a:t>1ra Etapa 1</a:t>
            </a:r>
            <a:endParaRPr lang="es-CL">
              <a:solidFill>
                <a:schemeClr val="tx1"/>
              </a:solidFill>
              <a:latin typeface="Source Sans Pro" panose="020B0503030403020204" pitchFamily="34" charset="0"/>
            </a:endParaRPr>
          </a:p>
        </xdr:txBody>
      </xdr:sp>
      <xdr:sp macro="" textlink="">
        <xdr:nvSpPr>
          <xdr:cNvPr id="7" name="Rectángulo 6">
            <a:extLst>
              <a:ext uri="{FF2B5EF4-FFF2-40B4-BE49-F238E27FC236}">
                <a16:creationId xmlns:a16="http://schemas.microsoft.com/office/drawing/2014/main" id="{00000000-0008-0000-1900-000007000000}"/>
              </a:ext>
            </a:extLst>
          </xdr:cNvPr>
          <xdr:cNvSpPr/>
        </xdr:nvSpPr>
        <xdr:spPr>
          <a:xfrm>
            <a:off x="4367784" y="1981200"/>
            <a:ext cx="1728216" cy="612648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CL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MX">
                <a:solidFill>
                  <a:schemeClr val="tx1"/>
                </a:solidFill>
                <a:latin typeface="Source Sans Pro" panose="020B0503030403020204" pitchFamily="34" charset="0"/>
              </a:rPr>
              <a:t>1ra Etapa 2</a:t>
            </a:r>
            <a:endParaRPr lang="es-CL">
              <a:solidFill>
                <a:schemeClr val="tx1"/>
              </a:solidFill>
              <a:latin typeface="Source Sans Pro" panose="020B0503030403020204" pitchFamily="34" charset="0"/>
            </a:endParaRPr>
          </a:p>
        </xdr:txBody>
      </xdr:sp>
      <xdr:sp macro="" textlink="">
        <xdr:nvSpPr>
          <xdr:cNvPr id="8" name="Rectángulo 7">
            <a:extLst>
              <a:ext uri="{FF2B5EF4-FFF2-40B4-BE49-F238E27FC236}">
                <a16:creationId xmlns:a16="http://schemas.microsoft.com/office/drawing/2014/main" id="{00000000-0008-0000-1900-000008000000}"/>
              </a:ext>
            </a:extLst>
          </xdr:cNvPr>
          <xdr:cNvSpPr/>
        </xdr:nvSpPr>
        <xdr:spPr>
          <a:xfrm>
            <a:off x="4367784" y="3240024"/>
            <a:ext cx="1728216" cy="612648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CL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MX">
                <a:solidFill>
                  <a:schemeClr val="tx1"/>
                </a:solidFill>
                <a:latin typeface="Source Sans Pro" panose="020B0503030403020204" pitchFamily="34" charset="0"/>
              </a:rPr>
              <a:t>1ra Etapa 3</a:t>
            </a:r>
            <a:endParaRPr lang="es-CL">
              <a:solidFill>
                <a:schemeClr val="tx1"/>
              </a:solidFill>
              <a:latin typeface="Source Sans Pro" panose="020B0503030403020204" pitchFamily="34" charset="0"/>
            </a:endParaRPr>
          </a:p>
        </xdr:txBody>
      </xdr:sp>
      <xdr:grpSp>
        <xdr:nvGrpSpPr>
          <xdr:cNvPr id="9" name="Grupo 8">
            <a:extLst>
              <a:ext uri="{FF2B5EF4-FFF2-40B4-BE49-F238E27FC236}">
                <a16:creationId xmlns:a16="http://schemas.microsoft.com/office/drawing/2014/main" id="{00000000-0008-0000-1900-000009000000}"/>
              </a:ext>
            </a:extLst>
          </xdr:cNvPr>
          <xdr:cNvGrpSpPr/>
        </xdr:nvGrpSpPr>
        <xdr:grpSpPr>
          <a:xfrm>
            <a:off x="6096000" y="1028700"/>
            <a:ext cx="1822704" cy="2531364"/>
            <a:chOff x="6096000" y="1028700"/>
            <a:chExt cx="2005584" cy="2531364"/>
          </a:xfrm>
        </xdr:grpSpPr>
        <xdr:cxnSp macro="">
          <xdr:nvCxnSpPr>
            <xdr:cNvPr id="26" name="Conector recto de flecha 25">
              <a:extLst>
                <a:ext uri="{FF2B5EF4-FFF2-40B4-BE49-F238E27FC236}">
                  <a16:creationId xmlns:a16="http://schemas.microsoft.com/office/drawing/2014/main" id="{00000000-0008-0000-1900-00001A000000}"/>
                </a:ext>
              </a:extLst>
            </xdr:cNvPr>
            <xdr:cNvCxnSpPr>
              <a:stCxn id="6" idx="3"/>
            </xdr:cNvCxnSpPr>
          </xdr:nvCxnSpPr>
          <xdr:spPr>
            <a:xfrm>
              <a:off x="6096000" y="1028700"/>
              <a:ext cx="2005584" cy="13716"/>
            </a:xfrm>
            <a:prstGeom prst="straightConnector1">
              <a:avLst/>
            </a:prstGeom>
            <a:ln>
              <a:solidFill>
                <a:schemeClr val="tx1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" name="Conector recto de flecha 26">
              <a:extLst>
                <a:ext uri="{FF2B5EF4-FFF2-40B4-BE49-F238E27FC236}">
                  <a16:creationId xmlns:a16="http://schemas.microsoft.com/office/drawing/2014/main" id="{00000000-0008-0000-1900-00001B000000}"/>
                </a:ext>
              </a:extLst>
            </xdr:cNvPr>
            <xdr:cNvCxnSpPr>
              <a:cxnSpLocks/>
            </xdr:cNvCxnSpPr>
          </xdr:nvCxnSpPr>
          <xdr:spPr>
            <a:xfrm>
              <a:off x="6096000" y="2287524"/>
              <a:ext cx="2005584" cy="13716"/>
            </a:xfrm>
            <a:prstGeom prst="straightConnector1">
              <a:avLst/>
            </a:prstGeom>
            <a:ln>
              <a:solidFill>
                <a:schemeClr val="tx1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" name="Conector recto de flecha 27">
              <a:extLst>
                <a:ext uri="{FF2B5EF4-FFF2-40B4-BE49-F238E27FC236}">
                  <a16:creationId xmlns:a16="http://schemas.microsoft.com/office/drawing/2014/main" id="{00000000-0008-0000-1900-00001C000000}"/>
                </a:ext>
              </a:extLst>
            </xdr:cNvPr>
            <xdr:cNvCxnSpPr>
              <a:cxnSpLocks/>
            </xdr:cNvCxnSpPr>
          </xdr:nvCxnSpPr>
          <xdr:spPr>
            <a:xfrm>
              <a:off x="6096000" y="3546348"/>
              <a:ext cx="2005584" cy="13716"/>
            </a:xfrm>
            <a:prstGeom prst="straightConnector1">
              <a:avLst/>
            </a:prstGeom>
            <a:ln>
              <a:solidFill>
                <a:schemeClr val="tx1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10" name="CuadroTexto 10">
            <a:extLst>
              <a:ext uri="{FF2B5EF4-FFF2-40B4-BE49-F238E27FC236}">
                <a16:creationId xmlns:a16="http://schemas.microsoft.com/office/drawing/2014/main" id="{00000000-0008-0000-1900-00000A000000}"/>
              </a:ext>
            </a:extLst>
          </xdr:cNvPr>
          <xdr:cNvSpPr txBox="1"/>
        </xdr:nvSpPr>
        <xdr:spPr>
          <a:xfrm>
            <a:off x="6617660" y="659368"/>
            <a:ext cx="779381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CL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>
                <a:latin typeface="Source Sans Pro" panose="020B0503030403020204" pitchFamily="34" charset="0"/>
                <a:ea typeface="Source Sans Pro" panose="020B0503030403020204" pitchFamily="34" charset="0"/>
              </a:rPr>
              <a:t>Cola 1</a:t>
            </a:r>
            <a:endParaRPr lang="es-CL">
              <a:latin typeface="Source Sans Pro" panose="020B0503030403020204" pitchFamily="34" charset="0"/>
              <a:ea typeface="Source Sans Pro" panose="020B0503030403020204" pitchFamily="34" charset="0"/>
            </a:endParaRPr>
          </a:p>
        </xdr:txBody>
      </xdr:sp>
      <xdr:sp macro="" textlink="">
        <xdr:nvSpPr>
          <xdr:cNvPr id="11" name="CuadroTexto 11">
            <a:extLst>
              <a:ext uri="{FF2B5EF4-FFF2-40B4-BE49-F238E27FC236}">
                <a16:creationId xmlns:a16="http://schemas.microsoft.com/office/drawing/2014/main" id="{00000000-0008-0000-1900-00000B000000}"/>
              </a:ext>
            </a:extLst>
          </xdr:cNvPr>
          <xdr:cNvSpPr txBox="1"/>
        </xdr:nvSpPr>
        <xdr:spPr>
          <a:xfrm>
            <a:off x="6617659" y="1931908"/>
            <a:ext cx="779381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CL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>
                <a:latin typeface="Source Sans Pro" panose="020B0503030403020204" pitchFamily="34" charset="0"/>
                <a:ea typeface="Source Sans Pro" panose="020B0503030403020204" pitchFamily="34" charset="0"/>
              </a:rPr>
              <a:t>Cola 2</a:t>
            </a:r>
            <a:endParaRPr lang="es-CL">
              <a:latin typeface="Source Sans Pro" panose="020B0503030403020204" pitchFamily="34" charset="0"/>
              <a:ea typeface="Source Sans Pro" panose="020B0503030403020204" pitchFamily="34" charset="0"/>
            </a:endParaRPr>
          </a:p>
        </xdr:txBody>
      </xdr:sp>
      <xdr:sp macro="" textlink="">
        <xdr:nvSpPr>
          <xdr:cNvPr id="12" name="CuadroTexto 12">
            <a:extLst>
              <a:ext uri="{FF2B5EF4-FFF2-40B4-BE49-F238E27FC236}">
                <a16:creationId xmlns:a16="http://schemas.microsoft.com/office/drawing/2014/main" id="{00000000-0008-0000-1900-00000C000000}"/>
              </a:ext>
            </a:extLst>
          </xdr:cNvPr>
          <xdr:cNvSpPr txBox="1"/>
        </xdr:nvSpPr>
        <xdr:spPr>
          <a:xfrm>
            <a:off x="6617658" y="3190732"/>
            <a:ext cx="779381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CL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>
                <a:latin typeface="Source Sans Pro" panose="020B0503030403020204" pitchFamily="34" charset="0"/>
                <a:ea typeface="Source Sans Pro" panose="020B0503030403020204" pitchFamily="34" charset="0"/>
              </a:rPr>
              <a:t>Cola 3</a:t>
            </a:r>
            <a:endParaRPr lang="es-CL">
              <a:latin typeface="Source Sans Pro" panose="020B0503030403020204" pitchFamily="34" charset="0"/>
              <a:ea typeface="Source Sans Pro" panose="020B0503030403020204" pitchFamily="34" charset="0"/>
            </a:endParaRPr>
          </a:p>
        </xdr:txBody>
      </xdr:sp>
      <xdr:grpSp>
        <xdr:nvGrpSpPr>
          <xdr:cNvPr id="13" name="Grupo 12">
            <a:extLst>
              <a:ext uri="{FF2B5EF4-FFF2-40B4-BE49-F238E27FC236}">
                <a16:creationId xmlns:a16="http://schemas.microsoft.com/office/drawing/2014/main" id="{00000000-0008-0000-1900-00000D000000}"/>
              </a:ext>
            </a:extLst>
          </xdr:cNvPr>
          <xdr:cNvGrpSpPr/>
        </xdr:nvGrpSpPr>
        <xdr:grpSpPr>
          <a:xfrm>
            <a:off x="3020568" y="4512564"/>
            <a:ext cx="4422648" cy="612648"/>
            <a:chOff x="3511296" y="4512564"/>
            <a:chExt cx="4422648" cy="612648"/>
          </a:xfrm>
        </xdr:grpSpPr>
        <xdr:sp macro="" textlink="">
          <xdr:nvSpPr>
            <xdr:cNvPr id="21" name="Rectángulo 20">
              <a:extLst>
                <a:ext uri="{FF2B5EF4-FFF2-40B4-BE49-F238E27FC236}">
                  <a16:creationId xmlns:a16="http://schemas.microsoft.com/office/drawing/2014/main" id="{00000000-0008-0000-1900-000015000000}"/>
                </a:ext>
              </a:extLst>
            </xdr:cNvPr>
            <xdr:cNvSpPr/>
          </xdr:nvSpPr>
          <xdr:spPr>
            <a:xfrm>
              <a:off x="3511296" y="4512564"/>
              <a:ext cx="856488" cy="612648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CL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s-MX">
                  <a:solidFill>
                    <a:schemeClr val="tx1"/>
                  </a:solidFill>
                  <a:latin typeface="Source Sans Pro" panose="020B0503030403020204" pitchFamily="34" charset="0"/>
                </a:rPr>
                <a:t>Conc 1</a:t>
              </a:r>
              <a:endParaRPr lang="es-CL">
                <a:solidFill>
                  <a:schemeClr val="tx1"/>
                </a:solidFill>
                <a:latin typeface="Source Sans Pro" panose="020B0503030403020204" pitchFamily="34" charset="0"/>
              </a:endParaRPr>
            </a:p>
          </xdr:txBody>
        </xdr:sp>
        <xdr:sp macro="" textlink="">
          <xdr:nvSpPr>
            <xdr:cNvPr id="22" name="Rectángulo 21">
              <a:extLst>
                <a:ext uri="{FF2B5EF4-FFF2-40B4-BE49-F238E27FC236}">
                  <a16:creationId xmlns:a16="http://schemas.microsoft.com/office/drawing/2014/main" id="{00000000-0008-0000-1900-000016000000}"/>
                </a:ext>
              </a:extLst>
            </xdr:cNvPr>
            <xdr:cNvSpPr/>
          </xdr:nvSpPr>
          <xdr:spPr>
            <a:xfrm>
              <a:off x="4402836" y="4512564"/>
              <a:ext cx="856488" cy="612648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CL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s-MX">
                  <a:solidFill>
                    <a:schemeClr val="tx1"/>
                  </a:solidFill>
                  <a:latin typeface="Source Sans Pro" panose="020B0503030403020204" pitchFamily="34" charset="0"/>
                </a:rPr>
                <a:t>Conc 2</a:t>
              </a:r>
              <a:endParaRPr lang="es-CL">
                <a:solidFill>
                  <a:schemeClr val="tx1"/>
                </a:solidFill>
                <a:latin typeface="Source Sans Pro" panose="020B0503030403020204" pitchFamily="34" charset="0"/>
              </a:endParaRPr>
            </a:p>
          </xdr:txBody>
        </xdr:sp>
        <xdr:sp macro="" textlink="">
          <xdr:nvSpPr>
            <xdr:cNvPr id="23" name="Rectángulo 22">
              <a:extLst>
                <a:ext uri="{FF2B5EF4-FFF2-40B4-BE49-F238E27FC236}">
                  <a16:creationId xmlns:a16="http://schemas.microsoft.com/office/drawing/2014/main" id="{00000000-0008-0000-1900-000017000000}"/>
                </a:ext>
              </a:extLst>
            </xdr:cNvPr>
            <xdr:cNvSpPr/>
          </xdr:nvSpPr>
          <xdr:spPr>
            <a:xfrm>
              <a:off x="5294376" y="4512564"/>
              <a:ext cx="856488" cy="612648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CL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s-MX">
                  <a:solidFill>
                    <a:schemeClr val="tx1"/>
                  </a:solidFill>
                  <a:latin typeface="Source Sans Pro" panose="020B0503030403020204" pitchFamily="34" charset="0"/>
                </a:rPr>
                <a:t>Conc 3</a:t>
              </a:r>
              <a:endParaRPr lang="es-CL">
                <a:solidFill>
                  <a:schemeClr val="tx1"/>
                </a:solidFill>
                <a:latin typeface="Source Sans Pro" panose="020B0503030403020204" pitchFamily="34" charset="0"/>
              </a:endParaRPr>
            </a:p>
          </xdr:txBody>
        </xdr:sp>
        <xdr:sp macro="" textlink="">
          <xdr:nvSpPr>
            <xdr:cNvPr id="24" name="Rectángulo 23">
              <a:extLst>
                <a:ext uri="{FF2B5EF4-FFF2-40B4-BE49-F238E27FC236}">
                  <a16:creationId xmlns:a16="http://schemas.microsoft.com/office/drawing/2014/main" id="{00000000-0008-0000-1900-000018000000}"/>
                </a:ext>
              </a:extLst>
            </xdr:cNvPr>
            <xdr:cNvSpPr/>
          </xdr:nvSpPr>
          <xdr:spPr>
            <a:xfrm>
              <a:off x="6185916" y="4512564"/>
              <a:ext cx="856488" cy="612648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CL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s-MX">
                  <a:solidFill>
                    <a:schemeClr val="tx1"/>
                  </a:solidFill>
                  <a:latin typeface="Source Sans Pro" panose="020B0503030403020204" pitchFamily="34" charset="0"/>
                </a:rPr>
                <a:t>Conc 4</a:t>
              </a:r>
              <a:endParaRPr lang="es-CL">
                <a:solidFill>
                  <a:schemeClr val="tx1"/>
                </a:solidFill>
                <a:latin typeface="Source Sans Pro" panose="020B0503030403020204" pitchFamily="34" charset="0"/>
              </a:endParaRPr>
            </a:p>
          </xdr:txBody>
        </xdr:sp>
        <xdr:sp macro="" textlink="">
          <xdr:nvSpPr>
            <xdr:cNvPr id="25" name="Rectángulo 24">
              <a:extLst>
                <a:ext uri="{FF2B5EF4-FFF2-40B4-BE49-F238E27FC236}">
                  <a16:creationId xmlns:a16="http://schemas.microsoft.com/office/drawing/2014/main" id="{00000000-0008-0000-1900-000019000000}"/>
                </a:ext>
              </a:extLst>
            </xdr:cNvPr>
            <xdr:cNvSpPr/>
          </xdr:nvSpPr>
          <xdr:spPr>
            <a:xfrm>
              <a:off x="7077456" y="4512564"/>
              <a:ext cx="856488" cy="612648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CL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s-MX">
                  <a:solidFill>
                    <a:schemeClr val="tx1"/>
                  </a:solidFill>
                  <a:latin typeface="Source Sans Pro" panose="020B0503030403020204" pitchFamily="34" charset="0"/>
                </a:rPr>
                <a:t>Conc 5</a:t>
              </a:r>
              <a:endParaRPr lang="es-CL">
                <a:solidFill>
                  <a:schemeClr val="tx1"/>
                </a:solidFill>
                <a:latin typeface="Source Sans Pro" panose="020B0503030403020204" pitchFamily="34" charset="0"/>
              </a:endParaRPr>
            </a:p>
          </xdr:txBody>
        </xdr:sp>
      </xdr:grpSp>
      <xdr:cxnSp macro="">
        <xdr:nvCxnSpPr>
          <xdr:cNvPr id="14" name="Conector recto de flecha 13">
            <a:extLst>
              <a:ext uri="{FF2B5EF4-FFF2-40B4-BE49-F238E27FC236}">
                <a16:creationId xmlns:a16="http://schemas.microsoft.com/office/drawing/2014/main" id="{00000000-0008-0000-1900-00000E000000}"/>
              </a:ext>
            </a:extLst>
          </xdr:cNvPr>
          <xdr:cNvCxnSpPr>
            <a:cxnSpLocks/>
          </xdr:cNvCxnSpPr>
        </xdr:nvCxnSpPr>
        <xdr:spPr>
          <a:xfrm>
            <a:off x="5231892" y="3852672"/>
            <a:ext cx="0" cy="545592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" name="Conector recto de flecha 14">
            <a:extLst>
              <a:ext uri="{FF2B5EF4-FFF2-40B4-BE49-F238E27FC236}">
                <a16:creationId xmlns:a16="http://schemas.microsoft.com/office/drawing/2014/main" id="{00000000-0008-0000-1900-00000F000000}"/>
              </a:ext>
            </a:extLst>
          </xdr:cNvPr>
          <xdr:cNvCxnSpPr>
            <a:cxnSpLocks/>
          </xdr:cNvCxnSpPr>
        </xdr:nvCxnSpPr>
        <xdr:spPr>
          <a:xfrm flipH="1">
            <a:off x="4443984" y="3852672"/>
            <a:ext cx="565404" cy="545592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Conector recto de flecha 15">
            <a:extLst>
              <a:ext uri="{FF2B5EF4-FFF2-40B4-BE49-F238E27FC236}">
                <a16:creationId xmlns:a16="http://schemas.microsoft.com/office/drawing/2014/main" id="{00000000-0008-0000-1900-000010000000}"/>
              </a:ext>
            </a:extLst>
          </xdr:cNvPr>
          <xdr:cNvCxnSpPr>
            <a:cxnSpLocks/>
          </xdr:cNvCxnSpPr>
        </xdr:nvCxnSpPr>
        <xdr:spPr>
          <a:xfrm flipH="1">
            <a:off x="3448812" y="3852672"/>
            <a:ext cx="1277874" cy="545592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Conector recto de flecha 16">
            <a:extLst>
              <a:ext uri="{FF2B5EF4-FFF2-40B4-BE49-F238E27FC236}">
                <a16:creationId xmlns:a16="http://schemas.microsoft.com/office/drawing/2014/main" id="{00000000-0008-0000-1900-000011000000}"/>
              </a:ext>
            </a:extLst>
          </xdr:cNvPr>
          <xdr:cNvCxnSpPr>
            <a:cxnSpLocks/>
          </xdr:cNvCxnSpPr>
        </xdr:nvCxnSpPr>
        <xdr:spPr>
          <a:xfrm>
            <a:off x="5454397" y="3852672"/>
            <a:ext cx="565404" cy="545592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" name="Conector recto de flecha 17">
            <a:extLst>
              <a:ext uri="{FF2B5EF4-FFF2-40B4-BE49-F238E27FC236}">
                <a16:creationId xmlns:a16="http://schemas.microsoft.com/office/drawing/2014/main" id="{00000000-0008-0000-1900-000012000000}"/>
              </a:ext>
            </a:extLst>
          </xdr:cNvPr>
          <xdr:cNvCxnSpPr>
            <a:cxnSpLocks/>
          </xdr:cNvCxnSpPr>
        </xdr:nvCxnSpPr>
        <xdr:spPr>
          <a:xfrm>
            <a:off x="5737099" y="3852672"/>
            <a:ext cx="1277874" cy="545592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Conector recto de flecha 18">
            <a:extLst>
              <a:ext uri="{FF2B5EF4-FFF2-40B4-BE49-F238E27FC236}">
                <a16:creationId xmlns:a16="http://schemas.microsoft.com/office/drawing/2014/main" id="{00000000-0008-0000-1900-000013000000}"/>
              </a:ext>
            </a:extLst>
          </xdr:cNvPr>
          <xdr:cNvCxnSpPr>
            <a:cxnSpLocks/>
          </xdr:cNvCxnSpPr>
        </xdr:nvCxnSpPr>
        <xdr:spPr>
          <a:xfrm>
            <a:off x="5231892" y="1335024"/>
            <a:ext cx="0" cy="545592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Conector recto de flecha 19">
            <a:extLst>
              <a:ext uri="{FF2B5EF4-FFF2-40B4-BE49-F238E27FC236}">
                <a16:creationId xmlns:a16="http://schemas.microsoft.com/office/drawing/2014/main" id="{00000000-0008-0000-1900-000014000000}"/>
              </a:ext>
            </a:extLst>
          </xdr:cNvPr>
          <xdr:cNvCxnSpPr>
            <a:cxnSpLocks/>
          </xdr:cNvCxnSpPr>
        </xdr:nvCxnSpPr>
        <xdr:spPr>
          <a:xfrm>
            <a:off x="5231892" y="2593848"/>
            <a:ext cx="0" cy="545592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4</xdr:col>
      <xdr:colOff>1189</xdr:colOff>
      <xdr:row>1</xdr:row>
      <xdr:rowOff>3174</xdr:rowOff>
    </xdr:from>
    <xdr:to>
      <xdr:col>10</xdr:col>
      <xdr:colOff>1017035</xdr:colOff>
      <xdr:row>26</xdr:row>
      <xdr:rowOff>158750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0000000-0008-0000-19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94658" y="181768"/>
          <a:ext cx="8296581" cy="4679951"/>
        </a:xfrm>
        <a:prstGeom prst="rect">
          <a:avLst/>
        </a:prstGeom>
      </xdr:spPr>
    </xdr:pic>
    <xdr:clientData/>
  </xdr:twoCellAnchor>
  <xdr:twoCellAnchor>
    <xdr:from>
      <xdr:col>17</xdr:col>
      <xdr:colOff>27214</xdr:colOff>
      <xdr:row>119</xdr:row>
      <xdr:rowOff>36286</xdr:rowOff>
    </xdr:from>
    <xdr:to>
      <xdr:col>21</xdr:col>
      <xdr:colOff>253686</xdr:colOff>
      <xdr:row>142</xdr:row>
      <xdr:rowOff>45713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95</xdr:row>
      <xdr:rowOff>0</xdr:rowOff>
    </xdr:from>
    <xdr:to>
      <xdr:col>21</xdr:col>
      <xdr:colOff>238314</xdr:colOff>
      <xdr:row>118</xdr:row>
      <xdr:rowOff>9525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00000000-0008-0000-19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66</xdr:row>
      <xdr:rowOff>0</xdr:rowOff>
    </xdr:from>
    <xdr:to>
      <xdr:col>21</xdr:col>
      <xdr:colOff>235139</xdr:colOff>
      <xdr:row>87</xdr:row>
      <xdr:rowOff>114300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00000000-0008-0000-19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469024</xdr:colOff>
      <xdr:row>10</xdr:row>
      <xdr:rowOff>111016</xdr:rowOff>
    </xdr:from>
    <xdr:to>
      <xdr:col>6</xdr:col>
      <xdr:colOff>220717</xdr:colOff>
      <xdr:row>12</xdr:row>
      <xdr:rowOff>3176</xdr:rowOff>
    </xdr:to>
    <xdr:sp macro="" textlink="">
      <xdr:nvSpPr>
        <xdr:cNvPr id="34" name="CuadroTexto 33">
          <a:extLst>
            <a:ext uri="{FF2B5EF4-FFF2-40B4-BE49-F238E27FC236}">
              <a16:creationId xmlns:a16="http://schemas.microsoft.com/office/drawing/2014/main" id="{00000000-0008-0000-1900-000022000000}"/>
            </a:ext>
          </a:extLst>
        </xdr:cNvPr>
        <xdr:cNvSpPr txBox="1"/>
      </xdr:nvSpPr>
      <xdr:spPr>
        <a:xfrm>
          <a:off x="6499334" y="2002878"/>
          <a:ext cx="914400" cy="26002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Alim 1°</a:t>
          </a:r>
        </a:p>
      </xdr:txBody>
    </xdr:sp>
    <xdr:clientData/>
  </xdr:twoCellAnchor>
  <xdr:twoCellAnchor>
    <xdr:from>
      <xdr:col>5</xdr:col>
      <xdr:colOff>288487</xdr:colOff>
      <xdr:row>20</xdr:row>
      <xdr:rowOff>101273</xdr:rowOff>
    </xdr:from>
    <xdr:to>
      <xdr:col>6</xdr:col>
      <xdr:colOff>40180</xdr:colOff>
      <xdr:row>21</xdr:row>
      <xdr:rowOff>183714</xdr:rowOff>
    </xdr:to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00000000-0008-0000-1900-000023000000}"/>
            </a:ext>
          </a:extLst>
        </xdr:cNvPr>
        <xdr:cNvSpPr txBox="1"/>
      </xdr:nvSpPr>
      <xdr:spPr>
        <a:xfrm>
          <a:off x="6318797" y="3832445"/>
          <a:ext cx="914400" cy="2663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Conc 1°</a:t>
          </a:r>
        </a:p>
      </xdr:txBody>
    </xdr:sp>
    <xdr:clientData/>
  </xdr:twoCellAnchor>
  <xdr:twoCellAnchor>
    <xdr:from>
      <xdr:col>6</xdr:col>
      <xdr:colOff>86082</xdr:colOff>
      <xdr:row>13</xdr:row>
      <xdr:rowOff>85223</xdr:rowOff>
    </xdr:from>
    <xdr:to>
      <xdr:col>7</xdr:col>
      <xdr:colOff>169864</xdr:colOff>
      <xdr:row>15</xdr:row>
      <xdr:rowOff>164937</xdr:rowOff>
    </xdr:to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00000000-0008-0000-1900-000024000000}"/>
            </a:ext>
          </a:extLst>
        </xdr:cNvPr>
        <xdr:cNvSpPr txBox="1"/>
      </xdr:nvSpPr>
      <xdr:spPr>
        <a:xfrm>
          <a:off x="7279964" y="2491539"/>
          <a:ext cx="610163" cy="4406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0,86%</a:t>
          </a:r>
        </a:p>
        <a:p>
          <a:r>
            <a:rPr lang="es-CL" sz="1100"/>
            <a:t>Cola 1° </a:t>
          </a:r>
        </a:p>
      </xdr:txBody>
    </xdr:sp>
    <xdr:clientData/>
  </xdr:twoCellAnchor>
  <xdr:twoCellAnchor>
    <xdr:from>
      <xdr:col>8</xdr:col>
      <xdr:colOff>204071</xdr:colOff>
      <xdr:row>13</xdr:row>
      <xdr:rowOff>9115</xdr:rowOff>
    </xdr:from>
    <xdr:to>
      <xdr:col>9</xdr:col>
      <xdr:colOff>212858</xdr:colOff>
      <xdr:row>15</xdr:row>
      <xdr:rowOff>98055</xdr:rowOff>
    </xdr:to>
    <xdr:sp macro="" textlink="">
      <xdr:nvSpPr>
        <xdr:cNvPr id="37" name="CuadroTexto 36">
          <a:extLst>
            <a:ext uri="{FF2B5EF4-FFF2-40B4-BE49-F238E27FC236}">
              <a16:creationId xmlns:a16="http://schemas.microsoft.com/office/drawing/2014/main" id="{00000000-0008-0000-1900-000025000000}"/>
            </a:ext>
          </a:extLst>
        </xdr:cNvPr>
        <xdr:cNvSpPr txBox="1"/>
      </xdr:nvSpPr>
      <xdr:spPr>
        <a:xfrm>
          <a:off x="9313435" y="2429331"/>
          <a:ext cx="705843" cy="45262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2,13%</a:t>
          </a:r>
        </a:p>
        <a:p>
          <a:r>
            <a:rPr lang="es-CL" sz="1100"/>
            <a:t>Alim SCV</a:t>
          </a:r>
        </a:p>
      </xdr:txBody>
    </xdr:sp>
    <xdr:clientData/>
  </xdr:twoCellAnchor>
  <xdr:twoCellAnchor>
    <xdr:from>
      <xdr:col>9</xdr:col>
      <xdr:colOff>869731</xdr:colOff>
      <xdr:row>17</xdr:row>
      <xdr:rowOff>64815</xdr:rowOff>
    </xdr:from>
    <xdr:to>
      <xdr:col>10</xdr:col>
      <xdr:colOff>312902</xdr:colOff>
      <xdr:row>18</xdr:row>
      <xdr:rowOff>140906</xdr:rowOff>
    </xdr:to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id="{00000000-0008-0000-1900-000026000000}"/>
            </a:ext>
          </a:extLst>
        </xdr:cNvPr>
        <xdr:cNvSpPr txBox="1"/>
      </xdr:nvSpPr>
      <xdr:spPr>
        <a:xfrm>
          <a:off x="10585231" y="3244194"/>
          <a:ext cx="908050" cy="26002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Conc SCV</a:t>
          </a:r>
        </a:p>
      </xdr:txBody>
    </xdr:sp>
    <xdr:clientData/>
  </xdr:twoCellAnchor>
  <xdr:twoCellAnchor>
    <xdr:from>
      <xdr:col>9</xdr:col>
      <xdr:colOff>400160</xdr:colOff>
      <xdr:row>23</xdr:row>
      <xdr:rowOff>100834</xdr:rowOff>
    </xdr:from>
    <xdr:to>
      <xdr:col>9</xdr:col>
      <xdr:colOff>1314560</xdr:colOff>
      <xdr:row>24</xdr:row>
      <xdr:rowOff>176925</xdr:rowOff>
    </xdr:to>
    <xdr:sp macro="" textlink="">
      <xdr:nvSpPr>
        <xdr:cNvPr id="39" name="CuadroTexto 38">
          <a:extLst>
            <a:ext uri="{FF2B5EF4-FFF2-40B4-BE49-F238E27FC236}">
              <a16:creationId xmlns:a16="http://schemas.microsoft.com/office/drawing/2014/main" id="{00000000-0008-0000-1900-000027000000}"/>
            </a:ext>
          </a:extLst>
        </xdr:cNvPr>
        <xdr:cNvSpPr txBox="1"/>
      </xdr:nvSpPr>
      <xdr:spPr>
        <a:xfrm>
          <a:off x="10115660" y="4383800"/>
          <a:ext cx="914400" cy="26002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Conc Cl-SCV</a:t>
          </a:r>
        </a:p>
      </xdr:txBody>
    </xdr:sp>
    <xdr:clientData/>
  </xdr:twoCellAnchor>
  <xdr:twoCellAnchor>
    <xdr:from>
      <xdr:col>7</xdr:col>
      <xdr:colOff>1313247</xdr:colOff>
      <xdr:row>20</xdr:row>
      <xdr:rowOff>5475</xdr:rowOff>
    </xdr:from>
    <xdr:to>
      <xdr:col>9</xdr:col>
      <xdr:colOff>132147</xdr:colOff>
      <xdr:row>21</xdr:row>
      <xdr:rowOff>81566</xdr:rowOff>
    </xdr:to>
    <xdr:sp macro="" textlink="">
      <xdr:nvSpPr>
        <xdr:cNvPr id="40" name="CuadroTexto 39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SpPr txBox="1"/>
      </xdr:nvSpPr>
      <xdr:spPr>
        <a:xfrm>
          <a:off x="8933247" y="3736647"/>
          <a:ext cx="914400" cy="26002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Cola Cl-SCV</a:t>
          </a:r>
        </a:p>
      </xdr:txBody>
    </xdr:sp>
    <xdr:clientData/>
  </xdr:twoCellAnchor>
  <xdr:twoCellAnchor>
    <xdr:from>
      <xdr:col>9</xdr:col>
      <xdr:colOff>1457763</xdr:colOff>
      <xdr:row>15</xdr:row>
      <xdr:rowOff>22007</xdr:rowOff>
    </xdr:from>
    <xdr:to>
      <xdr:col>10</xdr:col>
      <xdr:colOff>907284</xdr:colOff>
      <xdr:row>16</xdr:row>
      <xdr:rowOff>98098</xdr:rowOff>
    </xdr:to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id="{00000000-0008-0000-1900-000029000000}"/>
            </a:ext>
          </a:extLst>
        </xdr:cNvPr>
        <xdr:cNvSpPr txBox="1"/>
      </xdr:nvSpPr>
      <xdr:spPr>
        <a:xfrm>
          <a:off x="11173263" y="2833524"/>
          <a:ext cx="914400" cy="26002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Cola SCV</a:t>
          </a:r>
        </a:p>
      </xdr:txBody>
    </xdr:sp>
    <xdr:clientData/>
  </xdr:twoCellAnchor>
  <xdr:twoCellAnchor>
    <xdr:from>
      <xdr:col>6</xdr:col>
      <xdr:colOff>75105</xdr:colOff>
      <xdr:row>18</xdr:row>
      <xdr:rowOff>100834</xdr:rowOff>
    </xdr:from>
    <xdr:to>
      <xdr:col>7</xdr:col>
      <xdr:colOff>562522</xdr:colOff>
      <xdr:row>19</xdr:row>
      <xdr:rowOff>176925</xdr:rowOff>
    </xdr:to>
    <xdr:sp macro="" textlink="">
      <xdr:nvSpPr>
        <xdr:cNvPr id="42" name="CuadroTexto 41">
          <a:extLst>
            <a:ext uri="{FF2B5EF4-FFF2-40B4-BE49-F238E27FC236}">
              <a16:creationId xmlns:a16="http://schemas.microsoft.com/office/drawing/2014/main" id="{00000000-0008-0000-1900-00002A000000}"/>
            </a:ext>
          </a:extLst>
        </xdr:cNvPr>
        <xdr:cNvSpPr txBox="1"/>
      </xdr:nvSpPr>
      <xdr:spPr>
        <a:xfrm>
          <a:off x="7268122" y="3464144"/>
          <a:ext cx="914400" cy="26002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Conc Jms</a:t>
          </a:r>
        </a:p>
      </xdr:txBody>
    </xdr:sp>
    <xdr:clientData/>
  </xdr:twoCellAnchor>
  <xdr:twoCellAnchor>
    <xdr:from>
      <xdr:col>8</xdr:col>
      <xdr:colOff>226628</xdr:colOff>
      <xdr:row>16</xdr:row>
      <xdr:rowOff>87749</xdr:rowOff>
    </xdr:from>
    <xdr:to>
      <xdr:col>9</xdr:col>
      <xdr:colOff>229394</xdr:colOff>
      <xdr:row>18</xdr:row>
      <xdr:rowOff>165433</xdr:rowOff>
    </xdr:to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id="{00000000-0008-0000-1900-00002B000000}"/>
            </a:ext>
          </a:extLst>
        </xdr:cNvPr>
        <xdr:cNvSpPr txBox="1"/>
      </xdr:nvSpPr>
      <xdr:spPr>
        <a:xfrm>
          <a:off x="9345562" y="3035486"/>
          <a:ext cx="699595" cy="43863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Cola Jms</a:t>
          </a:r>
        </a:p>
        <a:p>
          <a:r>
            <a:rPr lang="es-CL" sz="1100"/>
            <a:t>0,92%</a:t>
          </a:r>
        </a:p>
      </xdr:txBody>
    </xdr:sp>
    <xdr:clientData/>
  </xdr:twoCellAnchor>
  <xdr:twoCellAnchor>
    <xdr:from>
      <xdr:col>21</xdr:col>
      <xdr:colOff>226793</xdr:colOff>
      <xdr:row>30</xdr:row>
      <xdr:rowOff>0</xdr:rowOff>
    </xdr:from>
    <xdr:to>
      <xdr:col>29</xdr:col>
      <xdr:colOff>442882</xdr:colOff>
      <xdr:row>53</xdr:row>
      <xdr:rowOff>6350</xdr:rowOff>
    </xdr:to>
    <xdr:graphicFrame macro="">
      <xdr:nvGraphicFramePr>
        <xdr:cNvPr id="44" name="Gráfico 43">
          <a:extLst>
            <a:ext uri="{FF2B5EF4-FFF2-40B4-BE49-F238E27FC236}">
              <a16:creationId xmlns:a16="http://schemas.microsoft.com/office/drawing/2014/main" id="{00000000-0008-0000-1900-00002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235861</xdr:colOff>
      <xdr:row>95</xdr:row>
      <xdr:rowOff>0</xdr:rowOff>
    </xdr:from>
    <xdr:to>
      <xdr:col>29</xdr:col>
      <xdr:colOff>451950</xdr:colOff>
      <xdr:row>118</xdr:row>
      <xdr:rowOff>6350</xdr:rowOff>
    </xdr:to>
    <xdr:graphicFrame macro="">
      <xdr:nvGraphicFramePr>
        <xdr:cNvPr id="45" name="Gráfico 44">
          <a:extLst>
            <a:ext uri="{FF2B5EF4-FFF2-40B4-BE49-F238E27FC236}">
              <a16:creationId xmlns:a16="http://schemas.microsoft.com/office/drawing/2014/main" id="{00000000-0008-0000-1900-00002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18</xdr:row>
      <xdr:rowOff>0</xdr:rowOff>
    </xdr:from>
    <xdr:to>
      <xdr:col>29</xdr:col>
      <xdr:colOff>523872</xdr:colOff>
      <xdr:row>49</xdr:row>
      <xdr:rowOff>40244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1A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12</xdr:col>
      <xdr:colOff>278762</xdr:colOff>
      <xdr:row>49</xdr:row>
      <xdr:rowOff>85329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187325</xdr:colOff>
      <xdr:row>45</xdr:row>
      <xdr:rowOff>115886</xdr:rowOff>
    </xdr:from>
    <xdr:to>
      <xdr:col>6</xdr:col>
      <xdr:colOff>723900</xdr:colOff>
      <xdr:row>63</xdr:row>
      <xdr:rowOff>95249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00000000-0008-0000-1B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6675" y="8574086"/>
              <a:ext cx="5445125" cy="32940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734787</xdr:colOff>
      <xdr:row>2</xdr:row>
      <xdr:rowOff>81643</xdr:rowOff>
    </xdr:from>
    <xdr:to>
      <xdr:col>6</xdr:col>
      <xdr:colOff>12153</xdr:colOff>
      <xdr:row>20</xdr:row>
      <xdr:rowOff>42082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4787" y="452874"/>
          <a:ext cx="5468676" cy="3319446"/>
        </a:xfrm>
        <a:prstGeom prst="rect">
          <a:avLst/>
        </a:prstGeom>
      </xdr:spPr>
    </xdr:pic>
    <xdr:clientData/>
  </xdr:twoCellAnchor>
  <xdr:twoCellAnchor>
    <xdr:from>
      <xdr:col>1</xdr:col>
      <xdr:colOff>366018</xdr:colOff>
      <xdr:row>3</xdr:row>
      <xdr:rowOff>178584</xdr:rowOff>
    </xdr:from>
    <xdr:to>
      <xdr:col>1</xdr:col>
      <xdr:colOff>585093</xdr:colOff>
      <xdr:row>5</xdr:row>
      <xdr:rowOff>92858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SpPr txBox="1"/>
      </xdr:nvSpPr>
      <xdr:spPr>
        <a:xfrm>
          <a:off x="1128018" y="735430"/>
          <a:ext cx="219075" cy="2855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CL" sz="900" b="1">
              <a:solidFill>
                <a:schemeClr val="dk1"/>
              </a:solidFill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1</xdr:col>
      <xdr:colOff>1066497</xdr:colOff>
      <xdr:row>5</xdr:row>
      <xdr:rowOff>73354</xdr:rowOff>
    </xdr:from>
    <xdr:to>
      <xdr:col>1</xdr:col>
      <xdr:colOff>1291922</xdr:colOff>
      <xdr:row>7</xdr:row>
      <xdr:rowOff>4885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SpPr txBox="1"/>
      </xdr:nvSpPr>
      <xdr:spPr>
        <a:xfrm>
          <a:off x="1828497" y="1001431"/>
          <a:ext cx="225425" cy="3027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900" b="1"/>
            <a:t>2</a:t>
          </a:r>
        </a:p>
      </xdr:txBody>
    </xdr:sp>
    <xdr:clientData/>
  </xdr:twoCellAnchor>
  <xdr:twoCellAnchor>
    <xdr:from>
      <xdr:col>2</xdr:col>
      <xdr:colOff>850656</xdr:colOff>
      <xdr:row>3</xdr:row>
      <xdr:rowOff>164594</xdr:rowOff>
    </xdr:from>
    <xdr:to>
      <xdr:col>3</xdr:col>
      <xdr:colOff>307731</xdr:colOff>
      <xdr:row>5</xdr:row>
      <xdr:rowOff>85438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SpPr txBox="1"/>
      </xdr:nvSpPr>
      <xdr:spPr>
        <a:xfrm>
          <a:off x="3385771" y="721440"/>
          <a:ext cx="331422" cy="292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CL" sz="900" b="1">
              <a:solidFill>
                <a:schemeClr val="dk1"/>
              </a:solidFill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>
    <xdr:from>
      <xdr:col>1</xdr:col>
      <xdr:colOff>1494836</xdr:colOff>
      <xdr:row>6</xdr:row>
      <xdr:rowOff>166928</xdr:rowOff>
    </xdr:from>
    <xdr:to>
      <xdr:col>1</xdr:col>
      <xdr:colOff>1713911</xdr:colOff>
      <xdr:row>8</xdr:row>
      <xdr:rowOff>90728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1C00-000006000000}"/>
            </a:ext>
          </a:extLst>
        </xdr:cNvPr>
        <xdr:cNvSpPr txBox="1"/>
      </xdr:nvSpPr>
      <xdr:spPr>
        <a:xfrm>
          <a:off x="2256836" y="1280620"/>
          <a:ext cx="219075" cy="2950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CL" sz="900" b="1">
              <a:solidFill>
                <a:schemeClr val="dk1"/>
              </a:solidFill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</xdr:col>
      <xdr:colOff>1009859</xdr:colOff>
      <xdr:row>15</xdr:row>
      <xdr:rowOff>137991</xdr:rowOff>
    </xdr:from>
    <xdr:to>
      <xdr:col>1</xdr:col>
      <xdr:colOff>1228934</xdr:colOff>
      <xdr:row>17</xdr:row>
      <xdr:rowOff>61791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1C00-000007000000}"/>
            </a:ext>
          </a:extLst>
        </xdr:cNvPr>
        <xdr:cNvSpPr txBox="1"/>
      </xdr:nvSpPr>
      <xdr:spPr>
        <a:xfrm>
          <a:off x="1771859" y="2871252"/>
          <a:ext cx="219075" cy="2882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CL" sz="900" b="1">
              <a:solidFill>
                <a:schemeClr val="dk1"/>
              </a:solidFill>
              <a:latin typeface="+mn-lt"/>
              <a:ea typeface="+mn-ea"/>
              <a:cs typeface="+mn-cs"/>
            </a:rPr>
            <a:t>5</a:t>
          </a:r>
        </a:p>
      </xdr:txBody>
    </xdr:sp>
    <xdr:clientData/>
  </xdr:twoCellAnchor>
  <xdr:twoCellAnchor>
    <xdr:from>
      <xdr:col>1</xdr:col>
      <xdr:colOff>1473924</xdr:colOff>
      <xdr:row>12</xdr:row>
      <xdr:rowOff>151147</xdr:rowOff>
    </xdr:from>
    <xdr:to>
      <xdr:col>2</xdr:col>
      <xdr:colOff>32193</xdr:colOff>
      <xdr:row>14</xdr:row>
      <xdr:rowOff>65423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1C00-000008000000}"/>
            </a:ext>
          </a:extLst>
        </xdr:cNvPr>
        <xdr:cNvSpPr txBox="1"/>
      </xdr:nvSpPr>
      <xdr:spPr>
        <a:xfrm>
          <a:off x="2235924" y="2337756"/>
          <a:ext cx="330747" cy="2787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CL" sz="900" b="1">
              <a:solidFill>
                <a:schemeClr val="dk1"/>
              </a:solidFill>
              <a:latin typeface="+mn-lt"/>
              <a:ea typeface="+mn-ea"/>
              <a:cs typeface="+mn-cs"/>
            </a:rPr>
            <a:t>6</a:t>
          </a:r>
        </a:p>
      </xdr:txBody>
    </xdr:sp>
    <xdr:clientData/>
  </xdr:twoCellAnchor>
  <xdr:twoCellAnchor>
    <xdr:from>
      <xdr:col>3</xdr:col>
      <xdr:colOff>277142</xdr:colOff>
      <xdr:row>11</xdr:row>
      <xdr:rowOff>174345</xdr:rowOff>
    </xdr:from>
    <xdr:to>
      <xdr:col>3</xdr:col>
      <xdr:colOff>499392</xdr:colOff>
      <xdr:row>13</xdr:row>
      <xdr:rowOff>93509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1C00-000009000000}"/>
            </a:ext>
          </a:extLst>
        </xdr:cNvPr>
        <xdr:cNvSpPr txBox="1"/>
      </xdr:nvSpPr>
      <xdr:spPr>
        <a:xfrm>
          <a:off x="3689577" y="2178736"/>
          <a:ext cx="222250" cy="2835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CL" sz="900" b="1">
              <a:solidFill>
                <a:schemeClr val="dk1"/>
              </a:solidFill>
              <a:latin typeface="+mn-lt"/>
              <a:ea typeface="+mn-ea"/>
              <a:cs typeface="+mn-cs"/>
            </a:rPr>
            <a:t>7</a:t>
          </a:r>
        </a:p>
      </xdr:txBody>
    </xdr:sp>
    <xdr:clientData/>
  </xdr:twoCellAnchor>
  <xdr:twoCellAnchor>
    <xdr:from>
      <xdr:col>4</xdr:col>
      <xdr:colOff>47510</xdr:colOff>
      <xdr:row>13</xdr:row>
      <xdr:rowOff>68980</xdr:rowOff>
    </xdr:from>
    <xdr:to>
      <xdr:col>4</xdr:col>
      <xdr:colOff>276110</xdr:colOff>
      <xdr:row>14</xdr:row>
      <xdr:rowOff>165473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0000000-0008-0000-1C00-00000A000000}"/>
            </a:ext>
          </a:extLst>
        </xdr:cNvPr>
        <xdr:cNvSpPr txBox="1"/>
      </xdr:nvSpPr>
      <xdr:spPr>
        <a:xfrm>
          <a:off x="4221945" y="2437806"/>
          <a:ext cx="228600" cy="2787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CL" sz="900" b="1">
              <a:solidFill>
                <a:schemeClr val="dk1"/>
              </a:solidFill>
              <a:latin typeface="+mn-lt"/>
              <a:ea typeface="+mn-ea"/>
              <a:cs typeface="+mn-cs"/>
            </a:rPr>
            <a:t>8</a:t>
          </a:r>
        </a:p>
      </xdr:txBody>
    </xdr:sp>
    <xdr:clientData/>
  </xdr:twoCellAnchor>
  <xdr:twoCellAnchor>
    <xdr:from>
      <xdr:col>3</xdr:col>
      <xdr:colOff>91204</xdr:colOff>
      <xdr:row>17</xdr:row>
      <xdr:rowOff>97159</xdr:rowOff>
    </xdr:from>
    <xdr:to>
      <xdr:col>3</xdr:col>
      <xdr:colOff>310279</xdr:colOff>
      <xdr:row>19</xdr:row>
      <xdr:rowOff>20959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00000000-0008-0000-1C00-00000B000000}"/>
            </a:ext>
          </a:extLst>
        </xdr:cNvPr>
        <xdr:cNvSpPr txBox="1"/>
      </xdr:nvSpPr>
      <xdr:spPr>
        <a:xfrm>
          <a:off x="3503639" y="3194855"/>
          <a:ext cx="219075" cy="2882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CL" sz="900" b="1">
              <a:solidFill>
                <a:schemeClr val="dk1"/>
              </a:solidFill>
              <a:latin typeface="+mn-lt"/>
              <a:ea typeface="+mn-ea"/>
              <a:cs typeface="+mn-cs"/>
            </a:rPr>
            <a:t>9</a:t>
          </a:r>
        </a:p>
      </xdr:txBody>
    </xdr:sp>
    <xdr:clientData/>
  </xdr:twoCellAnchor>
  <xdr:twoCellAnchor>
    <xdr:from>
      <xdr:col>2</xdr:col>
      <xdr:colOff>719258</xdr:colOff>
      <xdr:row>15</xdr:row>
      <xdr:rowOff>9197</xdr:rowOff>
    </xdr:from>
    <xdr:to>
      <xdr:col>3</xdr:col>
      <xdr:colOff>188486</xdr:colOff>
      <xdr:row>16</xdr:row>
      <xdr:rowOff>107403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0000000-0008-0000-1C00-00000C000000}"/>
            </a:ext>
          </a:extLst>
        </xdr:cNvPr>
        <xdr:cNvSpPr txBox="1"/>
      </xdr:nvSpPr>
      <xdr:spPr>
        <a:xfrm>
          <a:off x="3253736" y="2742458"/>
          <a:ext cx="347185" cy="2804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CL" sz="900" b="1">
              <a:solidFill>
                <a:schemeClr val="dk1"/>
              </a:solidFill>
              <a:latin typeface="+mn-lt"/>
              <a:ea typeface="+mn-ea"/>
              <a:cs typeface="+mn-cs"/>
            </a:rPr>
            <a:t>10</a:t>
          </a:r>
        </a:p>
      </xdr:txBody>
    </xdr:sp>
    <xdr:clientData/>
  </xdr:twoCellAnchor>
  <xdr:twoCellAnchor>
    <xdr:from>
      <xdr:col>4</xdr:col>
      <xdr:colOff>742859</xdr:colOff>
      <xdr:row>12</xdr:row>
      <xdr:rowOff>15256</xdr:rowOff>
    </xdr:from>
    <xdr:to>
      <xdr:col>5</xdr:col>
      <xdr:colOff>323759</xdr:colOff>
      <xdr:row>13</xdr:row>
      <xdr:rowOff>110506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00000000-0008-0000-1C00-00000D000000}"/>
            </a:ext>
          </a:extLst>
        </xdr:cNvPr>
        <xdr:cNvSpPr txBox="1"/>
      </xdr:nvSpPr>
      <xdr:spPr>
        <a:xfrm>
          <a:off x="4917294" y="2201865"/>
          <a:ext cx="342900" cy="2774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CL" sz="900" b="1">
              <a:solidFill>
                <a:schemeClr val="dk1"/>
              </a:solidFill>
              <a:latin typeface="+mn-lt"/>
              <a:ea typeface="+mn-ea"/>
              <a:cs typeface="+mn-cs"/>
            </a:rPr>
            <a:t>11</a:t>
          </a:r>
        </a:p>
      </xdr:txBody>
    </xdr:sp>
    <xdr:clientData/>
  </xdr:twoCellAnchor>
  <xdr:twoCellAnchor>
    <xdr:from>
      <xdr:col>2</xdr:col>
      <xdr:colOff>52090</xdr:colOff>
      <xdr:row>15</xdr:row>
      <xdr:rowOff>123330</xdr:rowOff>
    </xdr:from>
    <xdr:to>
      <xdr:col>2</xdr:col>
      <xdr:colOff>505519</xdr:colOff>
      <xdr:row>17</xdr:row>
      <xdr:rowOff>39318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00000000-0008-0000-1C00-00000E000000}"/>
            </a:ext>
          </a:extLst>
        </xdr:cNvPr>
        <xdr:cNvSpPr txBox="1"/>
      </xdr:nvSpPr>
      <xdr:spPr>
        <a:xfrm>
          <a:off x="2586568" y="2856591"/>
          <a:ext cx="453429" cy="2804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CL" sz="900" b="1">
              <a:solidFill>
                <a:schemeClr val="dk1"/>
              </a:solidFill>
              <a:latin typeface="+mn-lt"/>
              <a:ea typeface="+mn-ea"/>
              <a:cs typeface="+mn-cs"/>
            </a:rPr>
            <a:t>12</a:t>
          </a:r>
        </a:p>
      </xdr:txBody>
    </xdr:sp>
    <xdr:clientData/>
  </xdr:twoCellAnchor>
  <xdr:twoCellAnchor>
    <xdr:from>
      <xdr:col>1</xdr:col>
      <xdr:colOff>999549</xdr:colOff>
      <xdr:row>9</xdr:row>
      <xdr:rowOff>101561</xdr:rowOff>
    </xdr:from>
    <xdr:to>
      <xdr:col>1</xdr:col>
      <xdr:colOff>1343559</xdr:colOff>
      <xdr:row>11</xdr:row>
      <xdr:rowOff>27076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SpPr txBox="1"/>
      </xdr:nvSpPr>
      <xdr:spPr>
        <a:xfrm>
          <a:off x="1761549" y="1741518"/>
          <a:ext cx="344010" cy="2899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CL" sz="900" b="1">
              <a:solidFill>
                <a:schemeClr val="dk1"/>
              </a:solidFill>
              <a:latin typeface="+mn-lt"/>
              <a:ea typeface="+mn-ea"/>
              <a:cs typeface="+mn-cs"/>
            </a:rPr>
            <a:t>13</a:t>
          </a:r>
        </a:p>
      </xdr:txBody>
    </xdr:sp>
    <xdr:clientData/>
  </xdr:twoCellAnchor>
  <xdr:twoCellAnchor>
    <xdr:from>
      <xdr:col>1</xdr:col>
      <xdr:colOff>1531326</xdr:colOff>
      <xdr:row>2</xdr:row>
      <xdr:rowOff>75223</xdr:rowOff>
    </xdr:from>
    <xdr:to>
      <xdr:col>1</xdr:col>
      <xdr:colOff>1753576</xdr:colOff>
      <xdr:row>3</xdr:row>
      <xdr:rowOff>178289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SpPr txBox="1"/>
      </xdr:nvSpPr>
      <xdr:spPr>
        <a:xfrm>
          <a:off x="2293326" y="446454"/>
          <a:ext cx="222250" cy="2886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 b="1">
              <a:solidFill>
                <a:srgbClr val="FF0000"/>
              </a:solidFill>
            </a:rPr>
            <a:t>1</a:t>
          </a:r>
        </a:p>
      </xdr:txBody>
    </xdr:sp>
    <xdr:clientData/>
  </xdr:twoCellAnchor>
  <xdr:twoCellAnchor>
    <xdr:from>
      <xdr:col>1</xdr:col>
      <xdr:colOff>1004077</xdr:colOff>
      <xdr:row>6</xdr:row>
      <xdr:rowOff>139302</xdr:rowOff>
    </xdr:from>
    <xdr:to>
      <xdr:col>1</xdr:col>
      <xdr:colOff>1223152</xdr:colOff>
      <xdr:row>8</xdr:row>
      <xdr:rowOff>53578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SpPr txBox="1"/>
      </xdr:nvSpPr>
      <xdr:spPr>
        <a:xfrm>
          <a:off x="1766077" y="1210865"/>
          <a:ext cx="219075" cy="2714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CL" sz="1100" b="1">
              <a:solidFill>
                <a:srgbClr val="FF0000"/>
              </a:solidFill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2</xdr:col>
      <xdr:colOff>91592</xdr:colOff>
      <xdr:row>9</xdr:row>
      <xdr:rowOff>154867</xdr:rowOff>
    </xdr:from>
    <xdr:to>
      <xdr:col>2</xdr:col>
      <xdr:colOff>320192</xdr:colOff>
      <xdr:row>11</xdr:row>
      <xdr:rowOff>69143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SpPr txBox="1"/>
      </xdr:nvSpPr>
      <xdr:spPr>
        <a:xfrm>
          <a:off x="2627623" y="1762211"/>
          <a:ext cx="228600" cy="2714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CL" sz="1100" b="1">
              <a:solidFill>
                <a:srgbClr val="FF0000"/>
              </a:solidFill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>
    <xdr:from>
      <xdr:col>1</xdr:col>
      <xdr:colOff>817168</xdr:colOff>
      <xdr:row>10</xdr:row>
      <xdr:rowOff>163301</xdr:rowOff>
    </xdr:from>
    <xdr:to>
      <xdr:col>1</xdr:col>
      <xdr:colOff>1045768</xdr:colOff>
      <xdr:row>12</xdr:row>
      <xdr:rowOff>88815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SpPr txBox="1"/>
      </xdr:nvSpPr>
      <xdr:spPr>
        <a:xfrm>
          <a:off x="1579168" y="1985475"/>
          <a:ext cx="228600" cy="2899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CL" sz="1100" b="1">
              <a:solidFill>
                <a:srgbClr val="FF0000"/>
              </a:solidFill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2</xdr:col>
      <xdr:colOff>475674</xdr:colOff>
      <xdr:row>11</xdr:row>
      <xdr:rowOff>93512</xdr:rowOff>
    </xdr:from>
    <xdr:to>
      <xdr:col>2</xdr:col>
      <xdr:colOff>705712</xdr:colOff>
      <xdr:row>13</xdr:row>
      <xdr:rowOff>13124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SpPr txBox="1"/>
      </xdr:nvSpPr>
      <xdr:spPr>
        <a:xfrm>
          <a:off x="3011705" y="2058043"/>
          <a:ext cx="230038" cy="276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CL" sz="1100" b="1">
              <a:solidFill>
                <a:srgbClr val="FF0000"/>
              </a:solidFill>
              <a:latin typeface="+mn-lt"/>
              <a:ea typeface="+mn-ea"/>
              <a:cs typeface="+mn-cs"/>
            </a:rPr>
            <a:t>5</a:t>
          </a:r>
        </a:p>
      </xdr:txBody>
    </xdr:sp>
    <xdr:clientData/>
  </xdr:twoCellAnchor>
  <xdr:twoCellAnchor>
    <xdr:from>
      <xdr:col>4</xdr:col>
      <xdr:colOff>477731</xdr:colOff>
      <xdr:row>11</xdr:row>
      <xdr:rowOff>15708</xdr:rowOff>
    </xdr:from>
    <xdr:to>
      <xdr:col>4</xdr:col>
      <xdr:colOff>696806</xdr:colOff>
      <xdr:row>12</xdr:row>
      <xdr:rowOff>118769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SpPr txBox="1"/>
      </xdr:nvSpPr>
      <xdr:spPr>
        <a:xfrm>
          <a:off x="4652166" y="2020099"/>
          <a:ext cx="219075" cy="2852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CL" sz="1100" b="1">
              <a:solidFill>
                <a:srgbClr val="FF0000"/>
              </a:solidFill>
              <a:latin typeface="+mn-lt"/>
              <a:ea typeface="+mn-ea"/>
              <a:cs typeface="+mn-cs"/>
            </a:rPr>
            <a:t>6</a:t>
          </a:r>
        </a:p>
      </xdr:txBody>
    </xdr:sp>
    <xdr:clientData/>
  </xdr:twoCellAnchor>
  <xdr:twoCellAnchor>
    <xdr:from>
      <xdr:col>4</xdr:col>
      <xdr:colOff>417291</xdr:colOff>
      <xdr:row>17</xdr:row>
      <xdr:rowOff>41304</xdr:rowOff>
    </xdr:from>
    <xdr:to>
      <xdr:col>4</xdr:col>
      <xdr:colOff>636366</xdr:colOff>
      <xdr:row>18</xdr:row>
      <xdr:rowOff>139510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00000000-0008-0000-1C00-000016000000}"/>
            </a:ext>
          </a:extLst>
        </xdr:cNvPr>
        <xdr:cNvSpPr txBox="1"/>
      </xdr:nvSpPr>
      <xdr:spPr>
        <a:xfrm>
          <a:off x="4591726" y="3139000"/>
          <a:ext cx="219075" cy="2804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CL" sz="1100" b="1">
              <a:solidFill>
                <a:srgbClr val="FF0000"/>
              </a:solidFill>
              <a:latin typeface="+mn-lt"/>
              <a:ea typeface="+mn-ea"/>
              <a:cs typeface="+mn-cs"/>
            </a:rPr>
            <a:t>7</a:t>
          </a:r>
        </a:p>
      </xdr:txBody>
    </xdr:sp>
    <xdr:clientData/>
  </xdr:twoCellAnchor>
  <xdr:twoCellAnchor editAs="oneCell">
    <xdr:from>
      <xdr:col>1</xdr:col>
      <xdr:colOff>0</xdr:colOff>
      <xdr:row>36</xdr:row>
      <xdr:rowOff>182217</xdr:rowOff>
    </xdr:from>
    <xdr:to>
      <xdr:col>6</xdr:col>
      <xdr:colOff>199707</xdr:colOff>
      <xdr:row>46</xdr:row>
      <xdr:rowOff>142990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6742043"/>
          <a:ext cx="5628815" cy="1776597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400049</xdr:colOff>
      <xdr:row>3</xdr:row>
      <xdr:rowOff>21373</xdr:rowOff>
    </xdr:from>
    <xdr:to>
      <xdr:col>9</xdr:col>
      <xdr:colOff>104775</xdr:colOff>
      <xdr:row>20</xdr:row>
      <xdr:rowOff>85396</xdr:rowOff>
    </xdr:to>
    <xdr:grpSp>
      <xdr:nvGrpSpPr>
        <xdr:cNvPr id="25" name="Grupo 24">
          <a:extLst>
            <a:ext uri="{FF2B5EF4-FFF2-40B4-BE49-F238E27FC236}">
              <a16:creationId xmlns:a16="http://schemas.microsoft.com/office/drawing/2014/main" id="{00000000-0008-0000-1D00-000019000000}"/>
            </a:ext>
          </a:extLst>
        </xdr:cNvPr>
        <xdr:cNvGrpSpPr/>
      </xdr:nvGrpSpPr>
      <xdr:grpSpPr>
        <a:xfrm>
          <a:off x="400049" y="573823"/>
          <a:ext cx="10283826" cy="3848623"/>
          <a:chOff x="400049" y="573166"/>
          <a:chExt cx="5396844" cy="3194026"/>
        </a:xfrm>
      </xdr:grpSpPr>
      <xdr:pic>
        <xdr:nvPicPr>
          <xdr:cNvPr id="2" name="Imagen 1">
            <a:extLst>
              <a:ext uri="{FF2B5EF4-FFF2-40B4-BE49-F238E27FC236}">
                <a16:creationId xmlns:a16="http://schemas.microsoft.com/office/drawing/2014/main" id="{00000000-0008-0000-1D00-00000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00049" y="639577"/>
            <a:ext cx="5396844" cy="3108610"/>
          </a:xfrm>
          <a:prstGeom prst="rect">
            <a:avLst/>
          </a:prstGeom>
        </xdr:spPr>
      </xdr:pic>
      <xdr:grpSp>
        <xdr:nvGrpSpPr>
          <xdr:cNvPr id="23" name="Grupo 22">
            <a:extLst>
              <a:ext uri="{FF2B5EF4-FFF2-40B4-BE49-F238E27FC236}">
                <a16:creationId xmlns:a16="http://schemas.microsoft.com/office/drawing/2014/main" id="{00000000-0008-0000-1D00-000017000000}"/>
              </a:ext>
            </a:extLst>
          </xdr:cNvPr>
          <xdr:cNvGrpSpPr/>
        </xdr:nvGrpSpPr>
        <xdr:grpSpPr>
          <a:xfrm>
            <a:off x="1074448" y="573166"/>
            <a:ext cx="3808146" cy="2943080"/>
            <a:chOff x="1074448" y="573166"/>
            <a:chExt cx="3808146" cy="2943080"/>
          </a:xfrm>
        </xdr:grpSpPr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00000000-0008-0000-1D00-000003000000}"/>
                </a:ext>
              </a:extLst>
            </xdr:cNvPr>
            <xdr:cNvSpPr txBox="1"/>
          </xdr:nvSpPr>
          <xdr:spPr>
            <a:xfrm>
              <a:off x="1074448" y="859111"/>
              <a:ext cx="228600" cy="29483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1</a:t>
              </a:r>
            </a:p>
          </xdr:txBody>
        </xdr:sp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00000000-0008-0000-1D00-000004000000}"/>
                </a:ext>
              </a:extLst>
            </xdr:cNvPr>
            <xdr:cNvSpPr txBox="1"/>
          </xdr:nvSpPr>
          <xdr:spPr>
            <a:xfrm>
              <a:off x="1606700" y="1008419"/>
              <a:ext cx="222250" cy="30753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CL" sz="900" b="1"/>
                <a:t>2</a:t>
              </a:r>
            </a:p>
          </xdr:txBody>
        </xdr:sp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00000000-0008-0000-1D00-000005000000}"/>
                </a:ext>
              </a:extLst>
            </xdr:cNvPr>
            <xdr:cNvSpPr txBox="1"/>
          </xdr:nvSpPr>
          <xdr:spPr>
            <a:xfrm>
              <a:off x="1992584" y="880500"/>
              <a:ext cx="338409" cy="28235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3</a:t>
              </a:r>
            </a:p>
          </xdr:txBody>
        </xdr:sp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00000000-0008-0000-1D00-000006000000}"/>
                </a:ext>
              </a:extLst>
            </xdr:cNvPr>
            <xdr:cNvSpPr txBox="1"/>
          </xdr:nvSpPr>
          <xdr:spPr>
            <a:xfrm>
              <a:off x="1610835" y="1952228"/>
              <a:ext cx="219075" cy="2916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4</a:t>
              </a:r>
            </a:p>
          </xdr:txBody>
        </xdr:sp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00000000-0008-0000-1D00-000007000000}"/>
                </a:ext>
              </a:extLst>
            </xdr:cNvPr>
            <xdr:cNvSpPr txBox="1"/>
          </xdr:nvSpPr>
          <xdr:spPr>
            <a:xfrm>
              <a:off x="1588814" y="2753978"/>
              <a:ext cx="231775" cy="29166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5</a:t>
              </a:r>
            </a:p>
          </xdr:txBody>
        </xdr:sp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00000000-0008-0000-1D00-000008000000}"/>
                </a:ext>
              </a:extLst>
            </xdr:cNvPr>
            <xdr:cNvSpPr txBox="1"/>
          </xdr:nvSpPr>
          <xdr:spPr>
            <a:xfrm>
              <a:off x="1876002" y="2255504"/>
              <a:ext cx="330747" cy="27941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6</a:t>
              </a:r>
            </a:p>
          </xdr:txBody>
        </xdr:sp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00000000-0008-0000-1D00-000009000000}"/>
                </a:ext>
              </a:extLst>
            </xdr:cNvPr>
            <xdr:cNvSpPr txBox="1"/>
          </xdr:nvSpPr>
          <xdr:spPr>
            <a:xfrm>
              <a:off x="2761491" y="2244476"/>
              <a:ext cx="215900" cy="27896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7</a:t>
              </a:r>
            </a:p>
          </xdr:txBody>
        </xdr:sp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00000000-0008-0000-1D00-00000A000000}"/>
                </a:ext>
              </a:extLst>
            </xdr:cNvPr>
            <xdr:cNvSpPr txBox="1"/>
          </xdr:nvSpPr>
          <xdr:spPr>
            <a:xfrm>
              <a:off x="3972636" y="2517609"/>
              <a:ext cx="228600" cy="26943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8</a:t>
              </a:r>
            </a:p>
          </xdr:txBody>
        </xdr:sp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00000000-0008-0000-1D00-00000B000000}"/>
                </a:ext>
              </a:extLst>
            </xdr:cNvPr>
            <xdr:cNvSpPr txBox="1"/>
          </xdr:nvSpPr>
          <xdr:spPr>
            <a:xfrm>
              <a:off x="3835024" y="3224584"/>
              <a:ext cx="231775" cy="29166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9</a:t>
              </a:r>
            </a:p>
          </xdr:txBody>
        </xdr:sp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00000000-0008-0000-1D00-00000C000000}"/>
                </a:ext>
              </a:extLst>
            </xdr:cNvPr>
            <xdr:cNvSpPr txBox="1"/>
          </xdr:nvSpPr>
          <xdr:spPr>
            <a:xfrm>
              <a:off x="3502161" y="2788220"/>
              <a:ext cx="347387" cy="28531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10</a:t>
              </a:r>
            </a:p>
          </xdr:txBody>
        </xdr:sp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00000000-0008-0000-1D00-00000D000000}"/>
                </a:ext>
              </a:extLst>
            </xdr:cNvPr>
            <xdr:cNvSpPr txBox="1"/>
          </xdr:nvSpPr>
          <xdr:spPr>
            <a:xfrm>
              <a:off x="4539694" y="2402097"/>
              <a:ext cx="342900" cy="2791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11</a:t>
              </a:r>
            </a:p>
          </xdr:txBody>
        </xdr:sp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00000000-0008-0000-1D00-00000E000000}"/>
                </a:ext>
              </a:extLst>
            </xdr:cNvPr>
            <xdr:cNvSpPr txBox="1"/>
          </xdr:nvSpPr>
          <xdr:spPr>
            <a:xfrm>
              <a:off x="2961948" y="2560244"/>
              <a:ext cx="459420" cy="2848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12</a:t>
              </a:r>
            </a:p>
          </xdr:txBody>
        </xdr:sp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00000000-0008-0000-1D00-00000F000000}"/>
                </a:ext>
              </a:extLst>
            </xdr:cNvPr>
            <xdr:cNvSpPr txBox="1"/>
          </xdr:nvSpPr>
          <xdr:spPr>
            <a:xfrm>
              <a:off x="3386083" y="2445585"/>
              <a:ext cx="339725" cy="2980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13</a:t>
              </a:r>
            </a:p>
          </xdr:txBody>
        </xdr:sp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00000000-0008-0000-1D00-000010000000}"/>
                </a:ext>
              </a:extLst>
            </xdr:cNvPr>
            <xdr:cNvSpPr txBox="1"/>
          </xdr:nvSpPr>
          <xdr:spPr>
            <a:xfrm>
              <a:off x="1863880" y="573166"/>
              <a:ext cx="228600" cy="2794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1100" b="1">
                  <a:solidFill>
                    <a:srgbClr val="FF0000"/>
                  </a:solidFill>
                  <a:latin typeface="+mn-lt"/>
                  <a:ea typeface="+mn-ea"/>
                  <a:cs typeface="+mn-cs"/>
                </a:rPr>
                <a:t>1</a:t>
              </a:r>
            </a:p>
          </xdr:txBody>
        </xdr:sp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00000000-0008-0000-1D00-000011000000}"/>
                </a:ext>
              </a:extLst>
            </xdr:cNvPr>
            <xdr:cNvSpPr txBox="1"/>
          </xdr:nvSpPr>
          <xdr:spPr>
            <a:xfrm>
              <a:off x="1419303" y="1372932"/>
              <a:ext cx="228600" cy="2794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1100" b="1">
                  <a:solidFill>
                    <a:srgbClr val="FF0000"/>
                  </a:solidFill>
                  <a:latin typeface="+mn-lt"/>
                  <a:ea typeface="+mn-ea"/>
                  <a:cs typeface="+mn-cs"/>
                </a:rPr>
                <a:t>2</a:t>
              </a:r>
            </a:p>
          </xdr:txBody>
        </xdr:sp>
        <xdr:sp macro="" textlink="">
          <xdr:nvSpPr>
            <xdr:cNvPr id="18" name="CuadroTexto 17">
              <a:extLst>
                <a:ext uri="{FF2B5EF4-FFF2-40B4-BE49-F238E27FC236}">
                  <a16:creationId xmlns:a16="http://schemas.microsoft.com/office/drawing/2014/main" id="{00000000-0008-0000-1D00-000012000000}"/>
                </a:ext>
              </a:extLst>
            </xdr:cNvPr>
            <xdr:cNvSpPr txBox="1"/>
          </xdr:nvSpPr>
          <xdr:spPr>
            <a:xfrm>
              <a:off x="1237321" y="2044382"/>
              <a:ext cx="222250" cy="28576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1100" b="1">
                  <a:solidFill>
                    <a:srgbClr val="FF0000"/>
                  </a:solidFill>
                  <a:latin typeface="+mn-lt"/>
                  <a:ea typeface="+mn-ea"/>
                  <a:cs typeface="+mn-cs"/>
                </a:rPr>
                <a:t>3</a:t>
              </a:r>
            </a:p>
          </xdr:txBody>
        </xdr:sp>
        <xdr:sp macro="" textlink="">
          <xdr:nvSpPr>
            <xdr:cNvPr id="19" name="CuadroTexto 18">
              <a:extLst>
                <a:ext uri="{FF2B5EF4-FFF2-40B4-BE49-F238E27FC236}">
                  <a16:creationId xmlns:a16="http://schemas.microsoft.com/office/drawing/2014/main" id="{00000000-0008-0000-1D00-000013000000}"/>
                </a:ext>
              </a:extLst>
            </xdr:cNvPr>
            <xdr:cNvSpPr txBox="1"/>
          </xdr:nvSpPr>
          <xdr:spPr>
            <a:xfrm>
              <a:off x="2566029" y="2145756"/>
              <a:ext cx="228600" cy="29121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1100" b="1">
                  <a:solidFill>
                    <a:srgbClr val="FF0000"/>
                  </a:solidFill>
                  <a:latin typeface="+mn-lt"/>
                  <a:ea typeface="+mn-ea"/>
                  <a:cs typeface="+mn-cs"/>
                </a:rPr>
                <a:t>4</a:t>
              </a:r>
            </a:p>
          </xdr:txBody>
        </xdr:sp>
        <xdr:sp macro="" textlink="">
          <xdr:nvSpPr>
            <xdr:cNvPr id="20" name="CuadroTexto 19">
              <a:extLst>
                <a:ext uri="{FF2B5EF4-FFF2-40B4-BE49-F238E27FC236}">
                  <a16:creationId xmlns:a16="http://schemas.microsoft.com/office/drawing/2014/main" id="{00000000-0008-0000-1D00-000014000000}"/>
                </a:ext>
              </a:extLst>
            </xdr:cNvPr>
            <xdr:cNvSpPr txBox="1"/>
          </xdr:nvSpPr>
          <xdr:spPr>
            <a:xfrm>
              <a:off x="3088831" y="2086968"/>
              <a:ext cx="236262" cy="28213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1100" b="1">
                  <a:solidFill>
                    <a:srgbClr val="FF0000"/>
                  </a:solidFill>
                  <a:latin typeface="+mn-lt"/>
                  <a:ea typeface="+mn-ea"/>
                  <a:cs typeface="+mn-cs"/>
                </a:rPr>
                <a:t>5</a:t>
              </a:r>
            </a:p>
          </xdr:txBody>
        </xdr:sp>
        <xdr:sp macro="" textlink="">
          <xdr:nvSpPr>
            <xdr:cNvPr id="21" name="CuadroTexto 20">
              <a:extLst>
                <a:ext uri="{FF2B5EF4-FFF2-40B4-BE49-F238E27FC236}">
                  <a16:creationId xmlns:a16="http://schemas.microsoft.com/office/drawing/2014/main" id="{00000000-0008-0000-1D00-000015000000}"/>
                </a:ext>
              </a:extLst>
            </xdr:cNvPr>
            <xdr:cNvSpPr txBox="1"/>
          </xdr:nvSpPr>
          <xdr:spPr>
            <a:xfrm>
              <a:off x="4298259" y="2168239"/>
              <a:ext cx="219075" cy="2918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1100" b="1">
                  <a:solidFill>
                    <a:srgbClr val="FF0000"/>
                  </a:solidFill>
                  <a:latin typeface="+mn-lt"/>
                  <a:ea typeface="+mn-ea"/>
                  <a:cs typeface="+mn-cs"/>
                </a:rPr>
                <a:t>6</a:t>
              </a:r>
            </a:p>
          </xdr:txBody>
        </xdr:sp>
        <xdr:sp macro="" textlink="">
          <xdr:nvSpPr>
            <xdr:cNvPr id="22" name="CuadroTexto 21">
              <a:extLst>
                <a:ext uri="{FF2B5EF4-FFF2-40B4-BE49-F238E27FC236}">
                  <a16:creationId xmlns:a16="http://schemas.microsoft.com/office/drawing/2014/main" id="{00000000-0008-0000-1D00-000016000000}"/>
                </a:ext>
              </a:extLst>
            </xdr:cNvPr>
            <xdr:cNvSpPr txBox="1"/>
          </xdr:nvSpPr>
          <xdr:spPr>
            <a:xfrm>
              <a:off x="4200581" y="3124150"/>
              <a:ext cx="219075" cy="28168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CL" sz="1100" b="1">
                  <a:solidFill>
                    <a:srgbClr val="FF0000"/>
                  </a:solidFill>
                </a:rPr>
                <a:t>7</a:t>
              </a:r>
            </a:p>
          </xdr:txBody>
        </xdr:sp>
      </xdr:grpSp>
      <xdr:sp macro="" textlink="">
        <xdr:nvSpPr>
          <xdr:cNvPr id="24" name="Rectángulo 23">
            <a:extLst>
              <a:ext uri="{FF2B5EF4-FFF2-40B4-BE49-F238E27FC236}">
                <a16:creationId xmlns:a16="http://schemas.microsoft.com/office/drawing/2014/main" id="{00000000-0008-0000-1D00-000018000000}"/>
              </a:ext>
            </a:extLst>
          </xdr:cNvPr>
          <xdr:cNvSpPr/>
        </xdr:nvSpPr>
        <xdr:spPr>
          <a:xfrm>
            <a:off x="410670" y="3432394"/>
            <a:ext cx="742074" cy="334798"/>
          </a:xfrm>
          <a:prstGeom prst="rect">
            <a:avLst/>
          </a:prstGeom>
          <a:solidFill>
            <a:sysClr val="window" lastClr="FFFFFF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L" sz="1100"/>
          </a:p>
        </xdr:txBody>
      </xdr:sp>
    </xdr:grpSp>
    <xdr:clientData/>
  </xdr:twoCellAnchor>
  <xdr:twoCellAnchor editAs="oneCell">
    <xdr:from>
      <xdr:col>1</xdr:col>
      <xdr:colOff>177799</xdr:colOff>
      <xdr:row>67</xdr:row>
      <xdr:rowOff>115207</xdr:rowOff>
    </xdr:from>
    <xdr:to>
      <xdr:col>4</xdr:col>
      <xdr:colOff>1116365</xdr:colOff>
      <xdr:row>77</xdr:row>
      <xdr:rowOff>76907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D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0728" y="10393136"/>
          <a:ext cx="5401708" cy="1775985"/>
        </a:xfrm>
        <a:prstGeom prst="rect">
          <a:avLst/>
        </a:prstGeom>
      </xdr:spPr>
    </xdr:pic>
    <xdr:clientData/>
  </xdr:twoCellAnchor>
  <xdr:twoCellAnchor>
    <xdr:from>
      <xdr:col>24</xdr:col>
      <xdr:colOff>264143</xdr:colOff>
      <xdr:row>18</xdr:row>
      <xdr:rowOff>25400</xdr:rowOff>
    </xdr:from>
    <xdr:to>
      <xdr:col>32</xdr:col>
      <xdr:colOff>751773</xdr:colOff>
      <xdr:row>41</xdr:row>
      <xdr:rowOff>161225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00000000-0008-0000-1D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619125</xdr:colOff>
      <xdr:row>2</xdr:row>
      <xdr:rowOff>8405</xdr:rowOff>
    </xdr:from>
    <xdr:to>
      <xdr:col>9</xdr:col>
      <xdr:colOff>330200</xdr:colOff>
      <xdr:row>5</xdr:row>
      <xdr:rowOff>21590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70575" y="192555"/>
          <a:ext cx="1997075" cy="565635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2</xdr:row>
      <xdr:rowOff>171450</xdr:rowOff>
    </xdr:from>
    <xdr:to>
      <xdr:col>2</xdr:col>
      <xdr:colOff>101600</xdr:colOff>
      <xdr:row>4</xdr:row>
      <xdr:rowOff>38100</xdr:rowOff>
    </xdr:to>
    <xdr:pic>
      <xdr:nvPicPr>
        <xdr:cNvPr id="3" name="Imagen 2" descr="Alianzas – SIMIN 2021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355600"/>
          <a:ext cx="2159000" cy="234950"/>
        </a:xfrm>
        <a:prstGeom prst="rect">
          <a:avLst/>
        </a:prstGeom>
        <a:noFill/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9</xdr:col>
      <xdr:colOff>37951</xdr:colOff>
      <xdr:row>25</xdr:row>
      <xdr:rowOff>130794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9140" y="594360"/>
          <a:ext cx="6674971" cy="4154154"/>
        </a:xfrm>
        <a:prstGeom prst="rect">
          <a:avLst/>
        </a:prstGeom>
      </xdr:spPr>
    </xdr:pic>
    <xdr:clientData/>
  </xdr:twoCellAnchor>
  <xdr:twoCellAnchor>
    <xdr:from>
      <xdr:col>12</xdr:col>
      <xdr:colOff>609332</xdr:colOff>
      <xdr:row>26</xdr:row>
      <xdr:rowOff>113900</xdr:rowOff>
    </xdr:from>
    <xdr:to>
      <xdr:col>24</xdr:col>
      <xdr:colOff>418813</xdr:colOff>
      <xdr:row>56</xdr:row>
      <xdr:rowOff>28689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342900</xdr:colOff>
      <xdr:row>60</xdr:row>
      <xdr:rowOff>57150</xdr:rowOff>
    </xdr:from>
    <xdr:to>
      <xdr:col>28</xdr:col>
      <xdr:colOff>247631</xdr:colOff>
      <xdr:row>89</xdr:row>
      <xdr:rowOff>152914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2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126</xdr:row>
      <xdr:rowOff>0</xdr:rowOff>
    </xdr:from>
    <xdr:to>
      <xdr:col>7</xdr:col>
      <xdr:colOff>38100</xdr:colOff>
      <xdr:row>142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00000000-0008-0000-2000-000005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9300" y="23552150"/>
              <a:ext cx="5130800" cy="2965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8</xdr:col>
      <xdr:colOff>0</xdr:colOff>
      <xdr:row>126</xdr:row>
      <xdr:rowOff>0</xdr:rowOff>
    </xdr:from>
    <xdr:to>
      <xdr:col>14</xdr:col>
      <xdr:colOff>57150</xdr:colOff>
      <xdr:row>142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00000000-0008-0000-2000-000006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91300" y="23552150"/>
              <a:ext cx="4806950" cy="2965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15</xdr:col>
      <xdr:colOff>0</xdr:colOff>
      <xdr:row>126</xdr:row>
      <xdr:rowOff>0</xdr:rowOff>
    </xdr:from>
    <xdr:to>
      <xdr:col>21</xdr:col>
      <xdr:colOff>152400</xdr:colOff>
      <xdr:row>142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00000000-0008-0000-2000-000007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90400" y="23552150"/>
              <a:ext cx="4648200" cy="2965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20</xdr:col>
      <xdr:colOff>414618</xdr:colOff>
      <xdr:row>92</xdr:row>
      <xdr:rowOff>148852</xdr:rowOff>
    </xdr:from>
    <xdr:to>
      <xdr:col>32</xdr:col>
      <xdr:colOff>319349</xdr:colOff>
      <xdr:row>122</xdr:row>
      <xdr:rowOff>113307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2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186690</xdr:colOff>
      <xdr:row>116</xdr:row>
      <xdr:rowOff>121921</xdr:rowOff>
    </xdr:from>
    <xdr:to>
      <xdr:col>26</xdr:col>
      <xdr:colOff>106680</xdr:colOff>
      <xdr:row>118</xdr:row>
      <xdr:rowOff>40006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2000-000009000000}"/>
            </a:ext>
          </a:extLst>
        </xdr:cNvPr>
        <xdr:cNvSpPr txBox="1"/>
      </xdr:nvSpPr>
      <xdr:spPr>
        <a:xfrm>
          <a:off x="19411950" y="21709381"/>
          <a:ext cx="659130" cy="2838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000" b="1">
              <a:latin typeface="Source Sans Pro" panose="020B0503030403020204" pitchFamily="34" charset="0"/>
            </a:rPr>
            <a:t>Día</a:t>
          </a:r>
        </a:p>
      </xdr:txBody>
    </xdr:sp>
    <xdr:clientData/>
  </xdr:twoCellAnchor>
  <xdr:twoCellAnchor>
    <xdr:from>
      <xdr:col>25</xdr:col>
      <xdr:colOff>186690</xdr:colOff>
      <xdr:row>116</xdr:row>
      <xdr:rowOff>121921</xdr:rowOff>
    </xdr:from>
    <xdr:to>
      <xdr:col>26</xdr:col>
      <xdr:colOff>104775</xdr:colOff>
      <xdr:row>118</xdr:row>
      <xdr:rowOff>38101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0000000-0008-0000-2000-00000A000000}"/>
            </a:ext>
          </a:extLst>
        </xdr:cNvPr>
        <xdr:cNvSpPr txBox="1"/>
      </xdr:nvSpPr>
      <xdr:spPr>
        <a:xfrm>
          <a:off x="19411950" y="21709381"/>
          <a:ext cx="657225" cy="2819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000" b="1">
              <a:latin typeface="Source Sans Pro" panose="020B0503030403020204" pitchFamily="34" charset="0"/>
            </a:rPr>
            <a:t>Día</a:t>
          </a:r>
        </a:p>
      </xdr:txBody>
    </xdr:sp>
    <xdr:clientData/>
  </xdr:twoCellAnchor>
  <xdr:twoCellAnchor>
    <xdr:from>
      <xdr:col>26</xdr:col>
      <xdr:colOff>714375</xdr:colOff>
      <xdr:row>116</xdr:row>
      <xdr:rowOff>133350</xdr:rowOff>
    </xdr:from>
    <xdr:to>
      <xdr:col>27</xdr:col>
      <xdr:colOff>634365</xdr:colOff>
      <xdr:row>118</xdr:row>
      <xdr:rowOff>43815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00000000-0008-0000-2000-00000B000000}"/>
            </a:ext>
          </a:extLst>
        </xdr:cNvPr>
        <xdr:cNvSpPr txBox="1"/>
      </xdr:nvSpPr>
      <xdr:spPr>
        <a:xfrm>
          <a:off x="20678775" y="21720810"/>
          <a:ext cx="659130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000" b="1">
              <a:latin typeface="Source Sans Pro" panose="020B0503030403020204" pitchFamily="34" charset="0"/>
            </a:rPr>
            <a:t>Noche</a:t>
          </a:r>
        </a:p>
      </xdr:txBody>
    </xdr:sp>
    <xdr:clientData/>
  </xdr:twoCellAnchor>
  <xdr:twoCellAnchor>
    <xdr:from>
      <xdr:col>26</xdr:col>
      <xdr:colOff>714375</xdr:colOff>
      <xdr:row>116</xdr:row>
      <xdr:rowOff>133350</xdr:rowOff>
    </xdr:from>
    <xdr:to>
      <xdr:col>27</xdr:col>
      <xdr:colOff>632460</xdr:colOff>
      <xdr:row>118</xdr:row>
      <xdr:rowOff>49530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0000000-0008-0000-2000-00000C000000}"/>
            </a:ext>
          </a:extLst>
        </xdr:cNvPr>
        <xdr:cNvSpPr txBox="1"/>
      </xdr:nvSpPr>
      <xdr:spPr>
        <a:xfrm>
          <a:off x="20678775" y="21720810"/>
          <a:ext cx="657225" cy="2819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000" b="1">
              <a:latin typeface="Source Sans Pro" panose="020B0503030403020204" pitchFamily="34" charset="0"/>
            </a:rPr>
            <a:t>Noche</a:t>
          </a:r>
        </a:p>
      </xdr:txBody>
    </xdr:sp>
    <xdr:clientData/>
  </xdr:twoCellAnchor>
  <xdr:twoCellAnchor>
    <xdr:from>
      <xdr:col>28</xdr:col>
      <xdr:colOff>485775</xdr:colOff>
      <xdr:row>116</xdr:row>
      <xdr:rowOff>133350</xdr:rowOff>
    </xdr:from>
    <xdr:to>
      <xdr:col>29</xdr:col>
      <xdr:colOff>405765</xdr:colOff>
      <xdr:row>118</xdr:row>
      <xdr:rowOff>55245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00000000-0008-0000-2000-00000D000000}"/>
            </a:ext>
          </a:extLst>
        </xdr:cNvPr>
        <xdr:cNvSpPr txBox="1"/>
      </xdr:nvSpPr>
      <xdr:spPr>
        <a:xfrm>
          <a:off x="21928455" y="21720810"/>
          <a:ext cx="659130" cy="28765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000" b="1">
              <a:latin typeface="Source Sans Pro" panose="020B0503030403020204" pitchFamily="34" charset="0"/>
            </a:rPr>
            <a:t>Noche</a:t>
          </a:r>
        </a:p>
      </xdr:txBody>
    </xdr:sp>
    <xdr:clientData/>
  </xdr:twoCellAnchor>
  <xdr:twoCellAnchor>
    <xdr:from>
      <xdr:col>30</xdr:col>
      <xdr:colOff>295275</xdr:colOff>
      <xdr:row>116</xdr:row>
      <xdr:rowOff>114300</xdr:rowOff>
    </xdr:from>
    <xdr:to>
      <xdr:col>31</xdr:col>
      <xdr:colOff>215265</xdr:colOff>
      <xdr:row>118</xdr:row>
      <xdr:rowOff>36195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00000000-0008-0000-2000-00000E000000}"/>
            </a:ext>
          </a:extLst>
        </xdr:cNvPr>
        <xdr:cNvSpPr txBox="1"/>
      </xdr:nvSpPr>
      <xdr:spPr>
        <a:xfrm>
          <a:off x="23216235" y="21701760"/>
          <a:ext cx="659130" cy="28765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000" b="1">
              <a:latin typeface="Source Sans Pro" panose="020B0503030403020204" pitchFamily="34" charset="0"/>
            </a:rPr>
            <a:t>Noche</a:t>
          </a:r>
        </a:p>
      </xdr:txBody>
    </xdr:sp>
    <xdr:clientData/>
  </xdr:twoCellAnchor>
  <xdr:twoCellAnchor>
    <xdr:from>
      <xdr:col>25</xdr:col>
      <xdr:colOff>95250</xdr:colOff>
      <xdr:row>118</xdr:row>
      <xdr:rowOff>0</xdr:rowOff>
    </xdr:from>
    <xdr:to>
      <xdr:col>26</xdr:col>
      <xdr:colOff>182880</xdr:colOff>
      <xdr:row>119</xdr:row>
      <xdr:rowOff>97155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00000000-0008-0000-2000-00000F000000}"/>
            </a:ext>
          </a:extLst>
        </xdr:cNvPr>
        <xdr:cNvSpPr txBox="1"/>
      </xdr:nvSpPr>
      <xdr:spPr>
        <a:xfrm>
          <a:off x="19320510" y="21953220"/>
          <a:ext cx="826770" cy="2800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000" b="1">
              <a:latin typeface="Source Sans Pro" panose="020B0503030403020204" pitchFamily="34" charset="0"/>
            </a:rPr>
            <a:t>22-09-2025</a:t>
          </a:r>
        </a:p>
      </xdr:txBody>
    </xdr:sp>
    <xdr:clientData/>
  </xdr:twoCellAnchor>
  <xdr:twoCellAnchor>
    <xdr:from>
      <xdr:col>25</xdr:col>
      <xdr:colOff>95250</xdr:colOff>
      <xdr:row>118</xdr:row>
      <xdr:rowOff>0</xdr:rowOff>
    </xdr:from>
    <xdr:to>
      <xdr:col>26</xdr:col>
      <xdr:colOff>184785</xdr:colOff>
      <xdr:row>119</xdr:row>
      <xdr:rowOff>93345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00000000-0008-0000-2000-000010000000}"/>
            </a:ext>
          </a:extLst>
        </xdr:cNvPr>
        <xdr:cNvSpPr txBox="1"/>
      </xdr:nvSpPr>
      <xdr:spPr>
        <a:xfrm>
          <a:off x="19320510" y="21953220"/>
          <a:ext cx="828675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000" b="1">
              <a:latin typeface="Source Sans Pro" panose="020B0503030403020204" pitchFamily="34" charset="0"/>
            </a:rPr>
            <a:t>22-09-2025</a:t>
          </a:r>
        </a:p>
      </xdr:txBody>
    </xdr:sp>
    <xdr:clientData/>
  </xdr:twoCellAnchor>
  <xdr:twoCellAnchor>
    <xdr:from>
      <xdr:col>26</xdr:col>
      <xdr:colOff>628650</xdr:colOff>
      <xdr:row>118</xdr:row>
      <xdr:rowOff>0</xdr:rowOff>
    </xdr:from>
    <xdr:to>
      <xdr:col>27</xdr:col>
      <xdr:colOff>721995</xdr:colOff>
      <xdr:row>119</xdr:row>
      <xdr:rowOff>97155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00000000-0008-0000-2000-000011000000}"/>
            </a:ext>
          </a:extLst>
        </xdr:cNvPr>
        <xdr:cNvSpPr txBox="1"/>
      </xdr:nvSpPr>
      <xdr:spPr>
        <a:xfrm>
          <a:off x="20593050" y="21953220"/>
          <a:ext cx="832485" cy="2800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000" b="1">
              <a:latin typeface="Source Sans Pro" panose="020B0503030403020204" pitchFamily="34" charset="0"/>
            </a:rPr>
            <a:t>22-09-2025</a:t>
          </a:r>
        </a:p>
      </xdr:txBody>
    </xdr:sp>
    <xdr:clientData/>
  </xdr:twoCellAnchor>
  <xdr:twoCellAnchor>
    <xdr:from>
      <xdr:col>28</xdr:col>
      <xdr:colOff>381000</xdr:colOff>
      <xdr:row>118</xdr:row>
      <xdr:rowOff>0</xdr:rowOff>
    </xdr:from>
    <xdr:to>
      <xdr:col>29</xdr:col>
      <xdr:colOff>474345</xdr:colOff>
      <xdr:row>119</xdr:row>
      <xdr:rowOff>97155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00000000-0008-0000-2000-000012000000}"/>
            </a:ext>
          </a:extLst>
        </xdr:cNvPr>
        <xdr:cNvSpPr txBox="1"/>
      </xdr:nvSpPr>
      <xdr:spPr>
        <a:xfrm>
          <a:off x="21823680" y="21953220"/>
          <a:ext cx="832485" cy="2800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000" b="1">
              <a:latin typeface="Source Sans Pro" panose="020B0503030403020204" pitchFamily="34" charset="0"/>
            </a:rPr>
            <a:t>23-09-2025</a:t>
          </a:r>
        </a:p>
      </xdr:txBody>
    </xdr:sp>
    <xdr:clientData/>
  </xdr:twoCellAnchor>
  <xdr:twoCellAnchor>
    <xdr:from>
      <xdr:col>30</xdr:col>
      <xdr:colOff>180975</xdr:colOff>
      <xdr:row>117</xdr:row>
      <xdr:rowOff>171450</xdr:rowOff>
    </xdr:from>
    <xdr:to>
      <xdr:col>31</xdr:col>
      <xdr:colOff>274320</xdr:colOff>
      <xdr:row>119</xdr:row>
      <xdr:rowOff>87630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2000-000013000000}"/>
            </a:ext>
          </a:extLst>
        </xdr:cNvPr>
        <xdr:cNvSpPr txBox="1"/>
      </xdr:nvSpPr>
      <xdr:spPr>
        <a:xfrm>
          <a:off x="23101935" y="21941790"/>
          <a:ext cx="832485" cy="2819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000" b="1">
              <a:latin typeface="Source Sans Pro" panose="020B0503030403020204" pitchFamily="34" charset="0"/>
            </a:rPr>
            <a:t>25-09-2025</a:t>
          </a:r>
        </a:p>
      </xdr:txBody>
    </xdr:sp>
    <xdr:clientData/>
  </xdr:twoCellAnchor>
  <xdr:twoCellAnchor>
    <xdr:from>
      <xdr:col>24</xdr:col>
      <xdr:colOff>674370</xdr:colOff>
      <xdr:row>119</xdr:row>
      <xdr:rowOff>95250</xdr:rowOff>
    </xdr:from>
    <xdr:to>
      <xdr:col>31</xdr:col>
      <xdr:colOff>434340</xdr:colOff>
      <xdr:row>120</xdr:row>
      <xdr:rowOff>177165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00000000-0008-0000-2000-000014000000}"/>
            </a:ext>
          </a:extLst>
        </xdr:cNvPr>
        <xdr:cNvSpPr txBox="1"/>
      </xdr:nvSpPr>
      <xdr:spPr>
        <a:xfrm>
          <a:off x="19160490" y="22231350"/>
          <a:ext cx="4933950" cy="2647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000" b="1">
              <a:latin typeface="Source Sans Pro" panose="020B0503030403020204" pitchFamily="34" charset="0"/>
            </a:rPr>
            <a:t>Cu</a:t>
          </a:r>
          <a:r>
            <a:rPr lang="es-CL" sz="1000" b="1" baseline="0">
              <a:latin typeface="Source Sans Pro" panose="020B0503030403020204" pitchFamily="34" charset="0"/>
            </a:rPr>
            <a:t> Cond. 2</a:t>
          </a:r>
          <a:endParaRPr lang="es-CL" sz="1000" b="1">
            <a:latin typeface="Source Sans Pro" panose="020B0503030403020204" pitchFamily="34" charset="0"/>
          </a:endParaRPr>
        </a:p>
      </xdr:txBody>
    </xdr:sp>
    <xdr:clientData/>
  </xdr:twoCellAnchor>
</xdr:wsDr>
</file>

<file path=xl/drawings/drawing45.xml><?xml version="1.0" encoding="utf-8"?>
<c:userShapes xmlns:c="http://schemas.openxmlformats.org/drawingml/2006/chart">
  <cdr:relSizeAnchor xmlns:cdr="http://schemas.openxmlformats.org/drawingml/2006/chartDrawing">
    <cdr:from>
      <cdr:x>0.35943</cdr:x>
      <cdr:y>0.09322</cdr:y>
    </cdr:from>
    <cdr:to>
      <cdr:x>0.36048</cdr:x>
      <cdr:y>0.79326</cdr:y>
    </cdr:to>
    <cdr:cxnSp macro="">
      <cdr:nvCxnSpPr>
        <cdr:cNvPr id="3" name="Conector recto 2">
          <a:extLst xmlns:a="http://schemas.openxmlformats.org/drawingml/2006/main">
            <a:ext uri="{FF2B5EF4-FFF2-40B4-BE49-F238E27FC236}">
              <a16:creationId xmlns:a16="http://schemas.microsoft.com/office/drawing/2014/main" id="{DBD2879D-1F9F-7F40-F82F-2CFA6D29AAFF}"/>
            </a:ext>
          </a:extLst>
        </cdr:cNvPr>
        <cdr:cNvCxnSpPr/>
      </cdr:nvCxnSpPr>
      <cdr:spPr>
        <a:xfrm xmlns:a="http://schemas.openxmlformats.org/drawingml/2006/main" flipH="1" flipV="1">
          <a:off x="3252404" y="516952"/>
          <a:ext cx="9525" cy="3881952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bg2">
              <a:lumMod val="90000"/>
            </a:schemeClr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2</xdr:row>
      <xdr:rowOff>0</xdr:rowOff>
    </xdr:from>
    <xdr:to>
      <xdr:col>9</xdr:col>
      <xdr:colOff>445076</xdr:colOff>
      <xdr:row>24</xdr:row>
      <xdr:rowOff>178691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365760"/>
          <a:ext cx="6678236" cy="4202051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347383</xdr:colOff>
      <xdr:row>26</xdr:row>
      <xdr:rowOff>145675</xdr:rowOff>
    </xdr:from>
    <xdr:to>
      <xdr:col>15</xdr:col>
      <xdr:colOff>1053353</xdr:colOff>
      <xdr:row>46</xdr:row>
      <xdr:rowOff>11205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29068</xdr:colOff>
      <xdr:row>64</xdr:row>
      <xdr:rowOff>105019</xdr:rowOff>
    </xdr:from>
    <xdr:to>
      <xdr:col>5</xdr:col>
      <xdr:colOff>715654</xdr:colOff>
      <xdr:row>74</xdr:row>
      <xdr:rowOff>32932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E6C55EC-55B8-4616-932B-EB5E8A447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8368" y="11966819"/>
          <a:ext cx="5379236" cy="1769414"/>
        </a:xfrm>
        <a:prstGeom prst="rect">
          <a:avLst/>
        </a:prstGeom>
      </xdr:spPr>
    </xdr:pic>
    <xdr:clientData/>
  </xdr:twoCellAnchor>
  <xdr:twoCellAnchor>
    <xdr:from>
      <xdr:col>29</xdr:col>
      <xdr:colOff>273364</xdr:colOff>
      <xdr:row>0</xdr:row>
      <xdr:rowOff>167683</xdr:rowOff>
    </xdr:from>
    <xdr:to>
      <xdr:col>35</xdr:col>
      <xdr:colOff>314152</xdr:colOff>
      <xdr:row>15</xdr:row>
      <xdr:rowOff>136072</xdr:rowOff>
    </xdr:to>
    <xdr:graphicFrame macro="">
      <xdr:nvGraphicFramePr>
        <xdr:cNvPr id="4" name="Gráfico 30">
          <a:extLst>
            <a:ext uri="{FF2B5EF4-FFF2-40B4-BE49-F238E27FC236}">
              <a16:creationId xmlns:a16="http://schemas.microsoft.com/office/drawing/2014/main" id="{1BC0B09E-C82C-47C5-9536-A4854C27A3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275107</xdr:colOff>
      <xdr:row>15</xdr:row>
      <xdr:rowOff>168066</xdr:rowOff>
    </xdr:from>
    <xdr:to>
      <xdr:col>35</xdr:col>
      <xdr:colOff>315895</xdr:colOff>
      <xdr:row>30</xdr:row>
      <xdr:rowOff>127383</xdr:rowOff>
    </xdr:to>
    <xdr:graphicFrame macro="">
      <xdr:nvGraphicFramePr>
        <xdr:cNvPr id="5" name="Gráfico 31">
          <a:extLst>
            <a:ext uri="{FF2B5EF4-FFF2-40B4-BE49-F238E27FC236}">
              <a16:creationId xmlns:a16="http://schemas.microsoft.com/office/drawing/2014/main" id="{EAF56B2B-DA93-497E-870A-99A9614DDF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247230</xdr:colOff>
      <xdr:row>31</xdr:row>
      <xdr:rowOff>3733</xdr:rowOff>
    </xdr:from>
    <xdr:to>
      <xdr:col>35</xdr:col>
      <xdr:colOff>281668</xdr:colOff>
      <xdr:row>45</xdr:row>
      <xdr:rowOff>129059</xdr:rowOff>
    </xdr:to>
    <xdr:graphicFrame macro="">
      <xdr:nvGraphicFramePr>
        <xdr:cNvPr id="6" name="Gráfico 32">
          <a:extLst>
            <a:ext uri="{FF2B5EF4-FFF2-40B4-BE49-F238E27FC236}">
              <a16:creationId xmlns:a16="http://schemas.microsoft.com/office/drawing/2014/main" id="{65C16193-A16C-44B0-8DDE-DE6F2031EA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580573</xdr:colOff>
      <xdr:row>3</xdr:row>
      <xdr:rowOff>18143</xdr:rowOff>
    </xdr:from>
    <xdr:to>
      <xdr:col>13</xdr:col>
      <xdr:colOff>2078</xdr:colOff>
      <xdr:row>25</xdr:row>
      <xdr:rowOff>84973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CB6C702-8068-8E9F-846D-D5F19116B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102930" y="571500"/>
          <a:ext cx="6560719" cy="4103616"/>
        </a:xfrm>
        <a:prstGeom prst="rect">
          <a:avLst/>
        </a:prstGeom>
      </xdr:spPr>
    </xdr:pic>
    <xdr:clientData/>
  </xdr:twoCellAnchor>
  <xdr:twoCellAnchor editAs="oneCell">
    <xdr:from>
      <xdr:col>1</xdr:col>
      <xdr:colOff>86591</xdr:colOff>
      <xdr:row>3</xdr:row>
      <xdr:rowOff>54430</xdr:rowOff>
    </xdr:from>
    <xdr:to>
      <xdr:col>6</xdr:col>
      <xdr:colOff>327983</xdr:colOff>
      <xdr:row>23</xdr:row>
      <xdr:rowOff>99787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A2DA2A-9036-482D-BEE8-CC7B00CD1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39520" y="607787"/>
          <a:ext cx="6010820" cy="3710214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29068</xdr:colOff>
      <xdr:row>64</xdr:row>
      <xdr:rowOff>105019</xdr:rowOff>
    </xdr:from>
    <xdr:to>
      <xdr:col>5</xdr:col>
      <xdr:colOff>715654</xdr:colOff>
      <xdr:row>74</xdr:row>
      <xdr:rowOff>32932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881F36A-DA4A-4C37-B7F1-24812879E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8368" y="11966819"/>
          <a:ext cx="5379236" cy="1769414"/>
        </a:xfrm>
        <a:prstGeom prst="rect">
          <a:avLst/>
        </a:prstGeom>
      </xdr:spPr>
    </xdr:pic>
    <xdr:clientData/>
  </xdr:twoCellAnchor>
  <xdr:twoCellAnchor>
    <xdr:from>
      <xdr:col>29</xdr:col>
      <xdr:colOff>273364</xdr:colOff>
      <xdr:row>0</xdr:row>
      <xdr:rowOff>167683</xdr:rowOff>
    </xdr:from>
    <xdr:to>
      <xdr:col>35</xdr:col>
      <xdr:colOff>314152</xdr:colOff>
      <xdr:row>15</xdr:row>
      <xdr:rowOff>136072</xdr:rowOff>
    </xdr:to>
    <xdr:graphicFrame macro="">
      <xdr:nvGraphicFramePr>
        <xdr:cNvPr id="3" name="Gráfico 30">
          <a:extLst>
            <a:ext uri="{FF2B5EF4-FFF2-40B4-BE49-F238E27FC236}">
              <a16:creationId xmlns:a16="http://schemas.microsoft.com/office/drawing/2014/main" id="{AAD7C200-916B-4361-8655-4555E00156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275107</xdr:colOff>
      <xdr:row>15</xdr:row>
      <xdr:rowOff>168066</xdr:rowOff>
    </xdr:from>
    <xdr:to>
      <xdr:col>35</xdr:col>
      <xdr:colOff>315895</xdr:colOff>
      <xdr:row>30</xdr:row>
      <xdr:rowOff>127383</xdr:rowOff>
    </xdr:to>
    <xdr:graphicFrame macro="">
      <xdr:nvGraphicFramePr>
        <xdr:cNvPr id="4" name="Gráfico 31">
          <a:extLst>
            <a:ext uri="{FF2B5EF4-FFF2-40B4-BE49-F238E27FC236}">
              <a16:creationId xmlns:a16="http://schemas.microsoft.com/office/drawing/2014/main" id="{49F8E74E-77FD-4C1C-A164-56D0481C74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247230</xdr:colOff>
      <xdr:row>31</xdr:row>
      <xdr:rowOff>3733</xdr:rowOff>
    </xdr:from>
    <xdr:to>
      <xdr:col>35</xdr:col>
      <xdr:colOff>281668</xdr:colOff>
      <xdr:row>45</xdr:row>
      <xdr:rowOff>129059</xdr:rowOff>
    </xdr:to>
    <xdr:graphicFrame macro="">
      <xdr:nvGraphicFramePr>
        <xdr:cNvPr id="5" name="Gráfico 32">
          <a:extLst>
            <a:ext uri="{FF2B5EF4-FFF2-40B4-BE49-F238E27FC236}">
              <a16:creationId xmlns:a16="http://schemas.microsoft.com/office/drawing/2014/main" id="{2B19069C-8DEA-4F2B-A6D3-D39B7A944D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580573</xdr:colOff>
      <xdr:row>3</xdr:row>
      <xdr:rowOff>18143</xdr:rowOff>
    </xdr:from>
    <xdr:to>
      <xdr:col>13</xdr:col>
      <xdr:colOff>2078</xdr:colOff>
      <xdr:row>25</xdr:row>
      <xdr:rowOff>84973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1F444F9-073F-4878-833B-C97CCFEB3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95673" y="576943"/>
          <a:ext cx="6539855" cy="4149880"/>
        </a:xfrm>
        <a:prstGeom prst="rect">
          <a:avLst/>
        </a:prstGeom>
      </xdr:spPr>
    </xdr:pic>
    <xdr:clientData/>
  </xdr:twoCellAnchor>
  <xdr:twoCellAnchor editAs="oneCell">
    <xdr:from>
      <xdr:col>1</xdr:col>
      <xdr:colOff>86591</xdr:colOff>
      <xdr:row>3</xdr:row>
      <xdr:rowOff>54430</xdr:rowOff>
    </xdr:from>
    <xdr:to>
      <xdr:col>6</xdr:col>
      <xdr:colOff>327983</xdr:colOff>
      <xdr:row>23</xdr:row>
      <xdr:rowOff>99787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CBCF4ED-E47D-45ED-8814-59184965D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35891" y="613230"/>
          <a:ext cx="6007192" cy="3753757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29068</xdr:colOff>
      <xdr:row>64</xdr:row>
      <xdr:rowOff>105019</xdr:rowOff>
    </xdr:from>
    <xdr:to>
      <xdr:col>5</xdr:col>
      <xdr:colOff>715654</xdr:colOff>
      <xdr:row>74</xdr:row>
      <xdr:rowOff>32932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075C65D-8023-4FF7-9A76-54FE3BEA0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8368" y="11966819"/>
          <a:ext cx="5379236" cy="1769414"/>
        </a:xfrm>
        <a:prstGeom prst="rect">
          <a:avLst/>
        </a:prstGeom>
      </xdr:spPr>
    </xdr:pic>
    <xdr:clientData/>
  </xdr:twoCellAnchor>
  <xdr:twoCellAnchor>
    <xdr:from>
      <xdr:col>29</xdr:col>
      <xdr:colOff>273364</xdr:colOff>
      <xdr:row>0</xdr:row>
      <xdr:rowOff>167683</xdr:rowOff>
    </xdr:from>
    <xdr:to>
      <xdr:col>35</xdr:col>
      <xdr:colOff>314152</xdr:colOff>
      <xdr:row>15</xdr:row>
      <xdr:rowOff>136072</xdr:rowOff>
    </xdr:to>
    <xdr:graphicFrame macro="">
      <xdr:nvGraphicFramePr>
        <xdr:cNvPr id="3" name="Gráfico 30">
          <a:extLst>
            <a:ext uri="{FF2B5EF4-FFF2-40B4-BE49-F238E27FC236}">
              <a16:creationId xmlns:a16="http://schemas.microsoft.com/office/drawing/2014/main" id="{67D220BC-4CB5-49F9-BE7F-D8C1EE5BC4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275107</xdr:colOff>
      <xdr:row>15</xdr:row>
      <xdr:rowOff>168066</xdr:rowOff>
    </xdr:from>
    <xdr:to>
      <xdr:col>35</xdr:col>
      <xdr:colOff>315895</xdr:colOff>
      <xdr:row>30</xdr:row>
      <xdr:rowOff>127383</xdr:rowOff>
    </xdr:to>
    <xdr:graphicFrame macro="">
      <xdr:nvGraphicFramePr>
        <xdr:cNvPr id="4" name="Gráfico 31">
          <a:extLst>
            <a:ext uri="{FF2B5EF4-FFF2-40B4-BE49-F238E27FC236}">
              <a16:creationId xmlns:a16="http://schemas.microsoft.com/office/drawing/2014/main" id="{FA909177-B8B0-477D-956A-4C92CB0FCD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247230</xdr:colOff>
      <xdr:row>31</xdr:row>
      <xdr:rowOff>3733</xdr:rowOff>
    </xdr:from>
    <xdr:to>
      <xdr:col>35</xdr:col>
      <xdr:colOff>281668</xdr:colOff>
      <xdr:row>45</xdr:row>
      <xdr:rowOff>129059</xdr:rowOff>
    </xdr:to>
    <xdr:graphicFrame macro="">
      <xdr:nvGraphicFramePr>
        <xdr:cNvPr id="5" name="Gráfico 32">
          <a:extLst>
            <a:ext uri="{FF2B5EF4-FFF2-40B4-BE49-F238E27FC236}">
              <a16:creationId xmlns:a16="http://schemas.microsoft.com/office/drawing/2014/main" id="{3BF56194-A6D3-4EC2-AA1F-F0372ED57E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580573</xdr:colOff>
      <xdr:row>3</xdr:row>
      <xdr:rowOff>18143</xdr:rowOff>
    </xdr:from>
    <xdr:to>
      <xdr:col>13</xdr:col>
      <xdr:colOff>2078</xdr:colOff>
      <xdr:row>25</xdr:row>
      <xdr:rowOff>84973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1DF0179-2FC3-4539-A976-6BC973710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95673" y="576943"/>
          <a:ext cx="6539855" cy="4149880"/>
        </a:xfrm>
        <a:prstGeom prst="rect">
          <a:avLst/>
        </a:prstGeom>
      </xdr:spPr>
    </xdr:pic>
    <xdr:clientData/>
  </xdr:twoCellAnchor>
  <xdr:twoCellAnchor editAs="oneCell">
    <xdr:from>
      <xdr:col>1</xdr:col>
      <xdr:colOff>86591</xdr:colOff>
      <xdr:row>3</xdr:row>
      <xdr:rowOff>54430</xdr:rowOff>
    </xdr:from>
    <xdr:to>
      <xdr:col>6</xdr:col>
      <xdr:colOff>327983</xdr:colOff>
      <xdr:row>23</xdr:row>
      <xdr:rowOff>99787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21CCF49-98AE-4419-BF44-E5EEE29F2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35891" y="613230"/>
          <a:ext cx="6007192" cy="3753757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29068</xdr:colOff>
      <xdr:row>64</xdr:row>
      <xdr:rowOff>105019</xdr:rowOff>
    </xdr:from>
    <xdr:to>
      <xdr:col>5</xdr:col>
      <xdr:colOff>715654</xdr:colOff>
      <xdr:row>74</xdr:row>
      <xdr:rowOff>32932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2F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6127" y="11878666"/>
          <a:ext cx="5378115" cy="1795561"/>
        </a:xfrm>
        <a:prstGeom prst="rect">
          <a:avLst/>
        </a:prstGeom>
      </xdr:spPr>
    </xdr:pic>
    <xdr:clientData/>
  </xdr:twoCellAnchor>
  <xdr:twoCellAnchor editAs="oneCell">
    <xdr:from>
      <xdr:col>0</xdr:col>
      <xdr:colOff>404419</xdr:colOff>
      <xdr:row>4</xdr:row>
      <xdr:rowOff>173993</xdr:rowOff>
    </xdr:from>
    <xdr:to>
      <xdr:col>4</xdr:col>
      <xdr:colOff>1030941</xdr:colOff>
      <xdr:row>23</xdr:row>
      <xdr:rowOff>174738</xdr:rowOff>
    </xdr:to>
    <xdr:pic>
      <xdr:nvPicPr>
        <xdr:cNvPr id="28" name="Imagen 28">
          <a:extLst>
            <a:ext uri="{FF2B5EF4-FFF2-40B4-BE49-F238E27FC236}">
              <a16:creationId xmlns:a16="http://schemas.microsoft.com/office/drawing/2014/main" id="{00000000-0008-0000-2F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4419" y="734287"/>
          <a:ext cx="4810051" cy="3579157"/>
        </a:xfrm>
        <a:prstGeom prst="rect">
          <a:avLst/>
        </a:prstGeom>
      </xdr:spPr>
    </xdr:pic>
    <xdr:clientData/>
  </xdr:twoCellAnchor>
  <xdr:twoCellAnchor>
    <xdr:from>
      <xdr:col>29</xdr:col>
      <xdr:colOff>228006</xdr:colOff>
      <xdr:row>0</xdr:row>
      <xdr:rowOff>140468</xdr:rowOff>
    </xdr:from>
    <xdr:to>
      <xdr:col>35</xdr:col>
      <xdr:colOff>268794</xdr:colOff>
      <xdr:row>15</xdr:row>
      <xdr:rowOff>108858</xdr:rowOff>
    </xdr:to>
    <xdr:graphicFrame macro="">
      <xdr:nvGraphicFramePr>
        <xdr:cNvPr id="29" name="Gráfico 30">
          <a:extLst>
            <a:ext uri="{FF2B5EF4-FFF2-40B4-BE49-F238E27FC236}">
              <a16:creationId xmlns:a16="http://schemas.microsoft.com/office/drawing/2014/main" id="{00000000-0008-0000-2F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229750</xdr:colOff>
      <xdr:row>15</xdr:row>
      <xdr:rowOff>140851</xdr:rowOff>
    </xdr:from>
    <xdr:to>
      <xdr:col>35</xdr:col>
      <xdr:colOff>270538</xdr:colOff>
      <xdr:row>30</xdr:row>
      <xdr:rowOff>100169</xdr:rowOff>
    </xdr:to>
    <xdr:graphicFrame macro="">
      <xdr:nvGraphicFramePr>
        <xdr:cNvPr id="30" name="Gráfico 31">
          <a:extLst>
            <a:ext uri="{FF2B5EF4-FFF2-40B4-BE49-F238E27FC236}">
              <a16:creationId xmlns:a16="http://schemas.microsoft.com/office/drawing/2014/main" id="{00000000-0008-0000-2F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238157</xdr:colOff>
      <xdr:row>30</xdr:row>
      <xdr:rowOff>176092</xdr:rowOff>
    </xdr:from>
    <xdr:to>
      <xdr:col>35</xdr:col>
      <xdr:colOff>272595</xdr:colOff>
      <xdr:row>45</xdr:row>
      <xdr:rowOff>110917</xdr:rowOff>
    </xdr:to>
    <xdr:graphicFrame macro="">
      <xdr:nvGraphicFramePr>
        <xdr:cNvPr id="31" name="Gráfico 32">
          <a:extLst>
            <a:ext uri="{FF2B5EF4-FFF2-40B4-BE49-F238E27FC236}">
              <a16:creationId xmlns:a16="http://schemas.microsoft.com/office/drawing/2014/main" id="{00000000-0008-0000-2F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5</xdr:col>
      <xdr:colOff>29882</xdr:colOff>
      <xdr:row>2</xdr:row>
      <xdr:rowOff>134471</xdr:rowOff>
    </xdr:from>
    <xdr:to>
      <xdr:col>10</xdr:col>
      <xdr:colOff>762000</xdr:colOff>
      <xdr:row>26</xdr:row>
      <xdr:rowOff>45253</xdr:rowOff>
    </xdr:to>
    <xdr:pic>
      <xdr:nvPicPr>
        <xdr:cNvPr id="141" name="Imagen 140">
          <a:extLst>
            <a:ext uri="{FF2B5EF4-FFF2-40B4-BE49-F238E27FC236}">
              <a16:creationId xmlns:a16="http://schemas.microsoft.com/office/drawing/2014/main" id="{00000000-0008-0000-2F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68470" y="321236"/>
          <a:ext cx="5924177" cy="4445429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29068</xdr:colOff>
      <xdr:row>64</xdr:row>
      <xdr:rowOff>105019</xdr:rowOff>
    </xdr:from>
    <xdr:to>
      <xdr:col>5</xdr:col>
      <xdr:colOff>715654</xdr:colOff>
      <xdr:row>74</xdr:row>
      <xdr:rowOff>32933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8368" y="11966819"/>
          <a:ext cx="5379236" cy="1769414"/>
        </a:xfrm>
        <a:prstGeom prst="rect">
          <a:avLst/>
        </a:prstGeom>
      </xdr:spPr>
    </xdr:pic>
    <xdr:clientData/>
  </xdr:twoCellAnchor>
  <xdr:twoCellAnchor editAs="oneCell">
    <xdr:from>
      <xdr:col>0</xdr:col>
      <xdr:colOff>404419</xdr:colOff>
      <xdr:row>4</xdr:row>
      <xdr:rowOff>173993</xdr:rowOff>
    </xdr:from>
    <xdr:to>
      <xdr:col>4</xdr:col>
      <xdr:colOff>1030941</xdr:colOff>
      <xdr:row>23</xdr:row>
      <xdr:rowOff>174738</xdr:rowOff>
    </xdr:to>
    <xdr:pic>
      <xdr:nvPicPr>
        <xdr:cNvPr id="3" name="Imagen 28">
          <a:extLst>
            <a:ext uri="{FF2B5EF4-FFF2-40B4-BE49-F238E27FC236}">
              <a16:creationId xmlns:a16="http://schemas.microsoft.com/office/drawing/2014/main" id="{00000000-0008-0000-3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4419" y="916943"/>
          <a:ext cx="4811172" cy="3524995"/>
        </a:xfrm>
        <a:prstGeom prst="rect">
          <a:avLst/>
        </a:prstGeom>
      </xdr:spPr>
    </xdr:pic>
    <xdr:clientData/>
  </xdr:twoCellAnchor>
  <xdr:twoCellAnchor>
    <xdr:from>
      <xdr:col>29</xdr:col>
      <xdr:colOff>364077</xdr:colOff>
      <xdr:row>1</xdr:row>
      <xdr:rowOff>104182</xdr:rowOff>
    </xdr:from>
    <xdr:to>
      <xdr:col>35</xdr:col>
      <xdr:colOff>404865</xdr:colOff>
      <xdr:row>16</xdr:row>
      <xdr:rowOff>72573</xdr:rowOff>
    </xdr:to>
    <xdr:graphicFrame macro="">
      <xdr:nvGraphicFramePr>
        <xdr:cNvPr id="4" name="Gráfico 30">
          <a:extLst>
            <a:ext uri="{FF2B5EF4-FFF2-40B4-BE49-F238E27FC236}">
              <a16:creationId xmlns:a16="http://schemas.microsoft.com/office/drawing/2014/main" id="{00000000-0008-0000-3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356749</xdr:colOff>
      <xdr:row>16</xdr:row>
      <xdr:rowOff>158995</xdr:rowOff>
    </xdr:from>
    <xdr:to>
      <xdr:col>35</xdr:col>
      <xdr:colOff>397537</xdr:colOff>
      <xdr:row>31</xdr:row>
      <xdr:rowOff>118312</xdr:rowOff>
    </xdr:to>
    <xdr:graphicFrame macro="">
      <xdr:nvGraphicFramePr>
        <xdr:cNvPr id="5" name="Gráfico 31">
          <a:extLst>
            <a:ext uri="{FF2B5EF4-FFF2-40B4-BE49-F238E27FC236}">
              <a16:creationId xmlns:a16="http://schemas.microsoft.com/office/drawing/2014/main" id="{00000000-0008-0000-3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337942</xdr:colOff>
      <xdr:row>32</xdr:row>
      <xdr:rowOff>12805</xdr:rowOff>
    </xdr:from>
    <xdr:to>
      <xdr:col>35</xdr:col>
      <xdr:colOff>372380</xdr:colOff>
      <xdr:row>46</xdr:row>
      <xdr:rowOff>138130</xdr:rowOff>
    </xdr:to>
    <xdr:graphicFrame macro="">
      <xdr:nvGraphicFramePr>
        <xdr:cNvPr id="6" name="Gráfico 32">
          <a:extLst>
            <a:ext uri="{FF2B5EF4-FFF2-40B4-BE49-F238E27FC236}">
              <a16:creationId xmlns:a16="http://schemas.microsoft.com/office/drawing/2014/main" id="{00000000-0008-0000-3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5</xdr:col>
      <xdr:colOff>52293</xdr:colOff>
      <xdr:row>2</xdr:row>
      <xdr:rowOff>112060</xdr:rowOff>
    </xdr:from>
    <xdr:to>
      <xdr:col>10</xdr:col>
      <xdr:colOff>784411</xdr:colOff>
      <xdr:row>26</xdr:row>
      <xdr:rowOff>22842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3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90881" y="485589"/>
          <a:ext cx="5924177" cy="4445429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29068</xdr:colOff>
      <xdr:row>64</xdr:row>
      <xdr:rowOff>105019</xdr:rowOff>
    </xdr:from>
    <xdr:to>
      <xdr:col>5</xdr:col>
      <xdr:colOff>715654</xdr:colOff>
      <xdr:row>74</xdr:row>
      <xdr:rowOff>32933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F01451D-0B61-41E6-95E4-91A84D5A4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8368" y="11973169"/>
          <a:ext cx="5379236" cy="1769414"/>
        </a:xfrm>
        <a:prstGeom prst="rect">
          <a:avLst/>
        </a:prstGeom>
      </xdr:spPr>
    </xdr:pic>
    <xdr:clientData/>
  </xdr:twoCellAnchor>
  <xdr:twoCellAnchor editAs="oneCell">
    <xdr:from>
      <xdr:col>0</xdr:col>
      <xdr:colOff>404419</xdr:colOff>
      <xdr:row>4</xdr:row>
      <xdr:rowOff>173993</xdr:rowOff>
    </xdr:from>
    <xdr:to>
      <xdr:col>4</xdr:col>
      <xdr:colOff>1030941</xdr:colOff>
      <xdr:row>23</xdr:row>
      <xdr:rowOff>174738</xdr:rowOff>
    </xdr:to>
    <xdr:pic>
      <xdr:nvPicPr>
        <xdr:cNvPr id="3" name="Imagen 28">
          <a:extLst>
            <a:ext uri="{FF2B5EF4-FFF2-40B4-BE49-F238E27FC236}">
              <a16:creationId xmlns:a16="http://schemas.microsoft.com/office/drawing/2014/main" id="{3C5E9660-5C55-4FEA-A8C8-EE7BABBF0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4419" y="916943"/>
          <a:ext cx="4811172" cy="3524995"/>
        </a:xfrm>
        <a:prstGeom prst="rect">
          <a:avLst/>
        </a:prstGeom>
      </xdr:spPr>
    </xdr:pic>
    <xdr:clientData/>
  </xdr:twoCellAnchor>
  <xdr:twoCellAnchor>
    <xdr:from>
      <xdr:col>29</xdr:col>
      <xdr:colOff>364077</xdr:colOff>
      <xdr:row>1</xdr:row>
      <xdr:rowOff>104182</xdr:rowOff>
    </xdr:from>
    <xdr:to>
      <xdr:col>35</xdr:col>
      <xdr:colOff>404865</xdr:colOff>
      <xdr:row>16</xdr:row>
      <xdr:rowOff>72573</xdr:rowOff>
    </xdr:to>
    <xdr:graphicFrame macro="">
      <xdr:nvGraphicFramePr>
        <xdr:cNvPr id="4" name="Gráfico 30">
          <a:extLst>
            <a:ext uri="{FF2B5EF4-FFF2-40B4-BE49-F238E27FC236}">
              <a16:creationId xmlns:a16="http://schemas.microsoft.com/office/drawing/2014/main" id="{497BF87C-EEB8-49D6-B3D0-EF73049B5E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356749</xdr:colOff>
      <xdr:row>16</xdr:row>
      <xdr:rowOff>158995</xdr:rowOff>
    </xdr:from>
    <xdr:to>
      <xdr:col>35</xdr:col>
      <xdr:colOff>397537</xdr:colOff>
      <xdr:row>31</xdr:row>
      <xdr:rowOff>118312</xdr:rowOff>
    </xdr:to>
    <xdr:graphicFrame macro="">
      <xdr:nvGraphicFramePr>
        <xdr:cNvPr id="5" name="Gráfico 31">
          <a:extLst>
            <a:ext uri="{FF2B5EF4-FFF2-40B4-BE49-F238E27FC236}">
              <a16:creationId xmlns:a16="http://schemas.microsoft.com/office/drawing/2014/main" id="{B816F822-09EF-4B36-897B-BC86FDA58C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337942</xdr:colOff>
      <xdr:row>32</xdr:row>
      <xdr:rowOff>12805</xdr:rowOff>
    </xdr:from>
    <xdr:to>
      <xdr:col>35</xdr:col>
      <xdr:colOff>372380</xdr:colOff>
      <xdr:row>46</xdr:row>
      <xdr:rowOff>138130</xdr:rowOff>
    </xdr:to>
    <xdr:graphicFrame macro="">
      <xdr:nvGraphicFramePr>
        <xdr:cNvPr id="6" name="Gráfico 32">
          <a:extLst>
            <a:ext uri="{FF2B5EF4-FFF2-40B4-BE49-F238E27FC236}">
              <a16:creationId xmlns:a16="http://schemas.microsoft.com/office/drawing/2014/main" id="{602EF656-BACA-4B72-92A5-56985092C8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5</xdr:col>
      <xdr:colOff>52293</xdr:colOff>
      <xdr:row>2</xdr:row>
      <xdr:rowOff>112060</xdr:rowOff>
    </xdr:from>
    <xdr:to>
      <xdr:col>10</xdr:col>
      <xdr:colOff>784411</xdr:colOff>
      <xdr:row>26</xdr:row>
      <xdr:rowOff>22842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F007C75-755C-4283-84C1-87EE39593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94243" y="480360"/>
          <a:ext cx="5926418" cy="4374832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400049</xdr:colOff>
      <xdr:row>3</xdr:row>
      <xdr:rowOff>21373</xdr:rowOff>
    </xdr:from>
    <xdr:to>
      <xdr:col>6</xdr:col>
      <xdr:colOff>104775</xdr:colOff>
      <xdr:row>20</xdr:row>
      <xdr:rowOff>85396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GrpSpPr/>
      </xdr:nvGrpSpPr>
      <xdr:grpSpPr>
        <a:xfrm>
          <a:off x="400049" y="565659"/>
          <a:ext cx="5374369" cy="3148308"/>
          <a:chOff x="400049" y="573166"/>
          <a:chExt cx="5396844" cy="3194026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00000000-0008-0000-30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00049" y="639577"/>
            <a:ext cx="5396844" cy="3108610"/>
          </a:xfrm>
          <a:prstGeom prst="rect">
            <a:avLst/>
          </a:prstGeom>
        </xdr:spPr>
      </xdr:pic>
      <xdr:grpSp>
        <xdr:nvGrpSpPr>
          <xdr:cNvPr id="4" name="Grupo 3">
            <a:extLst>
              <a:ext uri="{FF2B5EF4-FFF2-40B4-BE49-F238E27FC236}">
                <a16:creationId xmlns:a16="http://schemas.microsoft.com/office/drawing/2014/main" id="{00000000-0008-0000-3000-000004000000}"/>
              </a:ext>
            </a:extLst>
          </xdr:cNvPr>
          <xdr:cNvGrpSpPr/>
        </xdr:nvGrpSpPr>
        <xdr:grpSpPr>
          <a:xfrm>
            <a:off x="1074448" y="573166"/>
            <a:ext cx="3808146" cy="2943080"/>
            <a:chOff x="1074448" y="573166"/>
            <a:chExt cx="3808146" cy="2943080"/>
          </a:xfrm>
        </xdr:grpSpPr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00000000-0008-0000-3000-000006000000}"/>
                </a:ext>
              </a:extLst>
            </xdr:cNvPr>
            <xdr:cNvSpPr txBox="1"/>
          </xdr:nvSpPr>
          <xdr:spPr>
            <a:xfrm>
              <a:off x="1074448" y="859111"/>
              <a:ext cx="228600" cy="29483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1</a:t>
              </a:r>
            </a:p>
          </xdr:txBody>
        </xdr:sp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00000000-0008-0000-3000-000007000000}"/>
                </a:ext>
              </a:extLst>
            </xdr:cNvPr>
            <xdr:cNvSpPr txBox="1"/>
          </xdr:nvSpPr>
          <xdr:spPr>
            <a:xfrm>
              <a:off x="1606700" y="1008419"/>
              <a:ext cx="222250" cy="30753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CL" sz="900" b="1"/>
                <a:t>2</a:t>
              </a:r>
            </a:p>
          </xdr:txBody>
        </xdr:sp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00000000-0008-0000-3000-000008000000}"/>
                </a:ext>
              </a:extLst>
            </xdr:cNvPr>
            <xdr:cNvSpPr txBox="1"/>
          </xdr:nvSpPr>
          <xdr:spPr>
            <a:xfrm>
              <a:off x="1992584" y="880500"/>
              <a:ext cx="338409" cy="28235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3</a:t>
              </a:r>
            </a:p>
          </xdr:txBody>
        </xdr:sp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00000000-0008-0000-3000-000009000000}"/>
                </a:ext>
              </a:extLst>
            </xdr:cNvPr>
            <xdr:cNvSpPr txBox="1"/>
          </xdr:nvSpPr>
          <xdr:spPr>
            <a:xfrm>
              <a:off x="1610835" y="1952228"/>
              <a:ext cx="219075" cy="2916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4</a:t>
              </a:r>
            </a:p>
          </xdr:txBody>
        </xdr:sp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00000000-0008-0000-3000-00000A000000}"/>
                </a:ext>
              </a:extLst>
            </xdr:cNvPr>
            <xdr:cNvSpPr txBox="1"/>
          </xdr:nvSpPr>
          <xdr:spPr>
            <a:xfrm>
              <a:off x="1588814" y="2753978"/>
              <a:ext cx="231775" cy="29166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5</a:t>
              </a:r>
            </a:p>
          </xdr:txBody>
        </xdr:sp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00000000-0008-0000-3000-00000B000000}"/>
                </a:ext>
              </a:extLst>
            </xdr:cNvPr>
            <xdr:cNvSpPr txBox="1"/>
          </xdr:nvSpPr>
          <xdr:spPr>
            <a:xfrm>
              <a:off x="1876002" y="2255504"/>
              <a:ext cx="330747" cy="27941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6</a:t>
              </a:r>
            </a:p>
          </xdr:txBody>
        </xdr:sp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00000000-0008-0000-3000-00000C000000}"/>
                </a:ext>
              </a:extLst>
            </xdr:cNvPr>
            <xdr:cNvSpPr txBox="1"/>
          </xdr:nvSpPr>
          <xdr:spPr>
            <a:xfrm>
              <a:off x="2761491" y="2244476"/>
              <a:ext cx="215900" cy="27896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7</a:t>
              </a:r>
            </a:p>
          </xdr:txBody>
        </xdr:sp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00000000-0008-0000-3000-00000D000000}"/>
                </a:ext>
              </a:extLst>
            </xdr:cNvPr>
            <xdr:cNvSpPr txBox="1"/>
          </xdr:nvSpPr>
          <xdr:spPr>
            <a:xfrm>
              <a:off x="3972636" y="2517609"/>
              <a:ext cx="228600" cy="26943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8</a:t>
              </a:r>
            </a:p>
          </xdr:txBody>
        </xdr:sp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00000000-0008-0000-3000-00000E000000}"/>
                </a:ext>
              </a:extLst>
            </xdr:cNvPr>
            <xdr:cNvSpPr txBox="1"/>
          </xdr:nvSpPr>
          <xdr:spPr>
            <a:xfrm>
              <a:off x="3835024" y="3224584"/>
              <a:ext cx="231775" cy="29166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9</a:t>
              </a:r>
            </a:p>
          </xdr:txBody>
        </xdr:sp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00000000-0008-0000-3000-00000F000000}"/>
                </a:ext>
              </a:extLst>
            </xdr:cNvPr>
            <xdr:cNvSpPr txBox="1"/>
          </xdr:nvSpPr>
          <xdr:spPr>
            <a:xfrm>
              <a:off x="3502161" y="2788220"/>
              <a:ext cx="347387" cy="28531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10</a:t>
              </a:r>
            </a:p>
          </xdr:txBody>
        </xdr:sp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00000000-0008-0000-3000-000010000000}"/>
                </a:ext>
              </a:extLst>
            </xdr:cNvPr>
            <xdr:cNvSpPr txBox="1"/>
          </xdr:nvSpPr>
          <xdr:spPr>
            <a:xfrm>
              <a:off x="4539694" y="2402097"/>
              <a:ext cx="342900" cy="2791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11</a:t>
              </a:r>
            </a:p>
          </xdr:txBody>
        </xdr:sp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00000000-0008-0000-3000-000011000000}"/>
                </a:ext>
              </a:extLst>
            </xdr:cNvPr>
            <xdr:cNvSpPr txBox="1"/>
          </xdr:nvSpPr>
          <xdr:spPr>
            <a:xfrm>
              <a:off x="2961948" y="2560244"/>
              <a:ext cx="459420" cy="2848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12</a:t>
              </a:r>
            </a:p>
          </xdr:txBody>
        </xdr:sp>
        <xdr:sp macro="" textlink="">
          <xdr:nvSpPr>
            <xdr:cNvPr id="18" name="CuadroTexto 17">
              <a:extLst>
                <a:ext uri="{FF2B5EF4-FFF2-40B4-BE49-F238E27FC236}">
                  <a16:creationId xmlns:a16="http://schemas.microsoft.com/office/drawing/2014/main" id="{00000000-0008-0000-3000-000012000000}"/>
                </a:ext>
              </a:extLst>
            </xdr:cNvPr>
            <xdr:cNvSpPr txBox="1"/>
          </xdr:nvSpPr>
          <xdr:spPr>
            <a:xfrm>
              <a:off x="3386083" y="2445585"/>
              <a:ext cx="339725" cy="2980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13</a:t>
              </a:r>
            </a:p>
          </xdr:txBody>
        </xdr:sp>
        <xdr:sp macro="" textlink="">
          <xdr:nvSpPr>
            <xdr:cNvPr id="19" name="CuadroTexto 18">
              <a:extLst>
                <a:ext uri="{FF2B5EF4-FFF2-40B4-BE49-F238E27FC236}">
                  <a16:creationId xmlns:a16="http://schemas.microsoft.com/office/drawing/2014/main" id="{00000000-0008-0000-3000-000013000000}"/>
                </a:ext>
              </a:extLst>
            </xdr:cNvPr>
            <xdr:cNvSpPr txBox="1"/>
          </xdr:nvSpPr>
          <xdr:spPr>
            <a:xfrm>
              <a:off x="1863880" y="573166"/>
              <a:ext cx="228600" cy="2794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1100" b="1">
                  <a:solidFill>
                    <a:srgbClr val="FF0000"/>
                  </a:solidFill>
                  <a:latin typeface="+mn-lt"/>
                  <a:ea typeface="+mn-ea"/>
                  <a:cs typeface="+mn-cs"/>
                </a:rPr>
                <a:t>1</a:t>
              </a:r>
            </a:p>
          </xdr:txBody>
        </xdr:sp>
        <xdr:sp macro="" textlink="">
          <xdr:nvSpPr>
            <xdr:cNvPr id="20" name="CuadroTexto 19">
              <a:extLst>
                <a:ext uri="{FF2B5EF4-FFF2-40B4-BE49-F238E27FC236}">
                  <a16:creationId xmlns:a16="http://schemas.microsoft.com/office/drawing/2014/main" id="{00000000-0008-0000-3000-000014000000}"/>
                </a:ext>
              </a:extLst>
            </xdr:cNvPr>
            <xdr:cNvSpPr txBox="1"/>
          </xdr:nvSpPr>
          <xdr:spPr>
            <a:xfrm>
              <a:off x="1419303" y="1372932"/>
              <a:ext cx="228600" cy="2794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1100" b="1">
                  <a:solidFill>
                    <a:srgbClr val="FF0000"/>
                  </a:solidFill>
                  <a:latin typeface="+mn-lt"/>
                  <a:ea typeface="+mn-ea"/>
                  <a:cs typeface="+mn-cs"/>
                </a:rPr>
                <a:t>2</a:t>
              </a:r>
            </a:p>
          </xdr:txBody>
        </xdr:sp>
        <xdr:sp macro="" textlink="">
          <xdr:nvSpPr>
            <xdr:cNvPr id="21" name="CuadroTexto 20">
              <a:extLst>
                <a:ext uri="{FF2B5EF4-FFF2-40B4-BE49-F238E27FC236}">
                  <a16:creationId xmlns:a16="http://schemas.microsoft.com/office/drawing/2014/main" id="{00000000-0008-0000-3000-000015000000}"/>
                </a:ext>
              </a:extLst>
            </xdr:cNvPr>
            <xdr:cNvSpPr txBox="1"/>
          </xdr:nvSpPr>
          <xdr:spPr>
            <a:xfrm>
              <a:off x="1237321" y="2044382"/>
              <a:ext cx="222250" cy="28576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1100" b="1">
                  <a:solidFill>
                    <a:srgbClr val="FF0000"/>
                  </a:solidFill>
                  <a:latin typeface="+mn-lt"/>
                  <a:ea typeface="+mn-ea"/>
                  <a:cs typeface="+mn-cs"/>
                </a:rPr>
                <a:t>3</a:t>
              </a:r>
            </a:p>
          </xdr:txBody>
        </xdr:sp>
        <xdr:sp macro="" textlink="">
          <xdr:nvSpPr>
            <xdr:cNvPr id="22" name="CuadroTexto 21">
              <a:extLst>
                <a:ext uri="{FF2B5EF4-FFF2-40B4-BE49-F238E27FC236}">
                  <a16:creationId xmlns:a16="http://schemas.microsoft.com/office/drawing/2014/main" id="{00000000-0008-0000-3000-000016000000}"/>
                </a:ext>
              </a:extLst>
            </xdr:cNvPr>
            <xdr:cNvSpPr txBox="1"/>
          </xdr:nvSpPr>
          <xdr:spPr>
            <a:xfrm>
              <a:off x="2566029" y="2145756"/>
              <a:ext cx="228600" cy="29121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1100" b="1">
                  <a:solidFill>
                    <a:srgbClr val="FF0000"/>
                  </a:solidFill>
                  <a:latin typeface="+mn-lt"/>
                  <a:ea typeface="+mn-ea"/>
                  <a:cs typeface="+mn-cs"/>
                </a:rPr>
                <a:t>4</a:t>
              </a:r>
            </a:p>
          </xdr:txBody>
        </xdr:sp>
        <xdr:sp macro="" textlink="">
          <xdr:nvSpPr>
            <xdr:cNvPr id="23" name="CuadroTexto 22">
              <a:extLst>
                <a:ext uri="{FF2B5EF4-FFF2-40B4-BE49-F238E27FC236}">
                  <a16:creationId xmlns:a16="http://schemas.microsoft.com/office/drawing/2014/main" id="{00000000-0008-0000-3000-000017000000}"/>
                </a:ext>
              </a:extLst>
            </xdr:cNvPr>
            <xdr:cNvSpPr txBox="1"/>
          </xdr:nvSpPr>
          <xdr:spPr>
            <a:xfrm>
              <a:off x="3088831" y="2086968"/>
              <a:ext cx="236262" cy="28213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1100" b="1">
                  <a:solidFill>
                    <a:srgbClr val="FF0000"/>
                  </a:solidFill>
                  <a:latin typeface="+mn-lt"/>
                  <a:ea typeface="+mn-ea"/>
                  <a:cs typeface="+mn-cs"/>
                </a:rPr>
                <a:t>5</a:t>
              </a:r>
            </a:p>
          </xdr:txBody>
        </xdr:sp>
        <xdr:sp macro="" textlink="">
          <xdr:nvSpPr>
            <xdr:cNvPr id="24" name="CuadroTexto 23">
              <a:extLst>
                <a:ext uri="{FF2B5EF4-FFF2-40B4-BE49-F238E27FC236}">
                  <a16:creationId xmlns:a16="http://schemas.microsoft.com/office/drawing/2014/main" id="{00000000-0008-0000-3000-000018000000}"/>
                </a:ext>
              </a:extLst>
            </xdr:cNvPr>
            <xdr:cNvSpPr txBox="1"/>
          </xdr:nvSpPr>
          <xdr:spPr>
            <a:xfrm>
              <a:off x="4298259" y="2168239"/>
              <a:ext cx="219075" cy="2918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1100" b="1">
                  <a:solidFill>
                    <a:srgbClr val="FF0000"/>
                  </a:solidFill>
                  <a:latin typeface="+mn-lt"/>
                  <a:ea typeface="+mn-ea"/>
                  <a:cs typeface="+mn-cs"/>
                </a:rPr>
                <a:t>6</a:t>
              </a:r>
            </a:p>
          </xdr:txBody>
        </xdr:sp>
        <xdr:sp macro="" textlink="">
          <xdr:nvSpPr>
            <xdr:cNvPr id="25" name="CuadroTexto 24">
              <a:extLst>
                <a:ext uri="{FF2B5EF4-FFF2-40B4-BE49-F238E27FC236}">
                  <a16:creationId xmlns:a16="http://schemas.microsoft.com/office/drawing/2014/main" id="{00000000-0008-0000-3000-000019000000}"/>
                </a:ext>
              </a:extLst>
            </xdr:cNvPr>
            <xdr:cNvSpPr txBox="1"/>
          </xdr:nvSpPr>
          <xdr:spPr>
            <a:xfrm>
              <a:off x="4200581" y="3124150"/>
              <a:ext cx="219075" cy="28168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CL" sz="1100" b="1">
                  <a:solidFill>
                    <a:srgbClr val="FF0000"/>
                  </a:solidFill>
                </a:rPr>
                <a:t>7</a:t>
              </a:r>
            </a:p>
          </xdr:txBody>
        </xdr:sp>
      </xdr:grpSp>
      <xdr:sp macro="" textlink="">
        <xdr:nvSpPr>
          <xdr:cNvPr id="5" name="Rectángulo 4">
            <a:extLst>
              <a:ext uri="{FF2B5EF4-FFF2-40B4-BE49-F238E27FC236}">
                <a16:creationId xmlns:a16="http://schemas.microsoft.com/office/drawing/2014/main" id="{00000000-0008-0000-3000-000005000000}"/>
              </a:ext>
            </a:extLst>
          </xdr:cNvPr>
          <xdr:cNvSpPr/>
        </xdr:nvSpPr>
        <xdr:spPr>
          <a:xfrm>
            <a:off x="410670" y="3432394"/>
            <a:ext cx="742074" cy="334798"/>
          </a:xfrm>
          <a:prstGeom prst="rect">
            <a:avLst/>
          </a:prstGeom>
          <a:solidFill>
            <a:sysClr val="window" lastClr="FFFFFF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L" sz="1100"/>
          </a:p>
        </xdr:txBody>
      </xdr:sp>
    </xdr:grpSp>
    <xdr:clientData/>
  </xdr:twoCellAnchor>
  <xdr:twoCellAnchor editAs="oneCell">
    <xdr:from>
      <xdr:col>1</xdr:col>
      <xdr:colOff>0</xdr:colOff>
      <xdr:row>37</xdr:row>
      <xdr:rowOff>0</xdr:rowOff>
    </xdr:from>
    <xdr:to>
      <xdr:col>6</xdr:col>
      <xdr:colOff>469572</xdr:colOff>
      <xdr:row>46</xdr:row>
      <xdr:rowOff>145850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3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6813550"/>
          <a:ext cx="5403522" cy="1803200"/>
        </a:xfrm>
        <a:prstGeom prst="rect">
          <a:avLst/>
        </a:prstGeom>
      </xdr:spPr>
    </xdr:pic>
    <xdr:clientData/>
  </xdr:twoCellAnchor>
  <xdr:twoCellAnchor>
    <xdr:from>
      <xdr:col>21</xdr:col>
      <xdr:colOff>81642</xdr:colOff>
      <xdr:row>17</xdr:row>
      <xdr:rowOff>99785</xdr:rowOff>
    </xdr:from>
    <xdr:to>
      <xdr:col>29</xdr:col>
      <xdr:colOff>644070</xdr:colOff>
      <xdr:row>41</xdr:row>
      <xdr:rowOff>119496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00000000-0008-0000-30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681690</xdr:colOff>
      <xdr:row>2</xdr:row>
      <xdr:rowOff>79270</xdr:rowOff>
    </xdr:from>
    <xdr:to>
      <xdr:col>9</xdr:col>
      <xdr:colOff>386416</xdr:colOff>
      <xdr:row>19</xdr:row>
      <xdr:rowOff>149643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GrpSpPr/>
      </xdr:nvGrpSpPr>
      <xdr:grpSpPr>
        <a:xfrm>
          <a:off x="681690" y="447570"/>
          <a:ext cx="7604126" cy="3804173"/>
          <a:chOff x="400049" y="573166"/>
          <a:chExt cx="5396844" cy="3194026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00000000-0008-0000-32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00049" y="639577"/>
            <a:ext cx="5396844" cy="3108610"/>
          </a:xfrm>
          <a:prstGeom prst="rect">
            <a:avLst/>
          </a:prstGeom>
        </xdr:spPr>
      </xdr:pic>
      <xdr:grpSp>
        <xdr:nvGrpSpPr>
          <xdr:cNvPr id="4" name="Grupo 3">
            <a:extLst>
              <a:ext uri="{FF2B5EF4-FFF2-40B4-BE49-F238E27FC236}">
                <a16:creationId xmlns:a16="http://schemas.microsoft.com/office/drawing/2014/main" id="{00000000-0008-0000-3200-000004000000}"/>
              </a:ext>
            </a:extLst>
          </xdr:cNvPr>
          <xdr:cNvGrpSpPr/>
        </xdr:nvGrpSpPr>
        <xdr:grpSpPr>
          <a:xfrm>
            <a:off x="1074448" y="573166"/>
            <a:ext cx="3808146" cy="2943080"/>
            <a:chOff x="1074448" y="573166"/>
            <a:chExt cx="3808146" cy="2943080"/>
          </a:xfrm>
        </xdr:grpSpPr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00000000-0008-0000-3200-000006000000}"/>
                </a:ext>
              </a:extLst>
            </xdr:cNvPr>
            <xdr:cNvSpPr txBox="1"/>
          </xdr:nvSpPr>
          <xdr:spPr>
            <a:xfrm>
              <a:off x="1074448" y="859111"/>
              <a:ext cx="228600" cy="29483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1</a:t>
              </a:r>
            </a:p>
          </xdr:txBody>
        </xdr:sp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00000000-0008-0000-3200-000007000000}"/>
                </a:ext>
              </a:extLst>
            </xdr:cNvPr>
            <xdr:cNvSpPr txBox="1"/>
          </xdr:nvSpPr>
          <xdr:spPr>
            <a:xfrm>
              <a:off x="1606700" y="1008419"/>
              <a:ext cx="222250" cy="30753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CL" sz="900" b="1"/>
                <a:t>2</a:t>
              </a:r>
            </a:p>
          </xdr:txBody>
        </xdr:sp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00000000-0008-0000-3200-000008000000}"/>
                </a:ext>
              </a:extLst>
            </xdr:cNvPr>
            <xdr:cNvSpPr txBox="1"/>
          </xdr:nvSpPr>
          <xdr:spPr>
            <a:xfrm>
              <a:off x="1992584" y="880500"/>
              <a:ext cx="338409" cy="28235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3</a:t>
              </a:r>
            </a:p>
          </xdr:txBody>
        </xdr:sp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00000000-0008-0000-3200-000009000000}"/>
                </a:ext>
              </a:extLst>
            </xdr:cNvPr>
            <xdr:cNvSpPr txBox="1"/>
          </xdr:nvSpPr>
          <xdr:spPr>
            <a:xfrm>
              <a:off x="1610835" y="1952228"/>
              <a:ext cx="219075" cy="2916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4</a:t>
              </a:r>
            </a:p>
          </xdr:txBody>
        </xdr:sp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00000000-0008-0000-3200-00000A000000}"/>
                </a:ext>
              </a:extLst>
            </xdr:cNvPr>
            <xdr:cNvSpPr txBox="1"/>
          </xdr:nvSpPr>
          <xdr:spPr>
            <a:xfrm>
              <a:off x="1588814" y="2753978"/>
              <a:ext cx="231775" cy="29166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5</a:t>
              </a:r>
            </a:p>
          </xdr:txBody>
        </xdr:sp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00000000-0008-0000-3200-00000B000000}"/>
                </a:ext>
              </a:extLst>
            </xdr:cNvPr>
            <xdr:cNvSpPr txBox="1"/>
          </xdr:nvSpPr>
          <xdr:spPr>
            <a:xfrm>
              <a:off x="1876002" y="2255504"/>
              <a:ext cx="330747" cy="27941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6</a:t>
              </a:r>
            </a:p>
          </xdr:txBody>
        </xdr:sp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00000000-0008-0000-3200-00000C000000}"/>
                </a:ext>
              </a:extLst>
            </xdr:cNvPr>
            <xdr:cNvSpPr txBox="1"/>
          </xdr:nvSpPr>
          <xdr:spPr>
            <a:xfrm>
              <a:off x="2761491" y="2244476"/>
              <a:ext cx="215900" cy="27896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7</a:t>
              </a:r>
            </a:p>
          </xdr:txBody>
        </xdr:sp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00000000-0008-0000-3200-00000D000000}"/>
                </a:ext>
              </a:extLst>
            </xdr:cNvPr>
            <xdr:cNvSpPr txBox="1"/>
          </xdr:nvSpPr>
          <xdr:spPr>
            <a:xfrm>
              <a:off x="3972636" y="2517609"/>
              <a:ext cx="228600" cy="26943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8</a:t>
              </a:r>
            </a:p>
          </xdr:txBody>
        </xdr:sp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00000000-0008-0000-3200-00000E000000}"/>
                </a:ext>
              </a:extLst>
            </xdr:cNvPr>
            <xdr:cNvSpPr txBox="1"/>
          </xdr:nvSpPr>
          <xdr:spPr>
            <a:xfrm>
              <a:off x="3835024" y="3224584"/>
              <a:ext cx="231775" cy="29166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9</a:t>
              </a:r>
            </a:p>
          </xdr:txBody>
        </xdr:sp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00000000-0008-0000-3200-00000F000000}"/>
                </a:ext>
              </a:extLst>
            </xdr:cNvPr>
            <xdr:cNvSpPr txBox="1"/>
          </xdr:nvSpPr>
          <xdr:spPr>
            <a:xfrm>
              <a:off x="3502161" y="2788220"/>
              <a:ext cx="347387" cy="28531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10</a:t>
              </a:r>
            </a:p>
          </xdr:txBody>
        </xdr:sp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00000000-0008-0000-3200-000010000000}"/>
                </a:ext>
              </a:extLst>
            </xdr:cNvPr>
            <xdr:cNvSpPr txBox="1"/>
          </xdr:nvSpPr>
          <xdr:spPr>
            <a:xfrm>
              <a:off x="4539694" y="2402097"/>
              <a:ext cx="342900" cy="2791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11</a:t>
              </a:r>
            </a:p>
          </xdr:txBody>
        </xdr:sp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00000000-0008-0000-3200-000011000000}"/>
                </a:ext>
              </a:extLst>
            </xdr:cNvPr>
            <xdr:cNvSpPr txBox="1"/>
          </xdr:nvSpPr>
          <xdr:spPr>
            <a:xfrm>
              <a:off x="2961948" y="2560244"/>
              <a:ext cx="459420" cy="2848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12</a:t>
              </a:r>
            </a:p>
          </xdr:txBody>
        </xdr:sp>
        <xdr:sp macro="" textlink="">
          <xdr:nvSpPr>
            <xdr:cNvPr id="18" name="CuadroTexto 17">
              <a:extLst>
                <a:ext uri="{FF2B5EF4-FFF2-40B4-BE49-F238E27FC236}">
                  <a16:creationId xmlns:a16="http://schemas.microsoft.com/office/drawing/2014/main" id="{00000000-0008-0000-3200-000012000000}"/>
                </a:ext>
              </a:extLst>
            </xdr:cNvPr>
            <xdr:cNvSpPr txBox="1"/>
          </xdr:nvSpPr>
          <xdr:spPr>
            <a:xfrm>
              <a:off x="3386083" y="2445585"/>
              <a:ext cx="339725" cy="2980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13</a:t>
              </a:r>
            </a:p>
          </xdr:txBody>
        </xdr:sp>
        <xdr:sp macro="" textlink="">
          <xdr:nvSpPr>
            <xdr:cNvPr id="19" name="CuadroTexto 18">
              <a:extLst>
                <a:ext uri="{FF2B5EF4-FFF2-40B4-BE49-F238E27FC236}">
                  <a16:creationId xmlns:a16="http://schemas.microsoft.com/office/drawing/2014/main" id="{00000000-0008-0000-3200-000013000000}"/>
                </a:ext>
              </a:extLst>
            </xdr:cNvPr>
            <xdr:cNvSpPr txBox="1"/>
          </xdr:nvSpPr>
          <xdr:spPr>
            <a:xfrm>
              <a:off x="1863880" y="573166"/>
              <a:ext cx="228600" cy="2794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1100" b="1">
                  <a:solidFill>
                    <a:srgbClr val="FF0000"/>
                  </a:solidFill>
                  <a:latin typeface="+mn-lt"/>
                  <a:ea typeface="+mn-ea"/>
                  <a:cs typeface="+mn-cs"/>
                </a:rPr>
                <a:t>1</a:t>
              </a:r>
            </a:p>
          </xdr:txBody>
        </xdr:sp>
        <xdr:sp macro="" textlink="">
          <xdr:nvSpPr>
            <xdr:cNvPr id="20" name="CuadroTexto 19">
              <a:extLst>
                <a:ext uri="{FF2B5EF4-FFF2-40B4-BE49-F238E27FC236}">
                  <a16:creationId xmlns:a16="http://schemas.microsoft.com/office/drawing/2014/main" id="{00000000-0008-0000-3200-000014000000}"/>
                </a:ext>
              </a:extLst>
            </xdr:cNvPr>
            <xdr:cNvSpPr txBox="1"/>
          </xdr:nvSpPr>
          <xdr:spPr>
            <a:xfrm>
              <a:off x="1419303" y="1372932"/>
              <a:ext cx="228600" cy="2794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1100" b="1">
                  <a:solidFill>
                    <a:srgbClr val="FF0000"/>
                  </a:solidFill>
                  <a:latin typeface="+mn-lt"/>
                  <a:ea typeface="+mn-ea"/>
                  <a:cs typeface="+mn-cs"/>
                </a:rPr>
                <a:t>2</a:t>
              </a:r>
            </a:p>
          </xdr:txBody>
        </xdr:sp>
        <xdr:sp macro="" textlink="">
          <xdr:nvSpPr>
            <xdr:cNvPr id="21" name="CuadroTexto 20">
              <a:extLst>
                <a:ext uri="{FF2B5EF4-FFF2-40B4-BE49-F238E27FC236}">
                  <a16:creationId xmlns:a16="http://schemas.microsoft.com/office/drawing/2014/main" id="{00000000-0008-0000-3200-000015000000}"/>
                </a:ext>
              </a:extLst>
            </xdr:cNvPr>
            <xdr:cNvSpPr txBox="1"/>
          </xdr:nvSpPr>
          <xdr:spPr>
            <a:xfrm>
              <a:off x="1237321" y="2044382"/>
              <a:ext cx="222250" cy="28576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1100" b="1">
                  <a:solidFill>
                    <a:srgbClr val="FF0000"/>
                  </a:solidFill>
                  <a:latin typeface="+mn-lt"/>
                  <a:ea typeface="+mn-ea"/>
                  <a:cs typeface="+mn-cs"/>
                </a:rPr>
                <a:t>3</a:t>
              </a:r>
            </a:p>
          </xdr:txBody>
        </xdr:sp>
        <xdr:sp macro="" textlink="">
          <xdr:nvSpPr>
            <xdr:cNvPr id="22" name="CuadroTexto 21">
              <a:extLst>
                <a:ext uri="{FF2B5EF4-FFF2-40B4-BE49-F238E27FC236}">
                  <a16:creationId xmlns:a16="http://schemas.microsoft.com/office/drawing/2014/main" id="{00000000-0008-0000-3200-000016000000}"/>
                </a:ext>
              </a:extLst>
            </xdr:cNvPr>
            <xdr:cNvSpPr txBox="1"/>
          </xdr:nvSpPr>
          <xdr:spPr>
            <a:xfrm>
              <a:off x="2566029" y="2145756"/>
              <a:ext cx="228600" cy="29121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1100" b="1">
                  <a:solidFill>
                    <a:srgbClr val="FF0000"/>
                  </a:solidFill>
                  <a:latin typeface="+mn-lt"/>
                  <a:ea typeface="+mn-ea"/>
                  <a:cs typeface="+mn-cs"/>
                </a:rPr>
                <a:t>4</a:t>
              </a:r>
            </a:p>
          </xdr:txBody>
        </xdr:sp>
        <xdr:sp macro="" textlink="">
          <xdr:nvSpPr>
            <xdr:cNvPr id="23" name="CuadroTexto 22">
              <a:extLst>
                <a:ext uri="{FF2B5EF4-FFF2-40B4-BE49-F238E27FC236}">
                  <a16:creationId xmlns:a16="http://schemas.microsoft.com/office/drawing/2014/main" id="{00000000-0008-0000-3200-000017000000}"/>
                </a:ext>
              </a:extLst>
            </xdr:cNvPr>
            <xdr:cNvSpPr txBox="1"/>
          </xdr:nvSpPr>
          <xdr:spPr>
            <a:xfrm>
              <a:off x="3088831" y="2086968"/>
              <a:ext cx="236262" cy="28213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1100" b="1">
                  <a:solidFill>
                    <a:srgbClr val="FF0000"/>
                  </a:solidFill>
                  <a:latin typeface="+mn-lt"/>
                  <a:ea typeface="+mn-ea"/>
                  <a:cs typeface="+mn-cs"/>
                </a:rPr>
                <a:t>5</a:t>
              </a:r>
            </a:p>
          </xdr:txBody>
        </xdr:sp>
        <xdr:sp macro="" textlink="">
          <xdr:nvSpPr>
            <xdr:cNvPr id="24" name="CuadroTexto 23">
              <a:extLst>
                <a:ext uri="{FF2B5EF4-FFF2-40B4-BE49-F238E27FC236}">
                  <a16:creationId xmlns:a16="http://schemas.microsoft.com/office/drawing/2014/main" id="{00000000-0008-0000-3200-000018000000}"/>
                </a:ext>
              </a:extLst>
            </xdr:cNvPr>
            <xdr:cNvSpPr txBox="1"/>
          </xdr:nvSpPr>
          <xdr:spPr>
            <a:xfrm>
              <a:off x="4298259" y="2168239"/>
              <a:ext cx="219075" cy="2918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1100" b="1">
                  <a:solidFill>
                    <a:srgbClr val="FF0000"/>
                  </a:solidFill>
                  <a:latin typeface="+mn-lt"/>
                  <a:ea typeface="+mn-ea"/>
                  <a:cs typeface="+mn-cs"/>
                </a:rPr>
                <a:t>6</a:t>
              </a:r>
            </a:p>
          </xdr:txBody>
        </xdr:sp>
        <xdr:sp macro="" textlink="">
          <xdr:nvSpPr>
            <xdr:cNvPr id="25" name="CuadroTexto 24">
              <a:extLst>
                <a:ext uri="{FF2B5EF4-FFF2-40B4-BE49-F238E27FC236}">
                  <a16:creationId xmlns:a16="http://schemas.microsoft.com/office/drawing/2014/main" id="{00000000-0008-0000-3200-000019000000}"/>
                </a:ext>
              </a:extLst>
            </xdr:cNvPr>
            <xdr:cNvSpPr txBox="1"/>
          </xdr:nvSpPr>
          <xdr:spPr>
            <a:xfrm>
              <a:off x="4200581" y="3124150"/>
              <a:ext cx="219075" cy="28168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CL" sz="1100" b="1">
                  <a:solidFill>
                    <a:srgbClr val="FF0000"/>
                  </a:solidFill>
                </a:rPr>
                <a:t>7</a:t>
              </a:r>
            </a:p>
          </xdr:txBody>
        </xdr:sp>
      </xdr:grpSp>
      <xdr:sp macro="" textlink="">
        <xdr:nvSpPr>
          <xdr:cNvPr id="5" name="Rectángulo 4">
            <a:extLst>
              <a:ext uri="{FF2B5EF4-FFF2-40B4-BE49-F238E27FC236}">
                <a16:creationId xmlns:a16="http://schemas.microsoft.com/office/drawing/2014/main" id="{00000000-0008-0000-3200-000005000000}"/>
              </a:ext>
            </a:extLst>
          </xdr:cNvPr>
          <xdr:cNvSpPr/>
        </xdr:nvSpPr>
        <xdr:spPr>
          <a:xfrm>
            <a:off x="410670" y="3432394"/>
            <a:ext cx="742074" cy="334798"/>
          </a:xfrm>
          <a:prstGeom prst="rect">
            <a:avLst/>
          </a:prstGeom>
          <a:solidFill>
            <a:sysClr val="window" lastClr="FFFFFF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L" sz="1100"/>
          </a:p>
        </xdr:txBody>
      </xdr:sp>
    </xdr:grpSp>
    <xdr:clientData/>
  </xdr:twoCellAnchor>
  <xdr:twoCellAnchor editAs="oneCell">
    <xdr:from>
      <xdr:col>1</xdr:col>
      <xdr:colOff>1553883</xdr:colOff>
      <xdr:row>56</xdr:row>
      <xdr:rowOff>119529</xdr:rowOff>
    </xdr:from>
    <xdr:to>
      <xdr:col>8</xdr:col>
      <xdr:colOff>514396</xdr:colOff>
      <xdr:row>66</xdr:row>
      <xdr:rowOff>78615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32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8412" y="11153588"/>
          <a:ext cx="5385219" cy="1826732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28574</xdr:colOff>
      <xdr:row>2</xdr:row>
      <xdr:rowOff>68064</xdr:rowOff>
    </xdr:from>
    <xdr:to>
      <xdr:col>9</xdr:col>
      <xdr:colOff>490444</xdr:colOff>
      <xdr:row>19</xdr:row>
      <xdr:rowOff>138437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GrpSpPr/>
      </xdr:nvGrpSpPr>
      <xdr:grpSpPr>
        <a:xfrm>
          <a:off x="781503" y="430921"/>
          <a:ext cx="7637370" cy="3952945"/>
          <a:chOff x="400049" y="573166"/>
          <a:chExt cx="5396844" cy="3194026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00000000-0008-0000-33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00049" y="639577"/>
            <a:ext cx="5396844" cy="3108610"/>
          </a:xfrm>
          <a:prstGeom prst="rect">
            <a:avLst/>
          </a:prstGeom>
        </xdr:spPr>
      </xdr:pic>
      <xdr:grpSp>
        <xdr:nvGrpSpPr>
          <xdr:cNvPr id="4" name="Grupo 3">
            <a:extLst>
              <a:ext uri="{FF2B5EF4-FFF2-40B4-BE49-F238E27FC236}">
                <a16:creationId xmlns:a16="http://schemas.microsoft.com/office/drawing/2014/main" id="{00000000-0008-0000-3300-000004000000}"/>
              </a:ext>
            </a:extLst>
          </xdr:cNvPr>
          <xdr:cNvGrpSpPr/>
        </xdr:nvGrpSpPr>
        <xdr:grpSpPr>
          <a:xfrm>
            <a:off x="1074448" y="573166"/>
            <a:ext cx="3808146" cy="2943080"/>
            <a:chOff x="1074448" y="573166"/>
            <a:chExt cx="3808146" cy="2943080"/>
          </a:xfrm>
        </xdr:grpSpPr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00000000-0008-0000-3300-000006000000}"/>
                </a:ext>
              </a:extLst>
            </xdr:cNvPr>
            <xdr:cNvSpPr txBox="1"/>
          </xdr:nvSpPr>
          <xdr:spPr>
            <a:xfrm>
              <a:off x="1074448" y="859111"/>
              <a:ext cx="228600" cy="29483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1</a:t>
              </a:r>
            </a:p>
          </xdr:txBody>
        </xdr:sp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00000000-0008-0000-3300-000007000000}"/>
                </a:ext>
              </a:extLst>
            </xdr:cNvPr>
            <xdr:cNvSpPr txBox="1"/>
          </xdr:nvSpPr>
          <xdr:spPr>
            <a:xfrm>
              <a:off x="1606700" y="1008419"/>
              <a:ext cx="222250" cy="30753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CL" sz="900" b="1"/>
                <a:t>2</a:t>
              </a:r>
            </a:p>
          </xdr:txBody>
        </xdr:sp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00000000-0008-0000-3300-000008000000}"/>
                </a:ext>
              </a:extLst>
            </xdr:cNvPr>
            <xdr:cNvSpPr txBox="1"/>
          </xdr:nvSpPr>
          <xdr:spPr>
            <a:xfrm>
              <a:off x="1992584" y="880500"/>
              <a:ext cx="338409" cy="28235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3</a:t>
              </a:r>
            </a:p>
          </xdr:txBody>
        </xdr:sp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00000000-0008-0000-3300-000009000000}"/>
                </a:ext>
              </a:extLst>
            </xdr:cNvPr>
            <xdr:cNvSpPr txBox="1"/>
          </xdr:nvSpPr>
          <xdr:spPr>
            <a:xfrm>
              <a:off x="1610835" y="1952228"/>
              <a:ext cx="219075" cy="2916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4</a:t>
              </a:r>
            </a:p>
          </xdr:txBody>
        </xdr:sp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00000000-0008-0000-3300-00000A000000}"/>
                </a:ext>
              </a:extLst>
            </xdr:cNvPr>
            <xdr:cNvSpPr txBox="1"/>
          </xdr:nvSpPr>
          <xdr:spPr>
            <a:xfrm>
              <a:off x="1588814" y="2753978"/>
              <a:ext cx="231775" cy="29166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5</a:t>
              </a:r>
            </a:p>
          </xdr:txBody>
        </xdr:sp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00000000-0008-0000-3300-00000B000000}"/>
                </a:ext>
              </a:extLst>
            </xdr:cNvPr>
            <xdr:cNvSpPr txBox="1"/>
          </xdr:nvSpPr>
          <xdr:spPr>
            <a:xfrm>
              <a:off x="1876002" y="2255504"/>
              <a:ext cx="330747" cy="27941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6</a:t>
              </a:r>
            </a:p>
          </xdr:txBody>
        </xdr:sp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00000000-0008-0000-3300-00000C000000}"/>
                </a:ext>
              </a:extLst>
            </xdr:cNvPr>
            <xdr:cNvSpPr txBox="1"/>
          </xdr:nvSpPr>
          <xdr:spPr>
            <a:xfrm>
              <a:off x="2761491" y="2244476"/>
              <a:ext cx="215900" cy="27896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7</a:t>
              </a:r>
            </a:p>
          </xdr:txBody>
        </xdr:sp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00000000-0008-0000-3300-00000D000000}"/>
                </a:ext>
              </a:extLst>
            </xdr:cNvPr>
            <xdr:cNvSpPr txBox="1"/>
          </xdr:nvSpPr>
          <xdr:spPr>
            <a:xfrm>
              <a:off x="3972636" y="2517609"/>
              <a:ext cx="228600" cy="26943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8</a:t>
              </a:r>
            </a:p>
          </xdr:txBody>
        </xdr:sp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00000000-0008-0000-3300-00000E000000}"/>
                </a:ext>
              </a:extLst>
            </xdr:cNvPr>
            <xdr:cNvSpPr txBox="1"/>
          </xdr:nvSpPr>
          <xdr:spPr>
            <a:xfrm>
              <a:off x="3835024" y="3224584"/>
              <a:ext cx="231775" cy="29166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9</a:t>
              </a:r>
            </a:p>
          </xdr:txBody>
        </xdr:sp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00000000-0008-0000-3300-00000F000000}"/>
                </a:ext>
              </a:extLst>
            </xdr:cNvPr>
            <xdr:cNvSpPr txBox="1"/>
          </xdr:nvSpPr>
          <xdr:spPr>
            <a:xfrm>
              <a:off x="3502161" y="2788220"/>
              <a:ext cx="347387" cy="28531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10</a:t>
              </a:r>
            </a:p>
          </xdr:txBody>
        </xdr:sp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00000000-0008-0000-3300-000010000000}"/>
                </a:ext>
              </a:extLst>
            </xdr:cNvPr>
            <xdr:cNvSpPr txBox="1"/>
          </xdr:nvSpPr>
          <xdr:spPr>
            <a:xfrm>
              <a:off x="4539694" y="2402097"/>
              <a:ext cx="342900" cy="2791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11</a:t>
              </a:r>
            </a:p>
          </xdr:txBody>
        </xdr:sp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00000000-0008-0000-3300-000011000000}"/>
                </a:ext>
              </a:extLst>
            </xdr:cNvPr>
            <xdr:cNvSpPr txBox="1"/>
          </xdr:nvSpPr>
          <xdr:spPr>
            <a:xfrm>
              <a:off x="2961948" y="2560244"/>
              <a:ext cx="459420" cy="2848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12</a:t>
              </a:r>
            </a:p>
          </xdr:txBody>
        </xdr:sp>
        <xdr:sp macro="" textlink="">
          <xdr:nvSpPr>
            <xdr:cNvPr id="18" name="CuadroTexto 17">
              <a:extLst>
                <a:ext uri="{FF2B5EF4-FFF2-40B4-BE49-F238E27FC236}">
                  <a16:creationId xmlns:a16="http://schemas.microsoft.com/office/drawing/2014/main" id="{00000000-0008-0000-3300-000012000000}"/>
                </a:ext>
              </a:extLst>
            </xdr:cNvPr>
            <xdr:cNvSpPr txBox="1"/>
          </xdr:nvSpPr>
          <xdr:spPr>
            <a:xfrm>
              <a:off x="3386083" y="2445585"/>
              <a:ext cx="339725" cy="2980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13</a:t>
              </a:r>
            </a:p>
          </xdr:txBody>
        </xdr:sp>
        <xdr:sp macro="" textlink="">
          <xdr:nvSpPr>
            <xdr:cNvPr id="19" name="CuadroTexto 18">
              <a:extLst>
                <a:ext uri="{FF2B5EF4-FFF2-40B4-BE49-F238E27FC236}">
                  <a16:creationId xmlns:a16="http://schemas.microsoft.com/office/drawing/2014/main" id="{00000000-0008-0000-3300-000013000000}"/>
                </a:ext>
              </a:extLst>
            </xdr:cNvPr>
            <xdr:cNvSpPr txBox="1"/>
          </xdr:nvSpPr>
          <xdr:spPr>
            <a:xfrm>
              <a:off x="1863880" y="573166"/>
              <a:ext cx="228600" cy="2794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1100" b="1">
                  <a:solidFill>
                    <a:srgbClr val="FF0000"/>
                  </a:solidFill>
                  <a:latin typeface="+mn-lt"/>
                  <a:ea typeface="+mn-ea"/>
                  <a:cs typeface="+mn-cs"/>
                </a:rPr>
                <a:t>1</a:t>
              </a:r>
            </a:p>
          </xdr:txBody>
        </xdr:sp>
        <xdr:sp macro="" textlink="">
          <xdr:nvSpPr>
            <xdr:cNvPr id="20" name="CuadroTexto 19">
              <a:extLst>
                <a:ext uri="{FF2B5EF4-FFF2-40B4-BE49-F238E27FC236}">
                  <a16:creationId xmlns:a16="http://schemas.microsoft.com/office/drawing/2014/main" id="{00000000-0008-0000-3300-000014000000}"/>
                </a:ext>
              </a:extLst>
            </xdr:cNvPr>
            <xdr:cNvSpPr txBox="1"/>
          </xdr:nvSpPr>
          <xdr:spPr>
            <a:xfrm>
              <a:off x="1419303" y="1372932"/>
              <a:ext cx="228600" cy="2794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1100" b="1">
                  <a:solidFill>
                    <a:srgbClr val="FF0000"/>
                  </a:solidFill>
                  <a:latin typeface="+mn-lt"/>
                  <a:ea typeface="+mn-ea"/>
                  <a:cs typeface="+mn-cs"/>
                </a:rPr>
                <a:t>2</a:t>
              </a:r>
            </a:p>
          </xdr:txBody>
        </xdr:sp>
        <xdr:sp macro="" textlink="">
          <xdr:nvSpPr>
            <xdr:cNvPr id="21" name="CuadroTexto 20">
              <a:extLst>
                <a:ext uri="{FF2B5EF4-FFF2-40B4-BE49-F238E27FC236}">
                  <a16:creationId xmlns:a16="http://schemas.microsoft.com/office/drawing/2014/main" id="{00000000-0008-0000-3300-000015000000}"/>
                </a:ext>
              </a:extLst>
            </xdr:cNvPr>
            <xdr:cNvSpPr txBox="1"/>
          </xdr:nvSpPr>
          <xdr:spPr>
            <a:xfrm>
              <a:off x="1237321" y="2044382"/>
              <a:ext cx="222250" cy="28576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1100" b="1">
                  <a:solidFill>
                    <a:srgbClr val="FF0000"/>
                  </a:solidFill>
                  <a:latin typeface="+mn-lt"/>
                  <a:ea typeface="+mn-ea"/>
                  <a:cs typeface="+mn-cs"/>
                </a:rPr>
                <a:t>3</a:t>
              </a:r>
            </a:p>
          </xdr:txBody>
        </xdr:sp>
        <xdr:sp macro="" textlink="">
          <xdr:nvSpPr>
            <xdr:cNvPr id="22" name="CuadroTexto 21">
              <a:extLst>
                <a:ext uri="{FF2B5EF4-FFF2-40B4-BE49-F238E27FC236}">
                  <a16:creationId xmlns:a16="http://schemas.microsoft.com/office/drawing/2014/main" id="{00000000-0008-0000-3300-000016000000}"/>
                </a:ext>
              </a:extLst>
            </xdr:cNvPr>
            <xdr:cNvSpPr txBox="1"/>
          </xdr:nvSpPr>
          <xdr:spPr>
            <a:xfrm>
              <a:off x="2566029" y="2145756"/>
              <a:ext cx="228600" cy="29121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1100" b="1">
                  <a:solidFill>
                    <a:srgbClr val="FF0000"/>
                  </a:solidFill>
                  <a:latin typeface="+mn-lt"/>
                  <a:ea typeface="+mn-ea"/>
                  <a:cs typeface="+mn-cs"/>
                </a:rPr>
                <a:t>4</a:t>
              </a:r>
            </a:p>
          </xdr:txBody>
        </xdr:sp>
        <xdr:sp macro="" textlink="">
          <xdr:nvSpPr>
            <xdr:cNvPr id="23" name="CuadroTexto 22">
              <a:extLst>
                <a:ext uri="{FF2B5EF4-FFF2-40B4-BE49-F238E27FC236}">
                  <a16:creationId xmlns:a16="http://schemas.microsoft.com/office/drawing/2014/main" id="{00000000-0008-0000-3300-000017000000}"/>
                </a:ext>
              </a:extLst>
            </xdr:cNvPr>
            <xdr:cNvSpPr txBox="1"/>
          </xdr:nvSpPr>
          <xdr:spPr>
            <a:xfrm>
              <a:off x="3088831" y="2086968"/>
              <a:ext cx="236262" cy="28213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1100" b="1">
                  <a:solidFill>
                    <a:srgbClr val="FF0000"/>
                  </a:solidFill>
                  <a:latin typeface="+mn-lt"/>
                  <a:ea typeface="+mn-ea"/>
                  <a:cs typeface="+mn-cs"/>
                </a:rPr>
                <a:t>5</a:t>
              </a:r>
            </a:p>
          </xdr:txBody>
        </xdr:sp>
        <xdr:sp macro="" textlink="">
          <xdr:nvSpPr>
            <xdr:cNvPr id="24" name="CuadroTexto 23">
              <a:extLst>
                <a:ext uri="{FF2B5EF4-FFF2-40B4-BE49-F238E27FC236}">
                  <a16:creationId xmlns:a16="http://schemas.microsoft.com/office/drawing/2014/main" id="{00000000-0008-0000-3300-000018000000}"/>
                </a:ext>
              </a:extLst>
            </xdr:cNvPr>
            <xdr:cNvSpPr txBox="1"/>
          </xdr:nvSpPr>
          <xdr:spPr>
            <a:xfrm>
              <a:off x="4298259" y="2168239"/>
              <a:ext cx="219075" cy="2918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1100" b="1">
                  <a:solidFill>
                    <a:srgbClr val="FF0000"/>
                  </a:solidFill>
                  <a:latin typeface="+mn-lt"/>
                  <a:ea typeface="+mn-ea"/>
                  <a:cs typeface="+mn-cs"/>
                </a:rPr>
                <a:t>6</a:t>
              </a:r>
            </a:p>
          </xdr:txBody>
        </xdr:sp>
        <xdr:sp macro="" textlink="">
          <xdr:nvSpPr>
            <xdr:cNvPr id="25" name="CuadroTexto 24">
              <a:extLst>
                <a:ext uri="{FF2B5EF4-FFF2-40B4-BE49-F238E27FC236}">
                  <a16:creationId xmlns:a16="http://schemas.microsoft.com/office/drawing/2014/main" id="{00000000-0008-0000-3300-000019000000}"/>
                </a:ext>
              </a:extLst>
            </xdr:cNvPr>
            <xdr:cNvSpPr txBox="1"/>
          </xdr:nvSpPr>
          <xdr:spPr>
            <a:xfrm>
              <a:off x="4200581" y="3124150"/>
              <a:ext cx="219075" cy="28168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CL" sz="1100" b="1">
                  <a:solidFill>
                    <a:srgbClr val="FF0000"/>
                  </a:solidFill>
                </a:rPr>
                <a:t>7</a:t>
              </a:r>
            </a:p>
          </xdr:txBody>
        </xdr:sp>
      </xdr:grpSp>
      <xdr:sp macro="" textlink="">
        <xdr:nvSpPr>
          <xdr:cNvPr id="5" name="Rectángulo 4">
            <a:extLst>
              <a:ext uri="{FF2B5EF4-FFF2-40B4-BE49-F238E27FC236}">
                <a16:creationId xmlns:a16="http://schemas.microsoft.com/office/drawing/2014/main" id="{00000000-0008-0000-3300-000005000000}"/>
              </a:ext>
            </a:extLst>
          </xdr:cNvPr>
          <xdr:cNvSpPr/>
        </xdr:nvSpPr>
        <xdr:spPr>
          <a:xfrm>
            <a:off x="410670" y="3432394"/>
            <a:ext cx="742074" cy="334798"/>
          </a:xfrm>
          <a:prstGeom prst="rect">
            <a:avLst/>
          </a:prstGeom>
          <a:solidFill>
            <a:sysClr val="window" lastClr="FFFFFF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L" sz="1100"/>
          </a:p>
        </xdr:txBody>
      </xdr:sp>
    </xdr:grpSp>
    <xdr:clientData/>
  </xdr:twoCellAnchor>
  <xdr:twoCellAnchor editAs="oneCell">
    <xdr:from>
      <xdr:col>1</xdr:col>
      <xdr:colOff>1553883</xdr:colOff>
      <xdr:row>56</xdr:row>
      <xdr:rowOff>119529</xdr:rowOff>
    </xdr:from>
    <xdr:to>
      <xdr:col>8</xdr:col>
      <xdr:colOff>514396</xdr:colOff>
      <xdr:row>66</xdr:row>
      <xdr:rowOff>66558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3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9533" y="11276479"/>
          <a:ext cx="5393063" cy="1794879"/>
        </a:xfrm>
        <a:prstGeom prst="rect">
          <a:avLst/>
        </a:prstGeom>
      </xdr:spPr>
    </xdr:pic>
    <xdr:clientData/>
  </xdr:twoCellAnchor>
  <xdr:twoCellAnchor>
    <xdr:from>
      <xdr:col>34</xdr:col>
      <xdr:colOff>533320</xdr:colOff>
      <xdr:row>54</xdr:row>
      <xdr:rowOff>82176</xdr:rowOff>
    </xdr:from>
    <xdr:to>
      <xdr:col>42</xdr:col>
      <xdr:colOff>468513</xdr:colOff>
      <xdr:row>68</xdr:row>
      <xdr:rowOff>154638</xdr:rowOff>
    </xdr:to>
    <xdr:graphicFrame macro="">
      <xdr:nvGraphicFramePr>
        <xdr:cNvPr id="27" name="Gráfico 50">
          <a:extLst>
            <a:ext uri="{FF2B5EF4-FFF2-40B4-BE49-F238E27FC236}">
              <a16:creationId xmlns:a16="http://schemas.microsoft.com/office/drawing/2014/main" id="{00000000-0008-0000-33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515470</xdr:colOff>
      <xdr:row>69</xdr:row>
      <xdr:rowOff>58696</xdr:rowOff>
    </xdr:from>
    <xdr:to>
      <xdr:col>42</xdr:col>
      <xdr:colOff>457013</xdr:colOff>
      <xdr:row>83</xdr:row>
      <xdr:rowOff>145541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00000000-0008-0000-33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34</xdr:col>
      <xdr:colOff>524542</xdr:colOff>
      <xdr:row>84</xdr:row>
      <xdr:rowOff>91782</xdr:rowOff>
    </xdr:from>
    <xdr:to>
      <xdr:col>42</xdr:col>
      <xdr:colOff>466085</xdr:colOff>
      <xdr:row>98</xdr:row>
      <xdr:rowOff>180760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00000000-0008-0000-33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56</xdr:col>
      <xdr:colOff>168072</xdr:colOff>
      <xdr:row>58</xdr:row>
      <xdr:rowOff>11835</xdr:rowOff>
    </xdr:from>
    <xdr:to>
      <xdr:col>64</xdr:col>
      <xdr:colOff>205074</xdr:colOff>
      <xdr:row>73</xdr:row>
      <xdr:rowOff>58458</xdr:rowOff>
    </xdr:to>
    <xdr:graphicFrame macro="">
      <xdr:nvGraphicFramePr>
        <xdr:cNvPr id="30" name="Gráfico 55">
          <a:extLst>
            <a:ext uri="{FF2B5EF4-FFF2-40B4-BE49-F238E27FC236}">
              <a16:creationId xmlns:a16="http://schemas.microsoft.com/office/drawing/2014/main" id="{00000000-0008-0000-33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56</xdr:col>
      <xdr:colOff>169817</xdr:colOff>
      <xdr:row>73</xdr:row>
      <xdr:rowOff>102758</xdr:rowOff>
    </xdr:from>
    <xdr:to>
      <xdr:col>64</xdr:col>
      <xdr:colOff>170079</xdr:colOff>
      <xdr:row>88</xdr:row>
      <xdr:rowOff>158847</xdr:rowOff>
    </xdr:to>
    <xdr:graphicFrame macro="">
      <xdr:nvGraphicFramePr>
        <xdr:cNvPr id="31" name="Gráfico 56">
          <a:extLst>
            <a:ext uri="{FF2B5EF4-FFF2-40B4-BE49-F238E27FC236}">
              <a16:creationId xmlns:a16="http://schemas.microsoft.com/office/drawing/2014/main" id="{00000000-0008-0000-33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56</xdr:col>
      <xdr:colOff>158612</xdr:colOff>
      <xdr:row>89</xdr:row>
      <xdr:rowOff>21142</xdr:rowOff>
    </xdr:from>
    <xdr:to>
      <xdr:col>64</xdr:col>
      <xdr:colOff>158873</xdr:colOff>
      <xdr:row>104</xdr:row>
      <xdr:rowOff>91612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00000000-0008-0000-33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761999</xdr:colOff>
      <xdr:row>7</xdr:row>
      <xdr:rowOff>163287</xdr:rowOff>
    </xdr:from>
    <xdr:to>
      <xdr:col>8</xdr:col>
      <xdr:colOff>198531</xdr:colOff>
      <xdr:row>19</xdr:row>
      <xdr:rowOff>44823</xdr:rowOff>
    </xdr:to>
    <xdr:sp macro="" textlink="">
      <xdr:nvSpPr>
        <xdr:cNvPr id="33" name="Rectángulo 32">
          <a:extLst>
            <a:ext uri="{FF2B5EF4-FFF2-40B4-BE49-F238E27FC236}">
              <a16:creationId xmlns:a16="http://schemas.microsoft.com/office/drawing/2014/main" id="{00000000-0008-0000-3300-000021000000}"/>
            </a:ext>
          </a:extLst>
        </xdr:cNvPr>
        <xdr:cNvSpPr/>
      </xdr:nvSpPr>
      <xdr:spPr>
        <a:xfrm>
          <a:off x="1517649" y="2233387"/>
          <a:ext cx="5869082" cy="2104036"/>
        </a:xfrm>
        <a:prstGeom prst="rect">
          <a:avLst/>
        </a:prstGeom>
        <a:noFill/>
        <a:ln w="285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31</xdr:col>
      <xdr:colOff>84530</xdr:colOff>
      <xdr:row>18</xdr:row>
      <xdr:rowOff>99406</xdr:rowOff>
    </xdr:from>
    <xdr:to>
      <xdr:col>41</xdr:col>
      <xdr:colOff>91255</xdr:colOff>
      <xdr:row>39</xdr:row>
      <xdr:rowOff>80023</xdr:rowOff>
    </xdr:to>
    <xdr:grpSp>
      <xdr:nvGrpSpPr>
        <xdr:cNvPr id="34" name="Grupo 33">
          <a:extLst>
            <a:ext uri="{FF2B5EF4-FFF2-40B4-BE49-F238E27FC236}">
              <a16:creationId xmlns:a16="http://schemas.microsoft.com/office/drawing/2014/main" id="{00000000-0008-0000-3300-000022000000}"/>
            </a:ext>
          </a:extLst>
        </xdr:cNvPr>
        <xdr:cNvGrpSpPr/>
      </xdr:nvGrpSpPr>
      <xdr:grpSpPr>
        <a:xfrm>
          <a:off x="27471173" y="4163406"/>
          <a:ext cx="7644868" cy="3790617"/>
          <a:chOff x="397802" y="573166"/>
          <a:chExt cx="5401225" cy="3194026"/>
        </a:xfrm>
      </xdr:grpSpPr>
      <xdr:pic>
        <xdr:nvPicPr>
          <xdr:cNvPr id="35" name="Imagen 34">
            <a:extLst>
              <a:ext uri="{FF2B5EF4-FFF2-40B4-BE49-F238E27FC236}">
                <a16:creationId xmlns:a16="http://schemas.microsoft.com/office/drawing/2014/main" id="{00000000-0008-0000-3300-00002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97802" y="642183"/>
            <a:ext cx="5401225" cy="3106020"/>
          </a:xfrm>
          <a:prstGeom prst="rect">
            <a:avLst/>
          </a:prstGeom>
        </xdr:spPr>
      </xdr:pic>
      <xdr:grpSp>
        <xdr:nvGrpSpPr>
          <xdr:cNvPr id="36" name="Grupo 35">
            <a:extLst>
              <a:ext uri="{FF2B5EF4-FFF2-40B4-BE49-F238E27FC236}">
                <a16:creationId xmlns:a16="http://schemas.microsoft.com/office/drawing/2014/main" id="{00000000-0008-0000-3300-000024000000}"/>
              </a:ext>
            </a:extLst>
          </xdr:cNvPr>
          <xdr:cNvGrpSpPr/>
        </xdr:nvGrpSpPr>
        <xdr:grpSpPr>
          <a:xfrm>
            <a:off x="1074448" y="573166"/>
            <a:ext cx="3808146" cy="2943080"/>
            <a:chOff x="1074448" y="573166"/>
            <a:chExt cx="3808146" cy="2943080"/>
          </a:xfrm>
        </xdr:grpSpPr>
        <xdr:sp macro="" textlink="">
          <xdr:nvSpPr>
            <xdr:cNvPr id="38" name="CuadroTexto 37">
              <a:extLst>
                <a:ext uri="{FF2B5EF4-FFF2-40B4-BE49-F238E27FC236}">
                  <a16:creationId xmlns:a16="http://schemas.microsoft.com/office/drawing/2014/main" id="{00000000-0008-0000-3300-000026000000}"/>
                </a:ext>
              </a:extLst>
            </xdr:cNvPr>
            <xdr:cNvSpPr txBox="1"/>
          </xdr:nvSpPr>
          <xdr:spPr>
            <a:xfrm>
              <a:off x="1074448" y="859111"/>
              <a:ext cx="228600" cy="29483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1</a:t>
              </a:r>
            </a:p>
          </xdr:txBody>
        </xdr:sp>
        <xdr:sp macro="" textlink="">
          <xdr:nvSpPr>
            <xdr:cNvPr id="39" name="CuadroTexto 38">
              <a:extLst>
                <a:ext uri="{FF2B5EF4-FFF2-40B4-BE49-F238E27FC236}">
                  <a16:creationId xmlns:a16="http://schemas.microsoft.com/office/drawing/2014/main" id="{00000000-0008-0000-3300-000027000000}"/>
                </a:ext>
              </a:extLst>
            </xdr:cNvPr>
            <xdr:cNvSpPr txBox="1"/>
          </xdr:nvSpPr>
          <xdr:spPr>
            <a:xfrm>
              <a:off x="1606700" y="1008419"/>
              <a:ext cx="222250" cy="30753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CL" sz="900" b="1"/>
                <a:t>2</a:t>
              </a:r>
            </a:p>
          </xdr:txBody>
        </xdr:sp>
        <xdr:sp macro="" textlink="">
          <xdr:nvSpPr>
            <xdr:cNvPr id="40" name="CuadroTexto 39">
              <a:extLst>
                <a:ext uri="{FF2B5EF4-FFF2-40B4-BE49-F238E27FC236}">
                  <a16:creationId xmlns:a16="http://schemas.microsoft.com/office/drawing/2014/main" id="{00000000-0008-0000-3300-000028000000}"/>
                </a:ext>
              </a:extLst>
            </xdr:cNvPr>
            <xdr:cNvSpPr txBox="1"/>
          </xdr:nvSpPr>
          <xdr:spPr>
            <a:xfrm>
              <a:off x="1992584" y="880500"/>
              <a:ext cx="338409" cy="28235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3</a:t>
              </a:r>
            </a:p>
          </xdr:txBody>
        </xdr:sp>
        <xdr:sp macro="" textlink="">
          <xdr:nvSpPr>
            <xdr:cNvPr id="41" name="CuadroTexto 40">
              <a:extLst>
                <a:ext uri="{FF2B5EF4-FFF2-40B4-BE49-F238E27FC236}">
                  <a16:creationId xmlns:a16="http://schemas.microsoft.com/office/drawing/2014/main" id="{00000000-0008-0000-3300-000029000000}"/>
                </a:ext>
              </a:extLst>
            </xdr:cNvPr>
            <xdr:cNvSpPr txBox="1"/>
          </xdr:nvSpPr>
          <xdr:spPr>
            <a:xfrm>
              <a:off x="1610835" y="1952228"/>
              <a:ext cx="219075" cy="2916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4</a:t>
              </a:r>
            </a:p>
          </xdr:txBody>
        </xdr:sp>
        <xdr:sp macro="" textlink="">
          <xdr:nvSpPr>
            <xdr:cNvPr id="42" name="CuadroTexto 41">
              <a:extLst>
                <a:ext uri="{FF2B5EF4-FFF2-40B4-BE49-F238E27FC236}">
                  <a16:creationId xmlns:a16="http://schemas.microsoft.com/office/drawing/2014/main" id="{00000000-0008-0000-3300-00002A000000}"/>
                </a:ext>
              </a:extLst>
            </xdr:cNvPr>
            <xdr:cNvSpPr txBox="1"/>
          </xdr:nvSpPr>
          <xdr:spPr>
            <a:xfrm>
              <a:off x="1588814" y="2753978"/>
              <a:ext cx="231775" cy="29166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5</a:t>
              </a:r>
            </a:p>
          </xdr:txBody>
        </xdr:sp>
        <xdr:sp macro="" textlink="">
          <xdr:nvSpPr>
            <xdr:cNvPr id="43" name="CuadroTexto 42">
              <a:extLst>
                <a:ext uri="{FF2B5EF4-FFF2-40B4-BE49-F238E27FC236}">
                  <a16:creationId xmlns:a16="http://schemas.microsoft.com/office/drawing/2014/main" id="{00000000-0008-0000-3300-00002B000000}"/>
                </a:ext>
              </a:extLst>
            </xdr:cNvPr>
            <xdr:cNvSpPr txBox="1"/>
          </xdr:nvSpPr>
          <xdr:spPr>
            <a:xfrm>
              <a:off x="1876002" y="2255504"/>
              <a:ext cx="330747" cy="27941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6</a:t>
              </a:r>
            </a:p>
          </xdr:txBody>
        </xdr:sp>
        <xdr:sp macro="" textlink="">
          <xdr:nvSpPr>
            <xdr:cNvPr id="44" name="CuadroTexto 43">
              <a:extLst>
                <a:ext uri="{FF2B5EF4-FFF2-40B4-BE49-F238E27FC236}">
                  <a16:creationId xmlns:a16="http://schemas.microsoft.com/office/drawing/2014/main" id="{00000000-0008-0000-3300-00002C000000}"/>
                </a:ext>
              </a:extLst>
            </xdr:cNvPr>
            <xdr:cNvSpPr txBox="1"/>
          </xdr:nvSpPr>
          <xdr:spPr>
            <a:xfrm>
              <a:off x="2761491" y="2244476"/>
              <a:ext cx="215900" cy="27896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7</a:t>
              </a:r>
            </a:p>
          </xdr:txBody>
        </xdr:sp>
        <xdr:sp macro="" textlink="">
          <xdr:nvSpPr>
            <xdr:cNvPr id="45" name="CuadroTexto 44">
              <a:extLst>
                <a:ext uri="{FF2B5EF4-FFF2-40B4-BE49-F238E27FC236}">
                  <a16:creationId xmlns:a16="http://schemas.microsoft.com/office/drawing/2014/main" id="{00000000-0008-0000-3300-00002D000000}"/>
                </a:ext>
              </a:extLst>
            </xdr:cNvPr>
            <xdr:cNvSpPr txBox="1"/>
          </xdr:nvSpPr>
          <xdr:spPr>
            <a:xfrm>
              <a:off x="3972636" y="2517609"/>
              <a:ext cx="228600" cy="26943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8</a:t>
              </a:r>
            </a:p>
          </xdr:txBody>
        </xdr:sp>
        <xdr:sp macro="" textlink="">
          <xdr:nvSpPr>
            <xdr:cNvPr id="46" name="CuadroTexto 45">
              <a:extLst>
                <a:ext uri="{FF2B5EF4-FFF2-40B4-BE49-F238E27FC236}">
                  <a16:creationId xmlns:a16="http://schemas.microsoft.com/office/drawing/2014/main" id="{00000000-0008-0000-3300-00002E000000}"/>
                </a:ext>
              </a:extLst>
            </xdr:cNvPr>
            <xdr:cNvSpPr txBox="1"/>
          </xdr:nvSpPr>
          <xdr:spPr>
            <a:xfrm>
              <a:off x="3835024" y="3224584"/>
              <a:ext cx="231775" cy="29166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9</a:t>
              </a:r>
            </a:p>
          </xdr:txBody>
        </xdr:sp>
        <xdr:sp macro="" textlink="">
          <xdr:nvSpPr>
            <xdr:cNvPr id="47" name="CuadroTexto 46">
              <a:extLst>
                <a:ext uri="{FF2B5EF4-FFF2-40B4-BE49-F238E27FC236}">
                  <a16:creationId xmlns:a16="http://schemas.microsoft.com/office/drawing/2014/main" id="{00000000-0008-0000-3300-00002F000000}"/>
                </a:ext>
              </a:extLst>
            </xdr:cNvPr>
            <xdr:cNvSpPr txBox="1"/>
          </xdr:nvSpPr>
          <xdr:spPr>
            <a:xfrm>
              <a:off x="3502161" y="2788220"/>
              <a:ext cx="347387" cy="28531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10</a:t>
              </a:r>
            </a:p>
          </xdr:txBody>
        </xdr:sp>
        <xdr:sp macro="" textlink="">
          <xdr:nvSpPr>
            <xdr:cNvPr id="48" name="CuadroTexto 47">
              <a:extLst>
                <a:ext uri="{FF2B5EF4-FFF2-40B4-BE49-F238E27FC236}">
                  <a16:creationId xmlns:a16="http://schemas.microsoft.com/office/drawing/2014/main" id="{00000000-0008-0000-3300-000030000000}"/>
                </a:ext>
              </a:extLst>
            </xdr:cNvPr>
            <xdr:cNvSpPr txBox="1"/>
          </xdr:nvSpPr>
          <xdr:spPr>
            <a:xfrm>
              <a:off x="4539694" y="2402097"/>
              <a:ext cx="342900" cy="2791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11</a:t>
              </a:r>
            </a:p>
          </xdr:txBody>
        </xdr:sp>
        <xdr:sp macro="" textlink="">
          <xdr:nvSpPr>
            <xdr:cNvPr id="49" name="CuadroTexto 48">
              <a:extLst>
                <a:ext uri="{FF2B5EF4-FFF2-40B4-BE49-F238E27FC236}">
                  <a16:creationId xmlns:a16="http://schemas.microsoft.com/office/drawing/2014/main" id="{00000000-0008-0000-3300-000031000000}"/>
                </a:ext>
              </a:extLst>
            </xdr:cNvPr>
            <xdr:cNvSpPr txBox="1"/>
          </xdr:nvSpPr>
          <xdr:spPr>
            <a:xfrm>
              <a:off x="2961781" y="2561251"/>
              <a:ext cx="459793" cy="28462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12</a:t>
              </a:r>
            </a:p>
          </xdr:txBody>
        </xdr:sp>
        <xdr:sp macro="" textlink="">
          <xdr:nvSpPr>
            <xdr:cNvPr id="50" name="CuadroTexto 49">
              <a:extLst>
                <a:ext uri="{FF2B5EF4-FFF2-40B4-BE49-F238E27FC236}">
                  <a16:creationId xmlns:a16="http://schemas.microsoft.com/office/drawing/2014/main" id="{00000000-0008-0000-3300-000032000000}"/>
                </a:ext>
              </a:extLst>
            </xdr:cNvPr>
            <xdr:cNvSpPr txBox="1"/>
          </xdr:nvSpPr>
          <xdr:spPr>
            <a:xfrm>
              <a:off x="3386259" y="2446687"/>
              <a:ext cx="340001" cy="29776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9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13</a:t>
              </a:r>
            </a:p>
          </xdr:txBody>
        </xdr:sp>
        <xdr:sp macro="" textlink="">
          <xdr:nvSpPr>
            <xdr:cNvPr id="51" name="CuadroTexto 50">
              <a:extLst>
                <a:ext uri="{FF2B5EF4-FFF2-40B4-BE49-F238E27FC236}">
                  <a16:creationId xmlns:a16="http://schemas.microsoft.com/office/drawing/2014/main" id="{00000000-0008-0000-3300-000033000000}"/>
                </a:ext>
              </a:extLst>
            </xdr:cNvPr>
            <xdr:cNvSpPr txBox="1"/>
          </xdr:nvSpPr>
          <xdr:spPr>
            <a:xfrm>
              <a:off x="1863880" y="573166"/>
              <a:ext cx="228600" cy="2794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1100" b="1">
                  <a:solidFill>
                    <a:srgbClr val="FF0000"/>
                  </a:solidFill>
                  <a:latin typeface="+mn-lt"/>
                  <a:ea typeface="+mn-ea"/>
                  <a:cs typeface="+mn-cs"/>
                </a:rPr>
                <a:t>1</a:t>
              </a:r>
            </a:p>
          </xdr:txBody>
        </xdr:sp>
        <xdr:sp macro="" textlink="">
          <xdr:nvSpPr>
            <xdr:cNvPr id="52" name="CuadroTexto 51">
              <a:extLst>
                <a:ext uri="{FF2B5EF4-FFF2-40B4-BE49-F238E27FC236}">
                  <a16:creationId xmlns:a16="http://schemas.microsoft.com/office/drawing/2014/main" id="{00000000-0008-0000-3300-000034000000}"/>
                </a:ext>
              </a:extLst>
            </xdr:cNvPr>
            <xdr:cNvSpPr txBox="1"/>
          </xdr:nvSpPr>
          <xdr:spPr>
            <a:xfrm>
              <a:off x="1419303" y="1372932"/>
              <a:ext cx="228600" cy="2794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1100" b="1">
                  <a:solidFill>
                    <a:srgbClr val="FF0000"/>
                  </a:solidFill>
                  <a:latin typeface="+mn-lt"/>
                  <a:ea typeface="+mn-ea"/>
                  <a:cs typeface="+mn-cs"/>
                </a:rPr>
                <a:t>2</a:t>
              </a:r>
            </a:p>
          </xdr:txBody>
        </xdr:sp>
        <xdr:sp macro="" textlink="">
          <xdr:nvSpPr>
            <xdr:cNvPr id="53" name="CuadroTexto 52">
              <a:extLst>
                <a:ext uri="{FF2B5EF4-FFF2-40B4-BE49-F238E27FC236}">
                  <a16:creationId xmlns:a16="http://schemas.microsoft.com/office/drawing/2014/main" id="{00000000-0008-0000-3300-000035000000}"/>
                </a:ext>
              </a:extLst>
            </xdr:cNvPr>
            <xdr:cNvSpPr txBox="1"/>
          </xdr:nvSpPr>
          <xdr:spPr>
            <a:xfrm>
              <a:off x="1237321" y="2044382"/>
              <a:ext cx="222250" cy="28576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1100" b="1">
                  <a:solidFill>
                    <a:srgbClr val="FF0000"/>
                  </a:solidFill>
                  <a:latin typeface="+mn-lt"/>
                  <a:ea typeface="+mn-ea"/>
                  <a:cs typeface="+mn-cs"/>
                </a:rPr>
                <a:t>3</a:t>
              </a:r>
            </a:p>
          </xdr:txBody>
        </xdr:sp>
        <xdr:sp macro="" textlink="">
          <xdr:nvSpPr>
            <xdr:cNvPr id="54" name="CuadroTexto 53">
              <a:extLst>
                <a:ext uri="{FF2B5EF4-FFF2-40B4-BE49-F238E27FC236}">
                  <a16:creationId xmlns:a16="http://schemas.microsoft.com/office/drawing/2014/main" id="{00000000-0008-0000-3300-000036000000}"/>
                </a:ext>
              </a:extLst>
            </xdr:cNvPr>
            <xdr:cNvSpPr txBox="1"/>
          </xdr:nvSpPr>
          <xdr:spPr>
            <a:xfrm>
              <a:off x="2566029" y="2145756"/>
              <a:ext cx="228600" cy="29121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1100" b="1">
                  <a:solidFill>
                    <a:srgbClr val="FF0000"/>
                  </a:solidFill>
                  <a:latin typeface="+mn-lt"/>
                  <a:ea typeface="+mn-ea"/>
                  <a:cs typeface="+mn-cs"/>
                </a:rPr>
                <a:t>4</a:t>
              </a:r>
            </a:p>
          </xdr:txBody>
        </xdr:sp>
        <xdr:sp macro="" textlink="">
          <xdr:nvSpPr>
            <xdr:cNvPr id="55" name="CuadroTexto 54">
              <a:extLst>
                <a:ext uri="{FF2B5EF4-FFF2-40B4-BE49-F238E27FC236}">
                  <a16:creationId xmlns:a16="http://schemas.microsoft.com/office/drawing/2014/main" id="{00000000-0008-0000-3300-000037000000}"/>
                </a:ext>
              </a:extLst>
            </xdr:cNvPr>
            <xdr:cNvSpPr txBox="1"/>
          </xdr:nvSpPr>
          <xdr:spPr>
            <a:xfrm>
              <a:off x="3088831" y="2086968"/>
              <a:ext cx="236262" cy="28213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1100" b="1">
                  <a:solidFill>
                    <a:srgbClr val="FF0000"/>
                  </a:solidFill>
                  <a:latin typeface="+mn-lt"/>
                  <a:ea typeface="+mn-ea"/>
                  <a:cs typeface="+mn-cs"/>
                </a:rPr>
                <a:t>5</a:t>
              </a:r>
            </a:p>
          </xdr:txBody>
        </xdr:sp>
        <xdr:sp macro="" textlink="">
          <xdr:nvSpPr>
            <xdr:cNvPr id="56" name="CuadroTexto 55">
              <a:extLst>
                <a:ext uri="{FF2B5EF4-FFF2-40B4-BE49-F238E27FC236}">
                  <a16:creationId xmlns:a16="http://schemas.microsoft.com/office/drawing/2014/main" id="{00000000-0008-0000-3300-000038000000}"/>
                </a:ext>
              </a:extLst>
            </xdr:cNvPr>
            <xdr:cNvSpPr txBox="1"/>
          </xdr:nvSpPr>
          <xdr:spPr>
            <a:xfrm>
              <a:off x="4298259" y="2168239"/>
              <a:ext cx="219075" cy="2918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CL" sz="1100" b="1">
                  <a:solidFill>
                    <a:srgbClr val="FF0000"/>
                  </a:solidFill>
                  <a:latin typeface="+mn-lt"/>
                  <a:ea typeface="+mn-ea"/>
                  <a:cs typeface="+mn-cs"/>
                </a:rPr>
                <a:t>6</a:t>
              </a:r>
            </a:p>
          </xdr:txBody>
        </xdr:sp>
        <xdr:sp macro="" textlink="">
          <xdr:nvSpPr>
            <xdr:cNvPr id="57" name="CuadroTexto 56">
              <a:extLst>
                <a:ext uri="{FF2B5EF4-FFF2-40B4-BE49-F238E27FC236}">
                  <a16:creationId xmlns:a16="http://schemas.microsoft.com/office/drawing/2014/main" id="{00000000-0008-0000-3300-000039000000}"/>
                </a:ext>
              </a:extLst>
            </xdr:cNvPr>
            <xdr:cNvSpPr txBox="1"/>
          </xdr:nvSpPr>
          <xdr:spPr>
            <a:xfrm>
              <a:off x="4200581" y="3124150"/>
              <a:ext cx="219075" cy="28168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CL" sz="1100" b="1">
                  <a:solidFill>
                    <a:srgbClr val="FF0000"/>
                  </a:solidFill>
                </a:rPr>
                <a:t>7</a:t>
              </a:r>
            </a:p>
          </xdr:txBody>
        </xdr:sp>
      </xdr:grpSp>
      <xdr:sp macro="" textlink="">
        <xdr:nvSpPr>
          <xdr:cNvPr id="37" name="Rectángulo 36">
            <a:extLst>
              <a:ext uri="{FF2B5EF4-FFF2-40B4-BE49-F238E27FC236}">
                <a16:creationId xmlns:a16="http://schemas.microsoft.com/office/drawing/2014/main" id="{00000000-0008-0000-3300-000025000000}"/>
              </a:ext>
            </a:extLst>
          </xdr:cNvPr>
          <xdr:cNvSpPr/>
        </xdr:nvSpPr>
        <xdr:spPr>
          <a:xfrm>
            <a:off x="410670" y="3432394"/>
            <a:ext cx="742074" cy="334798"/>
          </a:xfrm>
          <a:prstGeom prst="rect">
            <a:avLst/>
          </a:prstGeom>
          <a:solidFill>
            <a:sysClr val="window" lastClr="FFFFFF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L" sz="1100"/>
          </a:p>
        </xdr:txBody>
      </xdr:sp>
    </xdr:grpSp>
    <xdr:clientData/>
  </xdr:twoCellAnchor>
  <xdr:twoCellAnchor editAs="oneCell">
    <xdr:from>
      <xdr:col>41</xdr:col>
      <xdr:colOff>141677</xdr:colOff>
      <xdr:row>12</xdr:row>
      <xdr:rowOff>18410</xdr:rowOff>
    </xdr:from>
    <xdr:to>
      <xdr:col>50</xdr:col>
      <xdr:colOff>386427</xdr:colOff>
      <xdr:row>41</xdr:row>
      <xdr:rowOff>114909</xdr:rowOff>
    </xdr:to>
    <xdr:pic>
      <xdr:nvPicPr>
        <xdr:cNvPr id="58" name="Imagen 57">
          <a:extLst>
            <a:ext uri="{FF2B5EF4-FFF2-40B4-BE49-F238E27FC236}">
              <a16:creationId xmlns:a16="http://schemas.microsoft.com/office/drawing/2014/main" id="{00000000-0008-0000-33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5180977" y="3021960"/>
          <a:ext cx="8150500" cy="5436849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734787</xdr:colOff>
      <xdr:row>2</xdr:row>
      <xdr:rowOff>81643</xdr:rowOff>
    </xdr:from>
    <xdr:to>
      <xdr:col>6</xdr:col>
      <xdr:colOff>12153</xdr:colOff>
      <xdr:row>20</xdr:row>
      <xdr:rowOff>61132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4787" y="1022937"/>
          <a:ext cx="5328542" cy="3205663"/>
        </a:xfrm>
        <a:prstGeom prst="rect">
          <a:avLst/>
        </a:prstGeom>
      </xdr:spPr>
    </xdr:pic>
    <xdr:clientData/>
  </xdr:twoCellAnchor>
  <xdr:twoCellAnchor>
    <xdr:from>
      <xdr:col>1</xdr:col>
      <xdr:colOff>366018</xdr:colOff>
      <xdr:row>3</xdr:row>
      <xdr:rowOff>178584</xdr:rowOff>
    </xdr:from>
    <xdr:to>
      <xdr:col>1</xdr:col>
      <xdr:colOff>585093</xdr:colOff>
      <xdr:row>5</xdr:row>
      <xdr:rowOff>92858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3400-000003000000}"/>
            </a:ext>
          </a:extLst>
        </xdr:cNvPr>
        <xdr:cNvSpPr txBox="1"/>
      </xdr:nvSpPr>
      <xdr:spPr>
        <a:xfrm>
          <a:off x="1105158" y="1313964"/>
          <a:ext cx="219075" cy="2876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CL" sz="900" b="1">
              <a:solidFill>
                <a:schemeClr val="dk1"/>
              </a:solidFill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1</xdr:col>
      <xdr:colOff>1066497</xdr:colOff>
      <xdr:row>5</xdr:row>
      <xdr:rowOff>73354</xdr:rowOff>
    </xdr:from>
    <xdr:to>
      <xdr:col>1</xdr:col>
      <xdr:colOff>1291922</xdr:colOff>
      <xdr:row>7</xdr:row>
      <xdr:rowOff>4885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3400-000004000000}"/>
            </a:ext>
          </a:extLst>
        </xdr:cNvPr>
        <xdr:cNvSpPr txBox="1"/>
      </xdr:nvSpPr>
      <xdr:spPr>
        <a:xfrm>
          <a:off x="1805637" y="1582114"/>
          <a:ext cx="225425" cy="2972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900" b="1"/>
            <a:t>2</a:t>
          </a:r>
        </a:p>
      </xdr:txBody>
    </xdr:sp>
    <xdr:clientData/>
  </xdr:twoCellAnchor>
  <xdr:twoCellAnchor>
    <xdr:from>
      <xdr:col>2</xdr:col>
      <xdr:colOff>850656</xdr:colOff>
      <xdr:row>3</xdr:row>
      <xdr:rowOff>164594</xdr:rowOff>
    </xdr:from>
    <xdr:to>
      <xdr:col>3</xdr:col>
      <xdr:colOff>307731</xdr:colOff>
      <xdr:row>5</xdr:row>
      <xdr:rowOff>85438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3400-000005000000}"/>
            </a:ext>
          </a:extLst>
        </xdr:cNvPr>
        <xdr:cNvSpPr txBox="1"/>
      </xdr:nvSpPr>
      <xdr:spPr>
        <a:xfrm>
          <a:off x="3334776" y="1299974"/>
          <a:ext cx="318135" cy="2942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CL" sz="900" b="1">
              <a:solidFill>
                <a:schemeClr val="dk1"/>
              </a:solidFill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>
    <xdr:from>
      <xdr:col>1</xdr:col>
      <xdr:colOff>1494836</xdr:colOff>
      <xdr:row>6</xdr:row>
      <xdr:rowOff>166928</xdr:rowOff>
    </xdr:from>
    <xdr:to>
      <xdr:col>1</xdr:col>
      <xdr:colOff>1713911</xdr:colOff>
      <xdr:row>8</xdr:row>
      <xdr:rowOff>90728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3400-000006000000}"/>
            </a:ext>
          </a:extLst>
        </xdr:cNvPr>
        <xdr:cNvSpPr txBox="1"/>
      </xdr:nvSpPr>
      <xdr:spPr>
        <a:xfrm>
          <a:off x="2233976" y="1858568"/>
          <a:ext cx="219075" cy="289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CL" sz="900" b="1">
              <a:solidFill>
                <a:schemeClr val="dk1"/>
              </a:solidFill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</xdr:col>
      <xdr:colOff>1009859</xdr:colOff>
      <xdr:row>15</xdr:row>
      <xdr:rowOff>137991</xdr:rowOff>
    </xdr:from>
    <xdr:to>
      <xdr:col>1</xdr:col>
      <xdr:colOff>1228934</xdr:colOff>
      <xdr:row>17</xdr:row>
      <xdr:rowOff>61791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3400-000007000000}"/>
            </a:ext>
          </a:extLst>
        </xdr:cNvPr>
        <xdr:cNvSpPr txBox="1"/>
      </xdr:nvSpPr>
      <xdr:spPr>
        <a:xfrm>
          <a:off x="1748999" y="3475551"/>
          <a:ext cx="219075" cy="289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CL" sz="900" b="1">
              <a:solidFill>
                <a:schemeClr val="dk1"/>
              </a:solidFill>
              <a:latin typeface="+mn-lt"/>
              <a:ea typeface="+mn-ea"/>
              <a:cs typeface="+mn-cs"/>
            </a:rPr>
            <a:t>5</a:t>
          </a:r>
        </a:p>
      </xdr:txBody>
    </xdr:sp>
    <xdr:clientData/>
  </xdr:twoCellAnchor>
  <xdr:twoCellAnchor>
    <xdr:from>
      <xdr:col>1</xdr:col>
      <xdr:colOff>1473924</xdr:colOff>
      <xdr:row>12</xdr:row>
      <xdr:rowOff>151147</xdr:rowOff>
    </xdr:from>
    <xdr:to>
      <xdr:col>2</xdr:col>
      <xdr:colOff>32193</xdr:colOff>
      <xdr:row>14</xdr:row>
      <xdr:rowOff>65423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3400-000008000000}"/>
            </a:ext>
          </a:extLst>
        </xdr:cNvPr>
        <xdr:cNvSpPr txBox="1"/>
      </xdr:nvSpPr>
      <xdr:spPr>
        <a:xfrm>
          <a:off x="2213064" y="2940067"/>
          <a:ext cx="303249" cy="280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CL" sz="900" b="1">
              <a:solidFill>
                <a:schemeClr val="dk1"/>
              </a:solidFill>
              <a:latin typeface="+mn-lt"/>
              <a:ea typeface="+mn-ea"/>
              <a:cs typeface="+mn-cs"/>
            </a:rPr>
            <a:t>6</a:t>
          </a:r>
        </a:p>
      </xdr:txBody>
    </xdr:sp>
    <xdr:clientData/>
  </xdr:twoCellAnchor>
  <xdr:twoCellAnchor>
    <xdr:from>
      <xdr:col>3</xdr:col>
      <xdr:colOff>277142</xdr:colOff>
      <xdr:row>11</xdr:row>
      <xdr:rowOff>174345</xdr:rowOff>
    </xdr:from>
    <xdr:to>
      <xdr:col>3</xdr:col>
      <xdr:colOff>499392</xdr:colOff>
      <xdr:row>13</xdr:row>
      <xdr:rowOff>93509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3400-000009000000}"/>
            </a:ext>
          </a:extLst>
        </xdr:cNvPr>
        <xdr:cNvSpPr txBox="1"/>
      </xdr:nvSpPr>
      <xdr:spPr>
        <a:xfrm>
          <a:off x="3622322" y="2780385"/>
          <a:ext cx="222250" cy="2849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CL" sz="900" b="1">
              <a:solidFill>
                <a:schemeClr val="dk1"/>
              </a:solidFill>
              <a:latin typeface="+mn-lt"/>
              <a:ea typeface="+mn-ea"/>
              <a:cs typeface="+mn-cs"/>
            </a:rPr>
            <a:t>7</a:t>
          </a:r>
        </a:p>
      </xdr:txBody>
    </xdr:sp>
    <xdr:clientData/>
  </xdr:twoCellAnchor>
  <xdr:twoCellAnchor>
    <xdr:from>
      <xdr:col>4</xdr:col>
      <xdr:colOff>47510</xdr:colOff>
      <xdr:row>13</xdr:row>
      <xdr:rowOff>68980</xdr:rowOff>
    </xdr:from>
    <xdr:to>
      <xdr:col>4</xdr:col>
      <xdr:colOff>276110</xdr:colOff>
      <xdr:row>14</xdr:row>
      <xdr:rowOff>165473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0000000-0008-0000-3400-00000A000000}"/>
            </a:ext>
          </a:extLst>
        </xdr:cNvPr>
        <xdr:cNvSpPr txBox="1"/>
      </xdr:nvSpPr>
      <xdr:spPr>
        <a:xfrm>
          <a:off x="4627130" y="3040780"/>
          <a:ext cx="228600" cy="2793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CL" sz="900" b="1">
              <a:solidFill>
                <a:schemeClr val="dk1"/>
              </a:solidFill>
              <a:latin typeface="+mn-lt"/>
              <a:ea typeface="+mn-ea"/>
              <a:cs typeface="+mn-cs"/>
            </a:rPr>
            <a:t>8</a:t>
          </a:r>
        </a:p>
      </xdr:txBody>
    </xdr:sp>
    <xdr:clientData/>
  </xdr:twoCellAnchor>
  <xdr:twoCellAnchor>
    <xdr:from>
      <xdr:col>3</xdr:col>
      <xdr:colOff>91204</xdr:colOff>
      <xdr:row>17</xdr:row>
      <xdr:rowOff>97159</xdr:rowOff>
    </xdr:from>
    <xdr:to>
      <xdr:col>3</xdr:col>
      <xdr:colOff>310279</xdr:colOff>
      <xdr:row>19</xdr:row>
      <xdr:rowOff>20959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00000000-0008-0000-3400-00000B000000}"/>
            </a:ext>
          </a:extLst>
        </xdr:cNvPr>
        <xdr:cNvSpPr txBox="1"/>
      </xdr:nvSpPr>
      <xdr:spPr>
        <a:xfrm>
          <a:off x="3436384" y="3800479"/>
          <a:ext cx="219075" cy="289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CL" sz="900" b="1">
              <a:solidFill>
                <a:schemeClr val="dk1"/>
              </a:solidFill>
              <a:latin typeface="+mn-lt"/>
              <a:ea typeface="+mn-ea"/>
              <a:cs typeface="+mn-cs"/>
            </a:rPr>
            <a:t>9</a:t>
          </a:r>
        </a:p>
      </xdr:txBody>
    </xdr:sp>
    <xdr:clientData/>
  </xdr:twoCellAnchor>
  <xdr:twoCellAnchor>
    <xdr:from>
      <xdr:col>2</xdr:col>
      <xdr:colOff>719258</xdr:colOff>
      <xdr:row>15</xdr:row>
      <xdr:rowOff>9197</xdr:rowOff>
    </xdr:from>
    <xdr:to>
      <xdr:col>3</xdr:col>
      <xdr:colOff>188486</xdr:colOff>
      <xdr:row>16</xdr:row>
      <xdr:rowOff>107403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0000000-0008-0000-3400-00000C000000}"/>
            </a:ext>
          </a:extLst>
        </xdr:cNvPr>
        <xdr:cNvSpPr txBox="1"/>
      </xdr:nvSpPr>
      <xdr:spPr>
        <a:xfrm>
          <a:off x="3203378" y="3346757"/>
          <a:ext cx="330288" cy="2810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CL" sz="900" b="1">
              <a:solidFill>
                <a:schemeClr val="dk1"/>
              </a:solidFill>
              <a:latin typeface="+mn-lt"/>
              <a:ea typeface="+mn-ea"/>
              <a:cs typeface="+mn-cs"/>
            </a:rPr>
            <a:t>10</a:t>
          </a:r>
        </a:p>
      </xdr:txBody>
    </xdr:sp>
    <xdr:clientData/>
  </xdr:twoCellAnchor>
  <xdr:twoCellAnchor>
    <xdr:from>
      <xdr:col>4</xdr:col>
      <xdr:colOff>742859</xdr:colOff>
      <xdr:row>12</xdr:row>
      <xdr:rowOff>15256</xdr:rowOff>
    </xdr:from>
    <xdr:to>
      <xdr:col>5</xdr:col>
      <xdr:colOff>323759</xdr:colOff>
      <xdr:row>13</xdr:row>
      <xdr:rowOff>110506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00000000-0008-0000-3400-00000D000000}"/>
            </a:ext>
          </a:extLst>
        </xdr:cNvPr>
        <xdr:cNvSpPr txBox="1"/>
      </xdr:nvSpPr>
      <xdr:spPr>
        <a:xfrm>
          <a:off x="5322479" y="2804176"/>
          <a:ext cx="320040" cy="2781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CL" sz="900" b="1">
              <a:solidFill>
                <a:schemeClr val="dk1"/>
              </a:solidFill>
              <a:latin typeface="+mn-lt"/>
              <a:ea typeface="+mn-ea"/>
              <a:cs typeface="+mn-cs"/>
            </a:rPr>
            <a:t>11</a:t>
          </a:r>
        </a:p>
      </xdr:txBody>
    </xdr:sp>
    <xdr:clientData/>
  </xdr:twoCellAnchor>
  <xdr:twoCellAnchor>
    <xdr:from>
      <xdr:col>2</xdr:col>
      <xdr:colOff>52090</xdr:colOff>
      <xdr:row>15</xdr:row>
      <xdr:rowOff>123330</xdr:rowOff>
    </xdr:from>
    <xdr:to>
      <xdr:col>2</xdr:col>
      <xdr:colOff>505519</xdr:colOff>
      <xdr:row>17</xdr:row>
      <xdr:rowOff>39318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00000000-0008-0000-3400-00000E000000}"/>
            </a:ext>
          </a:extLst>
        </xdr:cNvPr>
        <xdr:cNvSpPr txBox="1"/>
      </xdr:nvSpPr>
      <xdr:spPr>
        <a:xfrm>
          <a:off x="2536210" y="3460890"/>
          <a:ext cx="453429" cy="2817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CL" sz="900" b="1">
              <a:solidFill>
                <a:schemeClr val="dk1"/>
              </a:solidFill>
              <a:latin typeface="+mn-lt"/>
              <a:ea typeface="+mn-ea"/>
              <a:cs typeface="+mn-cs"/>
            </a:rPr>
            <a:t>12</a:t>
          </a:r>
        </a:p>
      </xdr:txBody>
    </xdr:sp>
    <xdr:clientData/>
  </xdr:twoCellAnchor>
  <xdr:twoCellAnchor>
    <xdr:from>
      <xdr:col>1</xdr:col>
      <xdr:colOff>999549</xdr:colOff>
      <xdr:row>9</xdr:row>
      <xdr:rowOff>101561</xdr:rowOff>
    </xdr:from>
    <xdr:to>
      <xdr:col>1</xdr:col>
      <xdr:colOff>1343559</xdr:colOff>
      <xdr:row>11</xdr:row>
      <xdr:rowOff>27076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00000000-0008-0000-3400-00000F000000}"/>
            </a:ext>
          </a:extLst>
        </xdr:cNvPr>
        <xdr:cNvSpPr txBox="1"/>
      </xdr:nvSpPr>
      <xdr:spPr>
        <a:xfrm>
          <a:off x="1738689" y="2341841"/>
          <a:ext cx="344010" cy="291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CL" sz="900" b="1">
              <a:solidFill>
                <a:schemeClr val="dk1"/>
              </a:solidFill>
              <a:latin typeface="+mn-lt"/>
              <a:ea typeface="+mn-ea"/>
              <a:cs typeface="+mn-cs"/>
            </a:rPr>
            <a:t>13</a:t>
          </a:r>
        </a:p>
      </xdr:txBody>
    </xdr:sp>
    <xdr:clientData/>
  </xdr:twoCellAnchor>
  <xdr:twoCellAnchor>
    <xdr:from>
      <xdr:col>1</xdr:col>
      <xdr:colOff>1531326</xdr:colOff>
      <xdr:row>2</xdr:row>
      <xdr:rowOff>75223</xdr:rowOff>
    </xdr:from>
    <xdr:to>
      <xdr:col>1</xdr:col>
      <xdr:colOff>1753576</xdr:colOff>
      <xdr:row>3</xdr:row>
      <xdr:rowOff>178289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00000000-0008-0000-3400-000010000000}"/>
            </a:ext>
          </a:extLst>
        </xdr:cNvPr>
        <xdr:cNvSpPr txBox="1"/>
      </xdr:nvSpPr>
      <xdr:spPr>
        <a:xfrm>
          <a:off x="2270466" y="1020103"/>
          <a:ext cx="214630" cy="2935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 b="1">
              <a:solidFill>
                <a:srgbClr val="FF0000"/>
              </a:solidFill>
            </a:rPr>
            <a:t>1</a:t>
          </a:r>
        </a:p>
      </xdr:txBody>
    </xdr:sp>
    <xdr:clientData/>
  </xdr:twoCellAnchor>
  <xdr:twoCellAnchor>
    <xdr:from>
      <xdr:col>1</xdr:col>
      <xdr:colOff>1004077</xdr:colOff>
      <xdr:row>6</xdr:row>
      <xdr:rowOff>139302</xdr:rowOff>
    </xdr:from>
    <xdr:to>
      <xdr:col>1</xdr:col>
      <xdr:colOff>1223152</xdr:colOff>
      <xdr:row>8</xdr:row>
      <xdr:rowOff>53578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00000000-0008-0000-3400-000011000000}"/>
            </a:ext>
          </a:extLst>
        </xdr:cNvPr>
        <xdr:cNvSpPr txBox="1"/>
      </xdr:nvSpPr>
      <xdr:spPr>
        <a:xfrm>
          <a:off x="1743217" y="1830942"/>
          <a:ext cx="219075" cy="280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CL" sz="1100" b="1">
              <a:solidFill>
                <a:srgbClr val="FF0000"/>
              </a:solidFill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2</xdr:col>
      <xdr:colOff>91592</xdr:colOff>
      <xdr:row>9</xdr:row>
      <xdr:rowOff>154867</xdr:rowOff>
    </xdr:from>
    <xdr:to>
      <xdr:col>2</xdr:col>
      <xdr:colOff>320192</xdr:colOff>
      <xdr:row>11</xdr:row>
      <xdr:rowOff>69143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00000000-0008-0000-3400-000012000000}"/>
            </a:ext>
          </a:extLst>
        </xdr:cNvPr>
        <xdr:cNvSpPr txBox="1"/>
      </xdr:nvSpPr>
      <xdr:spPr>
        <a:xfrm>
          <a:off x="2575712" y="2395147"/>
          <a:ext cx="228600" cy="280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CL" sz="1100" b="1">
              <a:solidFill>
                <a:srgbClr val="FF0000"/>
              </a:solidFill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>
    <xdr:from>
      <xdr:col>1</xdr:col>
      <xdr:colOff>817168</xdr:colOff>
      <xdr:row>10</xdr:row>
      <xdr:rowOff>163301</xdr:rowOff>
    </xdr:from>
    <xdr:to>
      <xdr:col>1</xdr:col>
      <xdr:colOff>1045768</xdr:colOff>
      <xdr:row>12</xdr:row>
      <xdr:rowOff>88815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3400-000013000000}"/>
            </a:ext>
          </a:extLst>
        </xdr:cNvPr>
        <xdr:cNvSpPr txBox="1"/>
      </xdr:nvSpPr>
      <xdr:spPr>
        <a:xfrm>
          <a:off x="1556308" y="2586461"/>
          <a:ext cx="228600" cy="2912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CL" sz="1100" b="1">
              <a:solidFill>
                <a:srgbClr val="FF0000"/>
              </a:solidFill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2</xdr:col>
      <xdr:colOff>475674</xdr:colOff>
      <xdr:row>11</xdr:row>
      <xdr:rowOff>93512</xdr:rowOff>
    </xdr:from>
    <xdr:to>
      <xdr:col>2</xdr:col>
      <xdr:colOff>705712</xdr:colOff>
      <xdr:row>13</xdr:row>
      <xdr:rowOff>13124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00000000-0008-0000-3400-000014000000}"/>
            </a:ext>
          </a:extLst>
        </xdr:cNvPr>
        <xdr:cNvSpPr txBox="1"/>
      </xdr:nvSpPr>
      <xdr:spPr>
        <a:xfrm>
          <a:off x="2959794" y="2699552"/>
          <a:ext cx="230038" cy="2853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CL" sz="1100" b="1">
              <a:solidFill>
                <a:srgbClr val="FF0000"/>
              </a:solidFill>
              <a:latin typeface="+mn-lt"/>
              <a:ea typeface="+mn-ea"/>
              <a:cs typeface="+mn-cs"/>
            </a:rPr>
            <a:t>5</a:t>
          </a:r>
        </a:p>
      </xdr:txBody>
    </xdr:sp>
    <xdr:clientData/>
  </xdr:twoCellAnchor>
  <xdr:twoCellAnchor>
    <xdr:from>
      <xdr:col>4</xdr:col>
      <xdr:colOff>477731</xdr:colOff>
      <xdr:row>11</xdr:row>
      <xdr:rowOff>15708</xdr:rowOff>
    </xdr:from>
    <xdr:to>
      <xdr:col>4</xdr:col>
      <xdr:colOff>696806</xdr:colOff>
      <xdr:row>12</xdr:row>
      <xdr:rowOff>118769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3400-000015000000}"/>
            </a:ext>
          </a:extLst>
        </xdr:cNvPr>
        <xdr:cNvSpPr txBox="1"/>
      </xdr:nvSpPr>
      <xdr:spPr>
        <a:xfrm>
          <a:off x="5057351" y="2621748"/>
          <a:ext cx="219075" cy="2859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CL" sz="1100" b="1">
              <a:solidFill>
                <a:srgbClr val="FF0000"/>
              </a:solidFill>
              <a:latin typeface="+mn-lt"/>
              <a:ea typeface="+mn-ea"/>
              <a:cs typeface="+mn-cs"/>
            </a:rPr>
            <a:t>6</a:t>
          </a:r>
        </a:p>
      </xdr:txBody>
    </xdr:sp>
    <xdr:clientData/>
  </xdr:twoCellAnchor>
  <xdr:twoCellAnchor>
    <xdr:from>
      <xdr:col>4</xdr:col>
      <xdr:colOff>417291</xdr:colOff>
      <xdr:row>17</xdr:row>
      <xdr:rowOff>41304</xdr:rowOff>
    </xdr:from>
    <xdr:to>
      <xdr:col>4</xdr:col>
      <xdr:colOff>636366</xdr:colOff>
      <xdr:row>18</xdr:row>
      <xdr:rowOff>139510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00000000-0008-0000-3400-000016000000}"/>
            </a:ext>
          </a:extLst>
        </xdr:cNvPr>
        <xdr:cNvSpPr txBox="1"/>
      </xdr:nvSpPr>
      <xdr:spPr>
        <a:xfrm>
          <a:off x="4996911" y="3744624"/>
          <a:ext cx="219075" cy="2810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CL" sz="1100" b="1">
              <a:solidFill>
                <a:srgbClr val="FF0000"/>
              </a:solidFill>
              <a:latin typeface="+mn-lt"/>
              <a:ea typeface="+mn-ea"/>
              <a:cs typeface="+mn-cs"/>
            </a:rPr>
            <a:t>7</a:t>
          </a:r>
        </a:p>
      </xdr:txBody>
    </xdr:sp>
    <xdr:clientData/>
  </xdr:twoCellAnchor>
  <xdr:twoCellAnchor editAs="oneCell">
    <xdr:from>
      <xdr:col>1</xdr:col>
      <xdr:colOff>0</xdr:colOff>
      <xdr:row>36</xdr:row>
      <xdr:rowOff>182217</xdr:rowOff>
    </xdr:from>
    <xdr:to>
      <xdr:col>6</xdr:col>
      <xdr:colOff>199707</xdr:colOff>
      <xdr:row>46</xdr:row>
      <xdr:rowOff>142990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34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9140" y="7360257"/>
          <a:ext cx="5518467" cy="1789573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566057</xdr:colOff>
      <xdr:row>1</xdr:row>
      <xdr:rowOff>121558</xdr:rowOff>
    </xdr:from>
    <xdr:to>
      <xdr:col>21</xdr:col>
      <xdr:colOff>330198</xdr:colOff>
      <xdr:row>30</xdr:row>
      <xdr:rowOff>120650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476646</xdr:colOff>
      <xdr:row>0</xdr:row>
      <xdr:rowOff>144347</xdr:rowOff>
    </xdr:from>
    <xdr:to>
      <xdr:col>18</xdr:col>
      <xdr:colOff>175887</xdr:colOff>
      <xdr:row>15</xdr:row>
      <xdr:rowOff>70456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327601</xdr:colOff>
      <xdr:row>19</xdr:row>
      <xdr:rowOff>138546</xdr:rowOff>
    </xdr:from>
    <xdr:to>
      <xdr:col>18</xdr:col>
      <xdr:colOff>32326</xdr:colOff>
      <xdr:row>39</xdr:row>
      <xdr:rowOff>127000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3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180975</xdr:colOff>
      <xdr:row>15</xdr:row>
      <xdr:rowOff>42208</xdr:rowOff>
    </xdr:from>
    <xdr:to>
      <xdr:col>21</xdr:col>
      <xdr:colOff>180975</xdr:colOff>
      <xdr:row>29</xdr:row>
      <xdr:rowOff>118408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3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190500</xdr:colOff>
      <xdr:row>30</xdr:row>
      <xdr:rowOff>28575</xdr:rowOff>
    </xdr:from>
    <xdr:to>
      <xdr:col>21</xdr:col>
      <xdr:colOff>190500</xdr:colOff>
      <xdr:row>44</xdr:row>
      <xdr:rowOff>104775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38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257175</xdr:colOff>
      <xdr:row>15</xdr:row>
      <xdr:rowOff>66675</xdr:rowOff>
    </xdr:from>
    <xdr:to>
      <xdr:col>27</xdr:col>
      <xdr:colOff>257175</xdr:colOff>
      <xdr:row>29</xdr:row>
      <xdr:rowOff>142875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38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227293</xdr:colOff>
      <xdr:row>30</xdr:row>
      <xdr:rowOff>21105</xdr:rowOff>
    </xdr:from>
    <xdr:to>
      <xdr:col>27</xdr:col>
      <xdr:colOff>227293</xdr:colOff>
      <xdr:row>44</xdr:row>
      <xdr:rowOff>97305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38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164353</xdr:colOff>
      <xdr:row>0</xdr:row>
      <xdr:rowOff>119529</xdr:rowOff>
    </xdr:from>
    <xdr:to>
      <xdr:col>21</xdr:col>
      <xdr:colOff>164353</xdr:colOff>
      <xdr:row>15</xdr:row>
      <xdr:rowOff>8963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38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224117</xdr:colOff>
      <xdr:row>0</xdr:row>
      <xdr:rowOff>97118</xdr:rowOff>
    </xdr:from>
    <xdr:to>
      <xdr:col>27</xdr:col>
      <xdr:colOff>224117</xdr:colOff>
      <xdr:row>14</xdr:row>
      <xdr:rowOff>173317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38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80065</xdr:colOff>
      <xdr:row>4</xdr:row>
      <xdr:rowOff>160682</xdr:rowOff>
    </xdr:from>
    <xdr:to>
      <xdr:col>42</xdr:col>
      <xdr:colOff>80065</xdr:colOff>
      <xdr:row>19</xdr:row>
      <xdr:rowOff>170622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39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292977</xdr:colOff>
      <xdr:row>27</xdr:row>
      <xdr:rowOff>176695</xdr:rowOff>
    </xdr:from>
    <xdr:to>
      <xdr:col>42</xdr:col>
      <xdr:colOff>292977</xdr:colOff>
      <xdr:row>43</xdr:row>
      <xdr:rowOff>4417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39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353392</xdr:colOff>
      <xdr:row>50</xdr:row>
      <xdr:rowOff>49695</xdr:rowOff>
    </xdr:from>
    <xdr:to>
      <xdr:col>42</xdr:col>
      <xdr:colOff>353392</xdr:colOff>
      <xdr:row>65</xdr:row>
      <xdr:rowOff>59635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39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160130</xdr:colOff>
      <xdr:row>72</xdr:row>
      <xdr:rowOff>149087</xdr:rowOff>
    </xdr:from>
    <xdr:to>
      <xdr:col>42</xdr:col>
      <xdr:colOff>160130</xdr:colOff>
      <xdr:row>87</xdr:row>
      <xdr:rowOff>159026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39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36</xdr:col>
      <xdr:colOff>242454</xdr:colOff>
      <xdr:row>94</xdr:row>
      <xdr:rowOff>46181</xdr:rowOff>
    </xdr:from>
    <xdr:to>
      <xdr:col>42</xdr:col>
      <xdr:colOff>242454</xdr:colOff>
      <xdr:row>109</xdr:row>
      <xdr:rowOff>56121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39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36</xdr:col>
      <xdr:colOff>432954</xdr:colOff>
      <xdr:row>117</xdr:row>
      <xdr:rowOff>62194</xdr:rowOff>
    </xdr:from>
    <xdr:to>
      <xdr:col>42</xdr:col>
      <xdr:colOff>432954</xdr:colOff>
      <xdr:row>132</xdr:row>
      <xdr:rowOff>74644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39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36</xdr:col>
      <xdr:colOff>470957</xdr:colOff>
      <xdr:row>141</xdr:row>
      <xdr:rowOff>157274</xdr:rowOff>
    </xdr:from>
    <xdr:to>
      <xdr:col>42</xdr:col>
      <xdr:colOff>470957</xdr:colOff>
      <xdr:row>156</xdr:row>
      <xdr:rowOff>167215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0000000-0008-0000-39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36</xdr:col>
      <xdr:colOff>135754</xdr:colOff>
      <xdr:row>167</xdr:row>
      <xdr:rowOff>27116</xdr:rowOff>
    </xdr:from>
    <xdr:to>
      <xdr:col>42</xdr:col>
      <xdr:colOff>135754</xdr:colOff>
      <xdr:row>182</xdr:row>
      <xdr:rowOff>37056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39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566057</xdr:colOff>
      <xdr:row>1</xdr:row>
      <xdr:rowOff>121558</xdr:rowOff>
    </xdr:from>
    <xdr:to>
      <xdr:col>19</xdr:col>
      <xdr:colOff>330198</xdr:colOff>
      <xdr:row>30</xdr:row>
      <xdr:rowOff>120650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476646</xdr:colOff>
      <xdr:row>0</xdr:row>
      <xdr:rowOff>144347</xdr:rowOff>
    </xdr:from>
    <xdr:to>
      <xdr:col>16</xdr:col>
      <xdr:colOff>175887</xdr:colOff>
      <xdr:row>15</xdr:row>
      <xdr:rowOff>70456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327601</xdr:colOff>
      <xdr:row>19</xdr:row>
      <xdr:rowOff>138546</xdr:rowOff>
    </xdr:from>
    <xdr:to>
      <xdr:col>16</xdr:col>
      <xdr:colOff>32326</xdr:colOff>
      <xdr:row>39</xdr:row>
      <xdr:rowOff>127000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3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171904</xdr:colOff>
      <xdr:row>14</xdr:row>
      <xdr:rowOff>160136</xdr:rowOff>
    </xdr:from>
    <xdr:to>
      <xdr:col>21</xdr:col>
      <xdr:colOff>171904</xdr:colOff>
      <xdr:row>28</xdr:row>
      <xdr:rowOff>81642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145143</xdr:colOff>
      <xdr:row>29</xdr:row>
      <xdr:rowOff>46717</xdr:rowOff>
    </xdr:from>
    <xdr:to>
      <xdr:col>21</xdr:col>
      <xdr:colOff>145143</xdr:colOff>
      <xdr:row>42</xdr:row>
      <xdr:rowOff>154213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3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257174</xdr:colOff>
      <xdr:row>14</xdr:row>
      <xdr:rowOff>139246</xdr:rowOff>
    </xdr:from>
    <xdr:to>
      <xdr:col>27</xdr:col>
      <xdr:colOff>257174</xdr:colOff>
      <xdr:row>28</xdr:row>
      <xdr:rowOff>63499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3C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318007</xdr:colOff>
      <xdr:row>29</xdr:row>
      <xdr:rowOff>12033</xdr:rowOff>
    </xdr:from>
    <xdr:to>
      <xdr:col>27</xdr:col>
      <xdr:colOff>318007</xdr:colOff>
      <xdr:row>42</xdr:row>
      <xdr:rowOff>154214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3C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191568</xdr:colOff>
      <xdr:row>1</xdr:row>
      <xdr:rowOff>46957</xdr:rowOff>
    </xdr:from>
    <xdr:to>
      <xdr:col>21</xdr:col>
      <xdr:colOff>191568</xdr:colOff>
      <xdr:row>13</xdr:row>
      <xdr:rowOff>117820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3C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269474</xdr:colOff>
      <xdr:row>1</xdr:row>
      <xdr:rowOff>51761</xdr:rowOff>
    </xdr:from>
    <xdr:to>
      <xdr:col>27</xdr:col>
      <xdr:colOff>269474</xdr:colOff>
      <xdr:row>13</xdr:row>
      <xdr:rowOff>127961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3C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80065</xdr:colOff>
      <xdr:row>4</xdr:row>
      <xdr:rowOff>160682</xdr:rowOff>
    </xdr:from>
    <xdr:to>
      <xdr:col>42</xdr:col>
      <xdr:colOff>80065</xdr:colOff>
      <xdr:row>19</xdr:row>
      <xdr:rowOff>170622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270565</xdr:colOff>
      <xdr:row>27</xdr:row>
      <xdr:rowOff>176695</xdr:rowOff>
    </xdr:from>
    <xdr:to>
      <xdr:col>42</xdr:col>
      <xdr:colOff>270565</xdr:colOff>
      <xdr:row>43</xdr:row>
      <xdr:rowOff>4417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3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353392</xdr:colOff>
      <xdr:row>52</xdr:row>
      <xdr:rowOff>19812</xdr:rowOff>
    </xdr:from>
    <xdr:to>
      <xdr:col>42</xdr:col>
      <xdr:colOff>353392</xdr:colOff>
      <xdr:row>67</xdr:row>
      <xdr:rowOff>29753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3D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160130</xdr:colOff>
      <xdr:row>75</xdr:row>
      <xdr:rowOff>149087</xdr:rowOff>
    </xdr:from>
    <xdr:to>
      <xdr:col>42</xdr:col>
      <xdr:colOff>160130</xdr:colOff>
      <xdr:row>90</xdr:row>
      <xdr:rowOff>159026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3D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36</xdr:col>
      <xdr:colOff>242454</xdr:colOff>
      <xdr:row>104</xdr:row>
      <xdr:rowOff>46181</xdr:rowOff>
    </xdr:from>
    <xdr:to>
      <xdr:col>42</xdr:col>
      <xdr:colOff>242454</xdr:colOff>
      <xdr:row>119</xdr:row>
      <xdr:rowOff>56121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3D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36</xdr:col>
      <xdr:colOff>432954</xdr:colOff>
      <xdr:row>126</xdr:row>
      <xdr:rowOff>62194</xdr:rowOff>
    </xdr:from>
    <xdr:to>
      <xdr:col>42</xdr:col>
      <xdr:colOff>432954</xdr:colOff>
      <xdr:row>141</xdr:row>
      <xdr:rowOff>74644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3D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566057</xdr:colOff>
      <xdr:row>1</xdr:row>
      <xdr:rowOff>121558</xdr:rowOff>
    </xdr:from>
    <xdr:to>
      <xdr:col>17</xdr:col>
      <xdr:colOff>330198</xdr:colOff>
      <xdr:row>30</xdr:row>
      <xdr:rowOff>120650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461992</xdr:colOff>
      <xdr:row>0</xdr:row>
      <xdr:rowOff>168770</xdr:rowOff>
    </xdr:from>
    <xdr:to>
      <xdr:col>14</xdr:col>
      <xdr:colOff>161233</xdr:colOff>
      <xdr:row>15</xdr:row>
      <xdr:rowOff>94879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3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191568</xdr:colOff>
      <xdr:row>1</xdr:row>
      <xdr:rowOff>46957</xdr:rowOff>
    </xdr:from>
    <xdr:to>
      <xdr:col>21</xdr:col>
      <xdr:colOff>191568</xdr:colOff>
      <xdr:row>11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4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269474</xdr:colOff>
      <xdr:row>1</xdr:row>
      <xdr:rowOff>51761</xdr:rowOff>
    </xdr:from>
    <xdr:to>
      <xdr:col>27</xdr:col>
      <xdr:colOff>269474</xdr:colOff>
      <xdr:row>11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4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199119</xdr:colOff>
      <xdr:row>14</xdr:row>
      <xdr:rowOff>154217</xdr:rowOff>
    </xdr:from>
    <xdr:to>
      <xdr:col>21</xdr:col>
      <xdr:colOff>226333</xdr:colOff>
      <xdr:row>27</xdr:row>
      <xdr:rowOff>135713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4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272143</xdr:colOff>
      <xdr:row>27</xdr:row>
      <xdr:rowOff>173718</xdr:rowOff>
    </xdr:from>
    <xdr:to>
      <xdr:col>21</xdr:col>
      <xdr:colOff>299357</xdr:colOff>
      <xdr:row>41</xdr:row>
      <xdr:rowOff>9072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4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356959</xdr:colOff>
      <xdr:row>14</xdr:row>
      <xdr:rowOff>163286</xdr:rowOff>
    </xdr:from>
    <xdr:to>
      <xdr:col>27</xdr:col>
      <xdr:colOff>384173</xdr:colOff>
      <xdr:row>27</xdr:row>
      <xdr:rowOff>120019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4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218782</xdr:colOff>
      <xdr:row>1</xdr:row>
      <xdr:rowOff>46956</xdr:rowOff>
    </xdr:from>
    <xdr:to>
      <xdr:col>21</xdr:col>
      <xdr:colOff>245996</xdr:colOff>
      <xdr:row>14</xdr:row>
      <xdr:rowOff>100556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4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296688</xdr:colOff>
      <xdr:row>1</xdr:row>
      <xdr:rowOff>51760</xdr:rowOff>
    </xdr:from>
    <xdr:to>
      <xdr:col>27</xdr:col>
      <xdr:colOff>323902</xdr:colOff>
      <xdr:row>14</xdr:row>
      <xdr:rowOff>98804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40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462643</xdr:colOff>
      <xdr:row>28</xdr:row>
      <xdr:rowOff>9072</xdr:rowOff>
    </xdr:from>
    <xdr:to>
      <xdr:col>27</xdr:col>
      <xdr:colOff>489857</xdr:colOff>
      <xdr:row>40</xdr:row>
      <xdr:rowOff>147233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40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80065</xdr:colOff>
      <xdr:row>4</xdr:row>
      <xdr:rowOff>160682</xdr:rowOff>
    </xdr:from>
    <xdr:to>
      <xdr:col>42</xdr:col>
      <xdr:colOff>80065</xdr:colOff>
      <xdr:row>19</xdr:row>
      <xdr:rowOff>170622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270565</xdr:colOff>
      <xdr:row>34</xdr:row>
      <xdr:rowOff>176695</xdr:rowOff>
    </xdr:from>
    <xdr:to>
      <xdr:col>42</xdr:col>
      <xdr:colOff>270565</xdr:colOff>
      <xdr:row>50</xdr:row>
      <xdr:rowOff>4417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4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353392</xdr:colOff>
      <xdr:row>64</xdr:row>
      <xdr:rowOff>19812</xdr:rowOff>
    </xdr:from>
    <xdr:to>
      <xdr:col>42</xdr:col>
      <xdr:colOff>353392</xdr:colOff>
      <xdr:row>79</xdr:row>
      <xdr:rowOff>29753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4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160130</xdr:colOff>
      <xdr:row>90</xdr:row>
      <xdr:rowOff>149087</xdr:rowOff>
    </xdr:from>
    <xdr:to>
      <xdr:col>42</xdr:col>
      <xdr:colOff>160130</xdr:colOff>
      <xdr:row>105</xdr:row>
      <xdr:rowOff>159026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4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S:\S179%20QAQC%20Pruebas%20Laboratorio%20Jameson%20(BHP)\3.0%20Antecedentes%20Cliente\3.1%20General\11-09-2025%20Resultados%20pruebas%20Jameson\1.%20Comp&#243;sito%20Futuro\Cin&#233;ticas%20SKT\20250701_Pruebas_SKT_Comp&#243;sito_Global.xlsx" TargetMode="External"/><Relationship Id="rId2" Type="http://schemas.microsoft.com/office/2019/04/relationships/externalLinkLongPath" Target="https://empiricaconsultores-my.sharepoint.com/S179%20QAQC%20Pruebas%20Laboratorio%20Jameson%20(BHP)/3.0%20Antecedentes%20Cliente/3.1%20General/11-09-2025%20Resultados%20pruebas%20Jameson/1.%20Comp&#243;sito%20Futuro/Cin&#233;ticas%20SKT/20250701_Pruebas_SKT_Comp&#243;sito_Global.xlsx?A2CD4758" TargetMode="External"/><Relationship Id="rId1" Type="http://schemas.openxmlformats.org/officeDocument/2006/relationships/externalLinkPath" Target="file:///\\A2CD4758\20250701_Pruebas_SKT_Comp&#243;sito_Global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S:\S179%20QAQC%20Pruebas%20Laboratorio%20Jameson%20(BHP)\3.0%20Antecedentes%20Cliente\3.1%20General\2025-10-23%20Planillas%20Aminpro\20251017_P2025-018%20BHP%20Jameson%20pruebas%20de%20flotaci&#243;n%20L-150%20Septiembre%20(1).xlsx" TargetMode="External"/><Relationship Id="rId2" Type="http://schemas.microsoft.com/office/2019/04/relationships/externalLinkLongPath" Target="https://empiricaconsultores-my.sharepoint.com/S179%20QAQC%20Pruebas%20Laboratorio%20Jameson%20(BHP)/3.0%20Antecedentes%20Cliente/3.1%20General/2025-10-23%20Planillas%20Aminpro/20251017_P2025-018%20BHP%20Jameson%20pruebas%20de%20flotaci&#243;n%20L-150%20Septiembre%20(1).xlsx?DDD9FF42" TargetMode="External"/><Relationship Id="rId1" Type="http://schemas.openxmlformats.org/officeDocument/2006/relationships/externalLinkPath" Target="file:///\\DDD9FF42\20251017_P2025-018%20BHP%20Jameson%20pruebas%20de%20flotaci&#243;n%20L-150%20Septiembr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uricio%20Catipillan\Documents\S179\Jameson%20Aminpro\1.%20Comp&#243;sito%20Futuro\Cin&#233;tica%20Molienda\20250529_P2025-018_Comp_1750%20gr.xlsx" TargetMode="External"/><Relationship Id="rId1" Type="http://schemas.openxmlformats.org/officeDocument/2006/relationships/externalLinkPath" Target="file:///C:\Users\Mauricio%20Catipillan\Documents\S179\Jameson%20Aminpro\1.%20Comp&#243;sito%20Futuro\Cin&#233;tica%20Molienda\20250529_P2025-018_Comp_1750%20gr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S179%20QAQC%20Pruebas%20Laboratorio%20Jameson%20(BHP)\5.0%20Consultor&#237;a\5.1%20Operaciones\C&#225;lculos\03.%20Cin&#233;ticas\GyZ%20LC%20Scv%201(Recuperado%20autom&#225;ticamente).xlsm" TargetMode="External"/><Relationship Id="rId1" Type="http://schemas.openxmlformats.org/officeDocument/2006/relationships/externalLinkPath" Target="/S179%20QAQC%20Pruebas%20Laboratorio%20Jameson%20(BHP)/5.0%20Consultor&#237;a/5.1%20Operaciones/C&#225;lculos/03.%20Cin&#233;ticas/GyZ%20LC%20Scv%201(Recuperado%20autom&#225;ticamente).xlsm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S:\S179%20QAQC%20Pruebas%20Laboratorio%20Jameson%20(BHP)\3.0%20Antecedentes%20Cliente\3.1%20General\2025-10-02%20Resultados%20pruebas%20Jameson\3.%20Remolienda\Cond%20%231%20(45%20um)\20250902_Producto_Remolienda_Conc._Condici&#243;n_%231%20(1).xlsx" TargetMode="External"/><Relationship Id="rId2" Type="http://schemas.microsoft.com/office/2019/04/relationships/externalLinkLongPath" Target="https://empiricaconsultores-my.sharepoint.com/S179%20QAQC%20Pruebas%20Laboratorio%20Jameson%20(BHP)/3.0%20Antecedentes%20Cliente/3.1%20General/2025-10-02%20Resultados%20pruebas%20Jameson/3.%20Remolienda/Cond%20#1 (45 um)/20250902_Producto_Remolienda_Conc._Condici&#243;n_#1 (1).xlsx?460AD035" TargetMode="External"/><Relationship Id="rId1" Type="http://schemas.openxmlformats.org/officeDocument/2006/relationships/externalLinkPath" Target="file:///\\460AD035\20250902_Producto_Remolienda_Conc._Condici&#243;n_%231%20(1)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S158%20QAQC%20pruebas%20metal&#250;rgicas%20proyecto%20ENCP%20(MEL)\5.0%20Consultor&#237;a\5.1%20Operaciones\C&#225;lculos\14.%20MPP\M-18\LS2\EM-S158-PR-RP-003%20-%20M-18%20-%20FRX-AQ%20MPP%20-%20LS2%20(2025-08-14).xlsx" TargetMode="External"/><Relationship Id="rId1" Type="http://schemas.openxmlformats.org/officeDocument/2006/relationships/externalLinkPath" Target="/S158%20QAQC%20pruebas%20metal&#250;rgicas%20proyecto%20ENCP%20(MEL)/5.0%20Consultor&#237;a/5.1%20Operaciones/C&#225;lculos/14.%20MPP/M-18/LS2/EM-S158-PR-RP-003%20-%20M-18%20-%20FRX-AQ%20MPP%20-%20LS2%20(2025-08-14)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mpiricaconsultores-my.sharepoint.com/personal/globos_empiricaconsultores_cl/Documents/EM-S186%20Continuaci&#243;n%20QAQC%20Jameson%20BHP/2025-12-29%20EM-S186-PR-BD-001%20Base%20de%20datos%20consolidada.xlsx" TargetMode="External"/><Relationship Id="rId1" Type="http://schemas.openxmlformats.org/officeDocument/2006/relationships/externalLinkPath" Target="https://empiricaconsultores-my.sharepoint.com/personal/globos_empiricaconsultores_cl/Documents/EM-S186%20Continuaci&#243;n%20QAQC%20Jameson%20BHP/2025-12-29%20EM-S186-PR-BD-001%20Base%20de%20datos%20consolida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SKT Rougher"/>
      <sheetName val="SKT Cleaner"/>
      <sheetName val="Aquimicos"/>
      <sheetName val="Bandejas"/>
    </sheetNames>
    <sheetDataSet>
      <sheetData sheetId="0"/>
      <sheetData sheetId="1">
        <row r="20">
          <cell r="AF20">
            <v>3.5674949387320192</v>
          </cell>
        </row>
      </sheetData>
      <sheetData sheetId="2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</row>
        <row r="2">
          <cell r="A2"/>
          <cell r="B2" t="str">
            <v>Au</v>
          </cell>
          <cell r="C2" t="str">
            <v>Cu</v>
          </cell>
          <cell r="D2" t="str">
            <v>Fe</v>
          </cell>
          <cell r="E2" t="str">
            <v>S</v>
          </cell>
          <cell r="F2" t="str">
            <v>Mo</v>
          </cell>
          <cell r="G2"/>
          <cell r="H2"/>
          <cell r="I2"/>
          <cell r="J2"/>
          <cell r="K2"/>
        </row>
        <row r="3">
          <cell r="A3" t="str">
            <v>SKT Rougher-F</v>
          </cell>
          <cell r="B3"/>
          <cell r="C3">
            <v>0.66</v>
          </cell>
          <cell r="D3">
            <v>2.2400000000000002</v>
          </cell>
          <cell r="E3">
            <v>2.13</v>
          </cell>
          <cell r="F3">
            <v>1.15E-2</v>
          </cell>
          <cell r="G3"/>
          <cell r="H3"/>
          <cell r="I3"/>
          <cell r="J3">
            <v>115</v>
          </cell>
          <cell r="K3"/>
        </row>
        <row r="4">
          <cell r="A4" t="str">
            <v>SKT Rougher-C1</v>
          </cell>
          <cell r="B4"/>
          <cell r="C4">
            <v>6.56</v>
          </cell>
          <cell r="D4">
            <v>14.4</v>
          </cell>
          <cell r="E4">
            <v>17.84</v>
          </cell>
          <cell r="F4">
            <v>8.3199999999999996E-2</v>
          </cell>
          <cell r="G4"/>
          <cell r="H4"/>
          <cell r="I4"/>
          <cell r="J4">
            <v>832</v>
          </cell>
          <cell r="K4"/>
        </row>
        <row r="5">
          <cell r="A5" t="str">
            <v>SKT Rougher-C2</v>
          </cell>
          <cell r="B5"/>
          <cell r="C5">
            <v>3.11</v>
          </cell>
          <cell r="D5">
            <v>9.8000000000000007</v>
          </cell>
          <cell r="E5">
            <v>11.42</v>
          </cell>
          <cell r="F5">
            <v>6.4500000000000002E-2</v>
          </cell>
          <cell r="G5"/>
          <cell r="H5"/>
          <cell r="I5"/>
          <cell r="J5">
            <v>645</v>
          </cell>
          <cell r="K5"/>
        </row>
        <row r="6">
          <cell r="A6" t="str">
            <v>SKT Rougher-C3</v>
          </cell>
          <cell r="B6"/>
          <cell r="C6">
            <v>0.53</v>
          </cell>
          <cell r="D6">
            <v>2.64</v>
          </cell>
          <cell r="E6">
            <v>2.39</v>
          </cell>
          <cell r="F6">
            <v>1.5699999999999999E-2</v>
          </cell>
          <cell r="G6"/>
          <cell r="H6"/>
          <cell r="I6"/>
          <cell r="J6">
            <v>157</v>
          </cell>
          <cell r="K6"/>
        </row>
        <row r="7">
          <cell r="A7" t="str">
            <v>SKT Rougher-C4</v>
          </cell>
          <cell r="B7"/>
          <cell r="C7">
            <v>0.34</v>
          </cell>
          <cell r="D7">
            <v>1.42</v>
          </cell>
          <cell r="E7">
            <v>0.64</v>
          </cell>
          <cell r="F7">
            <v>5.5999999999999999E-3</v>
          </cell>
          <cell r="G7"/>
          <cell r="H7"/>
          <cell r="I7"/>
          <cell r="J7">
            <v>56</v>
          </cell>
          <cell r="K7"/>
          <cell r="M7"/>
          <cell r="N7"/>
          <cell r="O7" t="str">
            <v>Cu</v>
          </cell>
          <cell r="P7" t="str">
            <v>Fe</v>
          </cell>
          <cell r="Q7" t="str">
            <v>S</v>
          </cell>
          <cell r="R7" t="str">
            <v>Mo</v>
          </cell>
          <cell r="S7"/>
          <cell r="T7"/>
        </row>
        <row r="8">
          <cell r="A8" t="str">
            <v>SKT Rougher-T</v>
          </cell>
          <cell r="B8"/>
          <cell r="C8">
            <v>9.6000000000000002E-2</v>
          </cell>
          <cell r="D8">
            <v>0.99</v>
          </cell>
          <cell r="E8">
            <v>0.45</v>
          </cell>
          <cell r="F8">
            <v>3.8E-3</v>
          </cell>
          <cell r="G8"/>
          <cell r="H8"/>
          <cell r="I8"/>
          <cell r="J8">
            <v>38</v>
          </cell>
          <cell r="K8"/>
          <cell r="M8">
            <v>1</v>
          </cell>
          <cell r="N8"/>
          <cell r="O8">
            <v>0.69198891518965422</v>
          </cell>
          <cell r="P8">
            <v>2.3523312741758562</v>
          </cell>
          <cell r="Q8">
            <v>2.1221095779689398</v>
          </cell>
          <cell r="R8">
            <v>1.2170174932163271E-2</v>
          </cell>
          <cell r="S8"/>
          <cell r="T8"/>
        </row>
        <row r="9">
          <cell r="A9" t="str">
            <v>SKT Cleaner-F</v>
          </cell>
          <cell r="B9"/>
          <cell r="C9">
            <v>3.5674949387320192</v>
          </cell>
          <cell r="D9">
            <v>6.2351607174569361</v>
          </cell>
          <cell r="E9">
            <v>7.3584940507902692</v>
          </cell>
          <cell r="F9">
            <v>4.7957485348961111E-2</v>
          </cell>
          <cell r="G9"/>
          <cell r="H9"/>
          <cell r="I9"/>
          <cell r="J9"/>
          <cell r="K9"/>
          <cell r="M9">
            <v>2</v>
          </cell>
          <cell r="N9"/>
          <cell r="O9">
            <v>3.5674949387320192</v>
          </cell>
          <cell r="P9">
            <v>6.2351607174569361</v>
          </cell>
          <cell r="Q9">
            <v>7.3584940507902692</v>
          </cell>
          <cell r="R9">
            <v>4.7957485348961111E-2</v>
          </cell>
          <cell r="S9"/>
        </row>
        <row r="10">
          <cell r="A10" t="str">
            <v>SKT Cleaner-C1</v>
          </cell>
          <cell r="B10"/>
          <cell r="C10">
            <v>19.63</v>
          </cell>
          <cell r="D10">
            <v>23.1</v>
          </cell>
          <cell r="E10">
            <v>30.34</v>
          </cell>
          <cell r="F10">
            <v>7.1099999999999997E-2</v>
          </cell>
          <cell r="G10"/>
          <cell r="H10"/>
          <cell r="I10"/>
          <cell r="J10">
            <v>711</v>
          </cell>
          <cell r="K10"/>
          <cell r="M10"/>
          <cell r="N10"/>
          <cell r="O10"/>
          <cell r="P10"/>
          <cell r="Q10"/>
          <cell r="R10"/>
          <cell r="S10"/>
        </row>
        <row r="11">
          <cell r="A11" t="str">
            <v>SKT Cleaner-C2</v>
          </cell>
          <cell r="B11"/>
          <cell r="C11">
            <v>5.39</v>
          </cell>
          <cell r="D11">
            <v>7.5</v>
          </cell>
          <cell r="E11">
            <v>9.07</v>
          </cell>
          <cell r="F11">
            <v>6.5600000000000006E-2</v>
          </cell>
          <cell r="G11"/>
          <cell r="H11"/>
          <cell r="I11"/>
          <cell r="J11">
            <v>656</v>
          </cell>
          <cell r="K11"/>
          <cell r="M11"/>
          <cell r="N11"/>
          <cell r="O11"/>
          <cell r="P11"/>
          <cell r="Q11"/>
          <cell r="R11"/>
          <cell r="S11"/>
        </row>
        <row r="12">
          <cell r="A12" t="str">
            <v>SKT Cleaner-C3</v>
          </cell>
          <cell r="B12"/>
          <cell r="C12">
            <v>1.1040000000000001</v>
          </cell>
          <cell r="D12">
            <v>2.5299999999999998</v>
          </cell>
          <cell r="E12">
            <v>2.5099999999999998</v>
          </cell>
          <cell r="F12">
            <v>4.3900000000000002E-2</v>
          </cell>
          <cell r="G12"/>
          <cell r="H12"/>
          <cell r="I12"/>
          <cell r="J12">
            <v>439</v>
          </cell>
          <cell r="K12"/>
          <cell r="P12"/>
          <cell r="Q12"/>
          <cell r="R12"/>
          <cell r="S12"/>
        </row>
        <row r="13">
          <cell r="A13" t="str">
            <v>SKT Cleaner-C4</v>
          </cell>
          <cell r="B13"/>
          <cell r="C13">
            <v>0.56999999999999995</v>
          </cell>
          <cell r="D13">
            <v>3.7</v>
          </cell>
          <cell r="E13">
            <v>3.3</v>
          </cell>
          <cell r="F13">
            <v>4.1500000000000002E-2</v>
          </cell>
          <cell r="G13"/>
          <cell r="H13"/>
          <cell r="I13"/>
          <cell r="J13">
            <v>415</v>
          </cell>
          <cell r="K13"/>
          <cell r="N13"/>
          <cell r="O13"/>
          <cell r="P13"/>
          <cell r="Q13"/>
          <cell r="R13"/>
          <cell r="S13"/>
        </row>
        <row r="14">
          <cell r="A14" t="str">
            <v>SKT Cleaner-T</v>
          </cell>
          <cell r="B14"/>
          <cell r="C14">
            <v>0.57999999999999996</v>
          </cell>
          <cell r="D14">
            <v>3.13</v>
          </cell>
          <cell r="E14">
            <v>3.46</v>
          </cell>
          <cell r="F14">
            <v>4.2900000000000001E-2</v>
          </cell>
          <cell r="G14"/>
          <cell r="H14"/>
          <cell r="I14"/>
          <cell r="J14">
            <v>429</v>
          </cell>
          <cell r="K14"/>
          <cell r="P14"/>
          <cell r="Q14"/>
          <cell r="R14"/>
          <cell r="S14"/>
        </row>
        <row r="15">
          <cell r="A15"/>
          <cell r="B15"/>
          <cell r="C15"/>
          <cell r="D15"/>
          <cell r="E15"/>
          <cell r="F15"/>
          <cell r="G15"/>
          <cell r="H15"/>
          <cell r="I15"/>
          <cell r="J15"/>
          <cell r="K15"/>
          <cell r="N15"/>
          <cell r="O15"/>
          <cell r="P15"/>
          <cell r="Q15"/>
          <cell r="R15"/>
          <cell r="S15"/>
        </row>
        <row r="16">
          <cell r="A16"/>
          <cell r="B16"/>
          <cell r="C16"/>
          <cell r="D16"/>
          <cell r="E16"/>
          <cell r="F16"/>
          <cell r="G16"/>
          <cell r="H16"/>
          <cell r="I16"/>
          <cell r="J16"/>
          <cell r="K16"/>
          <cell r="M16"/>
          <cell r="N16"/>
          <cell r="O16"/>
          <cell r="P16"/>
          <cell r="Q16"/>
          <cell r="R16"/>
          <cell r="S16"/>
          <cell r="T16"/>
        </row>
        <row r="17">
          <cell r="A17"/>
          <cell r="B17"/>
          <cell r="C17"/>
          <cell r="D17"/>
          <cell r="E17"/>
          <cell r="F17"/>
          <cell r="G17"/>
          <cell r="H17"/>
          <cell r="I17"/>
          <cell r="J17"/>
          <cell r="K17"/>
          <cell r="M17"/>
          <cell r="N17"/>
          <cell r="O17"/>
          <cell r="P17"/>
          <cell r="Q17"/>
          <cell r="R17"/>
          <cell r="S17"/>
          <cell r="T17"/>
        </row>
        <row r="18">
          <cell r="A18"/>
          <cell r="B18"/>
          <cell r="C18"/>
          <cell r="D18"/>
          <cell r="E18"/>
          <cell r="F18"/>
          <cell r="G18"/>
          <cell r="H18"/>
          <cell r="I18"/>
          <cell r="J18"/>
          <cell r="K18"/>
          <cell r="M18"/>
          <cell r="N18"/>
          <cell r="O18"/>
          <cell r="P18"/>
          <cell r="Q18"/>
          <cell r="R18"/>
          <cell r="S18"/>
          <cell r="T18"/>
        </row>
        <row r="19">
          <cell r="A19"/>
          <cell r="B19"/>
          <cell r="C19"/>
          <cell r="D19"/>
          <cell r="E19"/>
          <cell r="F19"/>
          <cell r="G19"/>
          <cell r="H19"/>
          <cell r="I19"/>
          <cell r="J19"/>
          <cell r="K19"/>
          <cell r="M19"/>
          <cell r="N19"/>
          <cell r="O19"/>
          <cell r="P19"/>
          <cell r="Q19"/>
          <cell r="R19"/>
          <cell r="S19"/>
          <cell r="T19"/>
        </row>
        <row r="20">
          <cell r="A20"/>
          <cell r="B20"/>
          <cell r="C20"/>
          <cell r="D20"/>
          <cell r="E20"/>
          <cell r="F20"/>
          <cell r="G20"/>
          <cell r="H20"/>
          <cell r="I20"/>
          <cell r="J20"/>
          <cell r="K20"/>
          <cell r="M20"/>
          <cell r="N20"/>
          <cell r="O20"/>
          <cell r="P20"/>
          <cell r="Q20"/>
          <cell r="R20"/>
          <cell r="S20"/>
          <cell r="T20"/>
        </row>
        <row r="21">
          <cell r="A21"/>
          <cell r="B21"/>
          <cell r="C21"/>
          <cell r="D21"/>
          <cell r="E21"/>
          <cell r="F21"/>
          <cell r="G21"/>
          <cell r="H21"/>
          <cell r="I21"/>
          <cell r="J21"/>
          <cell r="K21"/>
          <cell r="M21"/>
          <cell r="N21"/>
          <cell r="O21"/>
          <cell r="P21"/>
          <cell r="Q21"/>
          <cell r="R21"/>
          <cell r="S21"/>
          <cell r="T21"/>
        </row>
        <row r="22">
          <cell r="A22"/>
          <cell r="B22"/>
          <cell r="C22"/>
          <cell r="D22"/>
          <cell r="E22"/>
          <cell r="F22"/>
          <cell r="G22"/>
          <cell r="H22"/>
          <cell r="I22"/>
          <cell r="J22"/>
          <cell r="K22"/>
          <cell r="M22"/>
          <cell r="N22"/>
          <cell r="O22"/>
          <cell r="P22"/>
          <cell r="Q22"/>
          <cell r="R22"/>
          <cell r="S22"/>
          <cell r="T22"/>
        </row>
        <row r="23">
          <cell r="A23"/>
          <cell r="B23"/>
          <cell r="C23"/>
          <cell r="D23"/>
          <cell r="E23"/>
          <cell r="F23"/>
          <cell r="G23"/>
          <cell r="H23"/>
          <cell r="I23"/>
          <cell r="J23"/>
          <cell r="K23"/>
          <cell r="M23"/>
          <cell r="N23"/>
          <cell r="O23"/>
          <cell r="P23"/>
          <cell r="Q23"/>
          <cell r="R23"/>
          <cell r="S23"/>
          <cell r="T23"/>
        </row>
        <row r="24">
          <cell r="A24"/>
          <cell r="B24"/>
          <cell r="C24"/>
          <cell r="D24"/>
          <cell r="E24"/>
          <cell r="F24"/>
          <cell r="G24"/>
          <cell r="H24"/>
          <cell r="I24"/>
          <cell r="J24"/>
          <cell r="K24"/>
          <cell r="M24"/>
          <cell r="N24"/>
          <cell r="O24"/>
          <cell r="P24"/>
          <cell r="Q24"/>
          <cell r="R24"/>
          <cell r="S24"/>
          <cell r="T24"/>
        </row>
        <row r="25">
          <cell r="A25"/>
          <cell r="B25"/>
          <cell r="C25"/>
          <cell r="D25"/>
          <cell r="E25"/>
          <cell r="F25"/>
          <cell r="G25"/>
          <cell r="H25"/>
          <cell r="I25"/>
          <cell r="J25"/>
          <cell r="K25"/>
          <cell r="M25"/>
          <cell r="N25"/>
          <cell r="O25"/>
          <cell r="P25"/>
          <cell r="Q25"/>
          <cell r="R25"/>
          <cell r="S25"/>
          <cell r="T25"/>
        </row>
        <row r="26">
          <cell r="A26"/>
          <cell r="B26"/>
          <cell r="C26"/>
          <cell r="D26"/>
          <cell r="E26"/>
          <cell r="F26"/>
          <cell r="G26"/>
          <cell r="H26"/>
          <cell r="I26"/>
          <cell r="J26"/>
          <cell r="K26"/>
          <cell r="M26"/>
          <cell r="N26"/>
          <cell r="O26"/>
          <cell r="P26"/>
          <cell r="Q26"/>
          <cell r="R26"/>
          <cell r="S26"/>
          <cell r="T26"/>
        </row>
        <row r="27">
          <cell r="A27"/>
          <cell r="B27"/>
          <cell r="C27"/>
          <cell r="D27"/>
          <cell r="E27"/>
          <cell r="F27"/>
          <cell r="G27"/>
          <cell r="H27"/>
          <cell r="I27"/>
          <cell r="J27"/>
          <cell r="K27"/>
          <cell r="M27"/>
          <cell r="N27"/>
          <cell r="O27"/>
          <cell r="P27"/>
          <cell r="Q27"/>
          <cell r="R27"/>
          <cell r="S27"/>
          <cell r="T27"/>
        </row>
        <row r="28">
          <cell r="A28"/>
          <cell r="B28"/>
          <cell r="C28"/>
          <cell r="D28"/>
          <cell r="E28"/>
          <cell r="F28"/>
          <cell r="G28"/>
          <cell r="H28"/>
          <cell r="I28"/>
          <cell r="J28"/>
          <cell r="K28"/>
          <cell r="M28"/>
          <cell r="N28"/>
          <cell r="O28"/>
          <cell r="P28"/>
          <cell r="Q28"/>
          <cell r="R28"/>
          <cell r="S28"/>
          <cell r="T28"/>
        </row>
        <row r="29">
          <cell r="A29"/>
          <cell r="B29"/>
          <cell r="C29"/>
          <cell r="D29"/>
          <cell r="E29"/>
          <cell r="F29"/>
          <cell r="G29"/>
          <cell r="H29"/>
          <cell r="I29"/>
          <cell r="J29"/>
          <cell r="K29"/>
          <cell r="M29"/>
          <cell r="N29"/>
          <cell r="O29"/>
          <cell r="P29"/>
          <cell r="Q29"/>
          <cell r="R29"/>
          <cell r="S29"/>
          <cell r="T29"/>
        </row>
        <row r="30">
          <cell r="A30"/>
          <cell r="B30"/>
          <cell r="C30"/>
          <cell r="D30"/>
          <cell r="E30"/>
          <cell r="F30"/>
          <cell r="G30"/>
          <cell r="H30"/>
          <cell r="I30"/>
          <cell r="J30"/>
          <cell r="K30"/>
        </row>
        <row r="31">
          <cell r="A31"/>
          <cell r="B31"/>
          <cell r="C31"/>
          <cell r="D31"/>
          <cell r="E31"/>
          <cell r="F31"/>
          <cell r="G31"/>
          <cell r="H31"/>
          <cell r="I31"/>
          <cell r="J31"/>
          <cell r="K31"/>
        </row>
        <row r="32">
          <cell r="A32"/>
          <cell r="B32"/>
          <cell r="C32"/>
          <cell r="D32"/>
          <cell r="E32"/>
          <cell r="F32"/>
          <cell r="G32"/>
          <cell r="H32"/>
          <cell r="I32"/>
          <cell r="J32"/>
          <cell r="K32"/>
        </row>
        <row r="33">
          <cell r="A33"/>
          <cell r="B33"/>
          <cell r="C33"/>
          <cell r="D33"/>
          <cell r="E33"/>
          <cell r="F33"/>
          <cell r="G33"/>
          <cell r="H33"/>
          <cell r="I33"/>
          <cell r="J33"/>
          <cell r="K33"/>
        </row>
        <row r="34">
          <cell r="A34"/>
          <cell r="B34"/>
          <cell r="C34"/>
          <cell r="D34"/>
          <cell r="E34"/>
          <cell r="F34"/>
          <cell r="G34"/>
          <cell r="H34"/>
          <cell r="I34"/>
          <cell r="J34"/>
          <cell r="K34"/>
        </row>
        <row r="35">
          <cell r="A35"/>
          <cell r="B35"/>
          <cell r="C35"/>
          <cell r="D35"/>
          <cell r="E35"/>
          <cell r="F35"/>
          <cell r="G35"/>
          <cell r="H35"/>
          <cell r="I35"/>
          <cell r="J35"/>
          <cell r="K35"/>
        </row>
        <row r="36">
          <cell r="A36"/>
          <cell r="B36"/>
          <cell r="C36"/>
          <cell r="D36"/>
          <cell r="E36"/>
          <cell r="F36"/>
          <cell r="G36"/>
          <cell r="H36"/>
          <cell r="I36"/>
          <cell r="J36"/>
          <cell r="K36"/>
          <cell r="N36"/>
        </row>
        <row r="37">
          <cell r="A37"/>
          <cell r="B37"/>
          <cell r="C37"/>
          <cell r="D37"/>
          <cell r="E37"/>
          <cell r="F37"/>
          <cell r="G37"/>
          <cell r="H37"/>
          <cell r="I37"/>
          <cell r="J37"/>
          <cell r="K37"/>
        </row>
        <row r="38">
          <cell r="A38"/>
          <cell r="B38"/>
          <cell r="C38"/>
          <cell r="D38"/>
          <cell r="E38"/>
          <cell r="F38"/>
          <cell r="G38"/>
          <cell r="H38"/>
          <cell r="I38"/>
          <cell r="J38"/>
          <cell r="K38"/>
        </row>
        <row r="39">
          <cell r="A39"/>
          <cell r="B39"/>
          <cell r="C39"/>
          <cell r="D39"/>
          <cell r="E39"/>
          <cell r="F39"/>
          <cell r="G39"/>
          <cell r="H39"/>
          <cell r="I39"/>
          <cell r="J39"/>
          <cell r="K39"/>
        </row>
        <row r="40">
          <cell r="A40"/>
          <cell r="B40"/>
          <cell r="C40"/>
          <cell r="D40"/>
          <cell r="E40"/>
          <cell r="F40"/>
          <cell r="G40"/>
          <cell r="H40"/>
          <cell r="I40"/>
          <cell r="J40"/>
          <cell r="K40"/>
        </row>
        <row r="41">
          <cell r="A41"/>
          <cell r="B41"/>
          <cell r="C41"/>
          <cell r="D41"/>
          <cell r="E41"/>
          <cell r="F41"/>
          <cell r="G41"/>
          <cell r="H41"/>
          <cell r="I41"/>
          <cell r="J41"/>
          <cell r="K41"/>
        </row>
        <row r="42">
          <cell r="A42"/>
          <cell r="B42"/>
          <cell r="C42"/>
          <cell r="D42"/>
          <cell r="E42"/>
          <cell r="F42"/>
          <cell r="G42"/>
          <cell r="H42"/>
          <cell r="I42"/>
          <cell r="J42"/>
          <cell r="K42"/>
        </row>
        <row r="43">
          <cell r="A43"/>
          <cell r="B43"/>
          <cell r="C43"/>
          <cell r="D43"/>
          <cell r="E43"/>
          <cell r="F43"/>
          <cell r="G43"/>
          <cell r="H43"/>
          <cell r="I43"/>
          <cell r="J43"/>
          <cell r="K43"/>
        </row>
        <row r="44">
          <cell r="A44"/>
          <cell r="B44"/>
          <cell r="C44"/>
          <cell r="D44"/>
          <cell r="E44"/>
          <cell r="F44"/>
          <cell r="G44"/>
          <cell r="H44"/>
          <cell r="I44"/>
          <cell r="J44"/>
          <cell r="K44"/>
        </row>
        <row r="45">
          <cell r="A45"/>
          <cell r="B45"/>
          <cell r="C45"/>
          <cell r="D45"/>
          <cell r="E45"/>
          <cell r="F45"/>
          <cell r="G45"/>
          <cell r="H45"/>
          <cell r="I45"/>
          <cell r="J45"/>
          <cell r="K45"/>
        </row>
        <row r="46">
          <cell r="A46"/>
          <cell r="B46"/>
          <cell r="C46"/>
          <cell r="D46"/>
          <cell r="E46"/>
          <cell r="F46"/>
          <cell r="G46"/>
          <cell r="H46"/>
          <cell r="I46"/>
          <cell r="J46"/>
          <cell r="K46"/>
        </row>
        <row r="47">
          <cell r="A47"/>
          <cell r="B47"/>
          <cell r="C47"/>
          <cell r="D47"/>
          <cell r="E47"/>
          <cell r="F47"/>
          <cell r="G47"/>
          <cell r="H47"/>
          <cell r="I47"/>
          <cell r="J47"/>
          <cell r="K47"/>
        </row>
        <row r="48">
          <cell r="A48"/>
          <cell r="B48"/>
          <cell r="C48"/>
          <cell r="D48"/>
          <cell r="E48"/>
          <cell r="F48"/>
          <cell r="G48"/>
          <cell r="H48"/>
          <cell r="I48"/>
          <cell r="J48"/>
          <cell r="K48"/>
        </row>
        <row r="49">
          <cell r="A49"/>
          <cell r="B49"/>
          <cell r="C49"/>
          <cell r="D49"/>
          <cell r="E49"/>
          <cell r="F49"/>
          <cell r="G49"/>
          <cell r="H49"/>
          <cell r="I49"/>
          <cell r="J49"/>
          <cell r="K49"/>
        </row>
        <row r="50">
          <cell r="A50"/>
          <cell r="B50"/>
          <cell r="C50"/>
          <cell r="D50"/>
          <cell r="E50"/>
          <cell r="F50"/>
          <cell r="G50"/>
          <cell r="H50"/>
          <cell r="I50"/>
          <cell r="J50"/>
          <cell r="K50"/>
        </row>
        <row r="51">
          <cell r="A51"/>
          <cell r="B51"/>
          <cell r="C51"/>
          <cell r="D51"/>
          <cell r="E51"/>
          <cell r="F51"/>
          <cell r="G51"/>
          <cell r="H51"/>
          <cell r="I51"/>
          <cell r="J51"/>
          <cell r="K51"/>
        </row>
        <row r="52">
          <cell r="A52"/>
          <cell r="B52"/>
          <cell r="C52"/>
          <cell r="D52"/>
          <cell r="E52"/>
          <cell r="F52"/>
          <cell r="G52"/>
          <cell r="H52"/>
          <cell r="I52"/>
          <cell r="J52"/>
          <cell r="K52"/>
        </row>
        <row r="53">
          <cell r="A53"/>
          <cell r="B53"/>
          <cell r="C53"/>
          <cell r="D53"/>
          <cell r="E53"/>
          <cell r="F53"/>
          <cell r="G53"/>
          <cell r="H53"/>
          <cell r="I53"/>
          <cell r="J53"/>
          <cell r="K53"/>
        </row>
        <row r="54">
          <cell r="A54"/>
          <cell r="B54"/>
          <cell r="C54"/>
          <cell r="D54"/>
          <cell r="E54"/>
          <cell r="F54"/>
          <cell r="G54"/>
          <cell r="H54"/>
          <cell r="I54"/>
          <cell r="J54"/>
          <cell r="K54"/>
        </row>
        <row r="55">
          <cell r="A55"/>
          <cell r="B55"/>
          <cell r="C55"/>
          <cell r="D55"/>
          <cell r="E55"/>
          <cell r="F55"/>
          <cell r="G55"/>
          <cell r="H55"/>
          <cell r="I55"/>
          <cell r="J55"/>
          <cell r="K55"/>
        </row>
        <row r="56">
          <cell r="A56"/>
          <cell r="B56"/>
          <cell r="C56"/>
          <cell r="D56"/>
          <cell r="E56"/>
          <cell r="F56"/>
          <cell r="G56"/>
          <cell r="H56"/>
          <cell r="I56"/>
          <cell r="J56"/>
          <cell r="K56"/>
        </row>
        <row r="57">
          <cell r="A57"/>
          <cell r="B57"/>
          <cell r="C57"/>
          <cell r="D57"/>
          <cell r="E57"/>
          <cell r="F57"/>
          <cell r="G57"/>
          <cell r="H57"/>
          <cell r="I57"/>
          <cell r="J57"/>
          <cell r="K57"/>
        </row>
        <row r="58">
          <cell r="A58"/>
          <cell r="B58"/>
          <cell r="C58"/>
          <cell r="D58"/>
          <cell r="E58"/>
          <cell r="F58"/>
          <cell r="G58"/>
          <cell r="H58"/>
          <cell r="I58"/>
          <cell r="J58"/>
          <cell r="K58"/>
        </row>
        <row r="59">
          <cell r="A59"/>
          <cell r="B59"/>
          <cell r="C59"/>
          <cell r="D59"/>
          <cell r="E59"/>
          <cell r="F59"/>
          <cell r="G59"/>
          <cell r="H59"/>
          <cell r="I59"/>
          <cell r="J59"/>
          <cell r="K59"/>
        </row>
        <row r="60">
          <cell r="A60"/>
          <cell r="B60"/>
          <cell r="C60"/>
          <cell r="D60"/>
          <cell r="E60"/>
          <cell r="F60"/>
          <cell r="G60"/>
          <cell r="H60"/>
          <cell r="I60"/>
          <cell r="J60"/>
          <cell r="K60"/>
        </row>
        <row r="61">
          <cell r="A61"/>
          <cell r="B61"/>
          <cell r="C61"/>
          <cell r="D61"/>
          <cell r="E61"/>
          <cell r="F61"/>
          <cell r="G61"/>
          <cell r="H61"/>
          <cell r="I61"/>
          <cell r="J61"/>
          <cell r="K61"/>
        </row>
        <row r="62">
          <cell r="A62"/>
          <cell r="B62"/>
          <cell r="C62"/>
          <cell r="D62"/>
          <cell r="E62"/>
          <cell r="F62"/>
          <cell r="G62"/>
          <cell r="H62"/>
          <cell r="I62"/>
          <cell r="J62"/>
          <cell r="K62"/>
        </row>
        <row r="63">
          <cell r="A63"/>
          <cell r="B63"/>
          <cell r="C63"/>
          <cell r="D63"/>
          <cell r="E63"/>
          <cell r="F63"/>
          <cell r="G63"/>
          <cell r="H63"/>
          <cell r="I63"/>
          <cell r="J63"/>
          <cell r="K63"/>
        </row>
        <row r="64">
          <cell r="A64"/>
          <cell r="B64"/>
          <cell r="C64"/>
          <cell r="D64"/>
          <cell r="E64"/>
          <cell r="F64"/>
          <cell r="G64"/>
          <cell r="H64"/>
          <cell r="I64"/>
          <cell r="J64"/>
          <cell r="K64"/>
        </row>
        <row r="65">
          <cell r="A65"/>
          <cell r="B65"/>
          <cell r="C65"/>
          <cell r="D65"/>
          <cell r="E65"/>
          <cell r="F65"/>
          <cell r="G65"/>
          <cell r="H65"/>
          <cell r="I65"/>
          <cell r="J65"/>
          <cell r="K65"/>
        </row>
        <row r="66">
          <cell r="A66"/>
          <cell r="B66"/>
          <cell r="C66"/>
          <cell r="D66"/>
          <cell r="E66"/>
          <cell r="F66"/>
          <cell r="G66"/>
          <cell r="H66"/>
          <cell r="I66"/>
          <cell r="J66"/>
          <cell r="K66"/>
        </row>
        <row r="67">
          <cell r="A67"/>
          <cell r="B67"/>
          <cell r="C67"/>
          <cell r="D67"/>
          <cell r="E67"/>
          <cell r="F67"/>
          <cell r="G67"/>
          <cell r="H67"/>
          <cell r="I67"/>
          <cell r="J67"/>
          <cell r="K67"/>
        </row>
        <row r="68">
          <cell r="A68"/>
          <cell r="B68"/>
          <cell r="C68"/>
          <cell r="D68"/>
          <cell r="E68"/>
          <cell r="F68"/>
          <cell r="G68"/>
          <cell r="H68"/>
          <cell r="I68"/>
          <cell r="J68"/>
          <cell r="K68"/>
        </row>
        <row r="69">
          <cell r="A69"/>
          <cell r="B69"/>
          <cell r="C69"/>
          <cell r="D69"/>
          <cell r="E69"/>
          <cell r="F69"/>
          <cell r="G69"/>
          <cell r="H69"/>
          <cell r="I69"/>
          <cell r="J69"/>
          <cell r="K69"/>
        </row>
        <row r="70">
          <cell r="A70"/>
          <cell r="B70"/>
          <cell r="C70"/>
          <cell r="D70"/>
          <cell r="E70"/>
          <cell r="F70"/>
          <cell r="G70"/>
          <cell r="H70"/>
          <cell r="I70"/>
          <cell r="J70"/>
          <cell r="K70"/>
        </row>
        <row r="71">
          <cell r="A71"/>
          <cell r="B71"/>
          <cell r="C71"/>
          <cell r="D71"/>
          <cell r="E71"/>
          <cell r="F71"/>
          <cell r="G71"/>
          <cell r="H71"/>
          <cell r="I71"/>
          <cell r="J71"/>
          <cell r="K71"/>
        </row>
        <row r="72">
          <cell r="A72"/>
          <cell r="B72"/>
          <cell r="C72"/>
          <cell r="D72"/>
          <cell r="E72"/>
          <cell r="F72"/>
          <cell r="G72"/>
          <cell r="H72"/>
          <cell r="I72"/>
          <cell r="J72"/>
          <cell r="K72"/>
        </row>
        <row r="73">
          <cell r="A73"/>
          <cell r="B73"/>
          <cell r="C73"/>
          <cell r="D73"/>
          <cell r="E73"/>
          <cell r="F73"/>
          <cell r="G73"/>
          <cell r="H73"/>
          <cell r="I73"/>
          <cell r="J73"/>
          <cell r="K73"/>
        </row>
        <row r="74">
          <cell r="A74"/>
          <cell r="B74"/>
          <cell r="C74"/>
          <cell r="D74"/>
          <cell r="E74"/>
          <cell r="F74"/>
          <cell r="G74"/>
          <cell r="H74"/>
          <cell r="I74"/>
          <cell r="J74"/>
          <cell r="K74"/>
        </row>
        <row r="75">
          <cell r="A75"/>
          <cell r="B75"/>
          <cell r="C75"/>
          <cell r="D75"/>
          <cell r="E75"/>
          <cell r="F75"/>
          <cell r="G75"/>
          <cell r="H75"/>
          <cell r="I75"/>
          <cell r="J75"/>
          <cell r="K75"/>
        </row>
        <row r="76">
          <cell r="A76"/>
          <cell r="B76"/>
          <cell r="C76"/>
          <cell r="D76"/>
          <cell r="E76"/>
          <cell r="F76"/>
          <cell r="G76"/>
          <cell r="H76"/>
          <cell r="I76"/>
          <cell r="J76"/>
          <cell r="K76"/>
        </row>
        <row r="77">
          <cell r="A77"/>
          <cell r="B77"/>
          <cell r="C77"/>
          <cell r="D77"/>
          <cell r="E77"/>
          <cell r="F77"/>
          <cell r="G77"/>
          <cell r="H77"/>
          <cell r="I77"/>
          <cell r="J77"/>
          <cell r="K77"/>
        </row>
        <row r="78">
          <cell r="A78"/>
          <cell r="B78"/>
          <cell r="C78"/>
          <cell r="D78"/>
          <cell r="E78"/>
          <cell r="F78"/>
          <cell r="G78"/>
          <cell r="H78"/>
          <cell r="I78"/>
          <cell r="J78"/>
          <cell r="K78"/>
        </row>
        <row r="79">
          <cell r="A79"/>
          <cell r="B79"/>
          <cell r="C79"/>
          <cell r="D79"/>
          <cell r="E79"/>
          <cell r="F79"/>
          <cell r="G79"/>
          <cell r="H79"/>
          <cell r="I79"/>
          <cell r="J79"/>
          <cell r="K79"/>
        </row>
        <row r="80">
          <cell r="A80"/>
          <cell r="B80"/>
          <cell r="C80"/>
          <cell r="D80"/>
          <cell r="E80"/>
          <cell r="F80"/>
          <cell r="G80"/>
          <cell r="H80"/>
          <cell r="I80"/>
          <cell r="J80"/>
          <cell r="K80"/>
        </row>
        <row r="81">
          <cell r="A81"/>
          <cell r="B81"/>
          <cell r="C81"/>
          <cell r="D81"/>
          <cell r="E81"/>
          <cell r="F81"/>
          <cell r="G81"/>
          <cell r="H81"/>
          <cell r="I81"/>
          <cell r="J81"/>
          <cell r="K81"/>
        </row>
        <row r="82">
          <cell r="A82"/>
          <cell r="B82"/>
          <cell r="C82"/>
          <cell r="D82"/>
          <cell r="E82"/>
          <cell r="F82"/>
          <cell r="G82"/>
          <cell r="H82"/>
          <cell r="I82"/>
          <cell r="J82"/>
          <cell r="K82"/>
        </row>
        <row r="83">
          <cell r="A83"/>
          <cell r="B83"/>
          <cell r="C83"/>
          <cell r="D83"/>
          <cell r="E83"/>
          <cell r="F83"/>
          <cell r="G83"/>
          <cell r="H83"/>
          <cell r="I83"/>
          <cell r="J83"/>
          <cell r="K83"/>
        </row>
        <row r="84">
          <cell r="A84"/>
          <cell r="B84"/>
          <cell r="C84"/>
          <cell r="D84"/>
          <cell r="E84"/>
          <cell r="F84"/>
          <cell r="G84"/>
          <cell r="H84"/>
          <cell r="I84"/>
          <cell r="J84"/>
          <cell r="K84"/>
        </row>
        <row r="85">
          <cell r="A85"/>
          <cell r="B85"/>
          <cell r="C85"/>
          <cell r="D85"/>
          <cell r="E85"/>
          <cell r="F85"/>
          <cell r="G85"/>
          <cell r="H85"/>
          <cell r="I85"/>
          <cell r="J85"/>
          <cell r="K85"/>
        </row>
        <row r="86">
          <cell r="A86"/>
          <cell r="B86"/>
          <cell r="C86"/>
          <cell r="D86"/>
          <cell r="E86"/>
          <cell r="F86"/>
          <cell r="G86"/>
          <cell r="H86"/>
          <cell r="I86"/>
          <cell r="J86"/>
          <cell r="K86"/>
        </row>
        <row r="87">
          <cell r="A87"/>
          <cell r="B87"/>
          <cell r="C87"/>
          <cell r="D87"/>
          <cell r="E87"/>
          <cell r="F87"/>
          <cell r="G87"/>
          <cell r="H87"/>
          <cell r="I87"/>
          <cell r="J87"/>
          <cell r="K87"/>
        </row>
        <row r="88">
          <cell r="A88"/>
          <cell r="B88"/>
          <cell r="C88"/>
          <cell r="D88"/>
          <cell r="E88"/>
          <cell r="F88"/>
          <cell r="G88"/>
          <cell r="H88"/>
          <cell r="I88"/>
          <cell r="J88"/>
          <cell r="K88"/>
        </row>
        <row r="89">
          <cell r="A89"/>
          <cell r="B89"/>
          <cell r="C89"/>
          <cell r="D89"/>
          <cell r="E89"/>
          <cell r="F89"/>
          <cell r="G89"/>
          <cell r="H89"/>
          <cell r="I89"/>
          <cell r="J89"/>
          <cell r="K89"/>
        </row>
        <row r="90">
          <cell r="A90"/>
          <cell r="B90"/>
          <cell r="C90"/>
          <cell r="D90"/>
          <cell r="E90"/>
          <cell r="F90"/>
          <cell r="G90"/>
          <cell r="H90"/>
          <cell r="I90"/>
          <cell r="J90"/>
          <cell r="K90"/>
        </row>
        <row r="91">
          <cell r="A91"/>
          <cell r="B91"/>
          <cell r="C91"/>
          <cell r="D91"/>
          <cell r="E91"/>
          <cell r="F91"/>
          <cell r="G91"/>
          <cell r="H91"/>
          <cell r="I91"/>
          <cell r="J91"/>
          <cell r="K91"/>
        </row>
        <row r="92">
          <cell r="A92"/>
          <cell r="B92"/>
          <cell r="C92"/>
          <cell r="D92"/>
          <cell r="E92"/>
          <cell r="F92"/>
          <cell r="G92"/>
          <cell r="H92"/>
          <cell r="I92"/>
          <cell r="J92"/>
          <cell r="K92"/>
        </row>
        <row r="93">
          <cell r="A93"/>
          <cell r="B93"/>
          <cell r="C93"/>
          <cell r="D93"/>
          <cell r="E93"/>
          <cell r="F93"/>
          <cell r="G93"/>
          <cell r="H93"/>
          <cell r="I93"/>
          <cell r="J93"/>
          <cell r="K93"/>
        </row>
        <row r="94">
          <cell r="A94"/>
          <cell r="B94"/>
          <cell r="C94"/>
          <cell r="D94"/>
          <cell r="E94"/>
          <cell r="F94"/>
          <cell r="G94"/>
          <cell r="H94"/>
          <cell r="I94"/>
          <cell r="J94"/>
          <cell r="K94"/>
        </row>
        <row r="95">
          <cell r="A95"/>
          <cell r="B95"/>
          <cell r="C95"/>
          <cell r="D95"/>
          <cell r="E95"/>
          <cell r="F95"/>
          <cell r="G95"/>
          <cell r="H95"/>
          <cell r="I95"/>
          <cell r="J95"/>
          <cell r="K95"/>
        </row>
        <row r="96">
          <cell r="A96"/>
          <cell r="B96"/>
          <cell r="C96"/>
          <cell r="D96"/>
          <cell r="E96"/>
          <cell r="F96"/>
          <cell r="G96"/>
          <cell r="H96"/>
          <cell r="I96"/>
          <cell r="J96"/>
          <cell r="K96"/>
        </row>
        <row r="97">
          <cell r="A97"/>
          <cell r="B97"/>
          <cell r="C97"/>
          <cell r="D97"/>
          <cell r="E97"/>
          <cell r="F97"/>
          <cell r="G97"/>
          <cell r="H97"/>
          <cell r="I97"/>
          <cell r="J97"/>
          <cell r="K97"/>
        </row>
        <row r="98">
          <cell r="A98"/>
          <cell r="B98"/>
          <cell r="C98"/>
          <cell r="D98"/>
          <cell r="E98"/>
          <cell r="F98"/>
          <cell r="G98"/>
          <cell r="H98"/>
          <cell r="I98"/>
          <cell r="J98"/>
          <cell r="K98"/>
        </row>
        <row r="99">
          <cell r="A99"/>
          <cell r="B99"/>
          <cell r="C99"/>
          <cell r="D99"/>
          <cell r="E99"/>
          <cell r="F99"/>
          <cell r="G99"/>
          <cell r="H99"/>
          <cell r="I99"/>
          <cell r="J99"/>
          <cell r="K99"/>
        </row>
        <row r="100">
          <cell r="A100"/>
          <cell r="B100"/>
          <cell r="C100"/>
          <cell r="D100"/>
          <cell r="E100"/>
          <cell r="F100"/>
          <cell r="G100"/>
          <cell r="H100"/>
          <cell r="I100"/>
          <cell r="J100"/>
          <cell r="K100"/>
        </row>
        <row r="101">
          <cell r="A101"/>
          <cell r="B101"/>
          <cell r="C101"/>
          <cell r="D101"/>
          <cell r="E101"/>
          <cell r="F101"/>
          <cell r="G101"/>
          <cell r="H101"/>
          <cell r="I101"/>
          <cell r="J101"/>
          <cell r="K101"/>
        </row>
        <row r="102">
          <cell r="A102"/>
          <cell r="B102"/>
          <cell r="C102"/>
          <cell r="D102"/>
          <cell r="E102"/>
          <cell r="F102"/>
          <cell r="G102"/>
          <cell r="H102"/>
          <cell r="I102"/>
          <cell r="J102"/>
          <cell r="K102"/>
        </row>
        <row r="103">
          <cell r="A103"/>
          <cell r="B103"/>
          <cell r="C103"/>
          <cell r="D103"/>
          <cell r="E103"/>
          <cell r="F103"/>
          <cell r="G103"/>
          <cell r="H103"/>
          <cell r="I103"/>
          <cell r="J103"/>
          <cell r="K103"/>
        </row>
        <row r="104">
          <cell r="A104"/>
          <cell r="B104"/>
          <cell r="C104"/>
          <cell r="D104"/>
          <cell r="E104"/>
          <cell r="F104"/>
          <cell r="G104"/>
          <cell r="H104"/>
          <cell r="I104"/>
          <cell r="J104"/>
          <cell r="K104"/>
        </row>
        <row r="105">
          <cell r="A105"/>
          <cell r="B105"/>
          <cell r="C105"/>
          <cell r="D105"/>
          <cell r="E105"/>
          <cell r="F105"/>
          <cell r="G105"/>
          <cell r="H105"/>
          <cell r="I105"/>
          <cell r="J105"/>
          <cell r="K105"/>
        </row>
        <row r="106">
          <cell r="A106"/>
          <cell r="B106"/>
          <cell r="C106"/>
          <cell r="D106"/>
          <cell r="E106"/>
          <cell r="F106"/>
          <cell r="G106"/>
          <cell r="H106"/>
          <cell r="I106"/>
          <cell r="J106"/>
          <cell r="K106"/>
        </row>
        <row r="107">
          <cell r="A107"/>
          <cell r="B107"/>
          <cell r="C107"/>
          <cell r="D107"/>
          <cell r="E107"/>
          <cell r="F107"/>
          <cell r="G107"/>
          <cell r="H107"/>
          <cell r="I107"/>
          <cell r="J107"/>
          <cell r="K107"/>
        </row>
        <row r="108">
          <cell r="A108"/>
          <cell r="B108"/>
          <cell r="C108"/>
          <cell r="D108"/>
          <cell r="E108"/>
          <cell r="F108"/>
          <cell r="G108"/>
          <cell r="H108"/>
          <cell r="I108"/>
          <cell r="J108"/>
          <cell r="K108"/>
        </row>
        <row r="109">
          <cell r="A109"/>
          <cell r="B109"/>
          <cell r="C109"/>
          <cell r="D109"/>
          <cell r="E109"/>
          <cell r="F109"/>
          <cell r="G109"/>
          <cell r="H109"/>
          <cell r="I109"/>
          <cell r="J109"/>
          <cell r="K109"/>
        </row>
        <row r="110">
          <cell r="A110"/>
          <cell r="B110"/>
          <cell r="C110"/>
          <cell r="D110"/>
          <cell r="E110"/>
          <cell r="F110"/>
          <cell r="G110"/>
          <cell r="H110"/>
          <cell r="I110"/>
          <cell r="J110"/>
          <cell r="K110"/>
        </row>
        <row r="111">
          <cell r="A111"/>
          <cell r="B111"/>
          <cell r="C111"/>
          <cell r="D111"/>
          <cell r="E111"/>
          <cell r="F111"/>
          <cell r="G111"/>
          <cell r="H111"/>
          <cell r="I111"/>
          <cell r="J111"/>
          <cell r="K111"/>
        </row>
        <row r="112">
          <cell r="A112"/>
          <cell r="B112"/>
          <cell r="C112"/>
          <cell r="D112"/>
          <cell r="E112"/>
          <cell r="F112"/>
          <cell r="G112"/>
          <cell r="H112"/>
          <cell r="I112"/>
          <cell r="J112"/>
          <cell r="K112"/>
        </row>
        <row r="113">
          <cell r="A113"/>
          <cell r="B113"/>
          <cell r="C113"/>
          <cell r="D113"/>
          <cell r="E113"/>
          <cell r="F113"/>
          <cell r="G113"/>
          <cell r="H113"/>
          <cell r="I113"/>
          <cell r="J113"/>
          <cell r="K113"/>
        </row>
        <row r="114">
          <cell r="A114"/>
          <cell r="B114"/>
          <cell r="C114"/>
          <cell r="D114"/>
          <cell r="E114"/>
          <cell r="F114"/>
          <cell r="G114"/>
          <cell r="H114"/>
          <cell r="I114"/>
          <cell r="J114"/>
          <cell r="K114"/>
        </row>
        <row r="115">
          <cell r="A115"/>
          <cell r="B115"/>
          <cell r="C115"/>
          <cell r="D115"/>
          <cell r="E115"/>
          <cell r="F115"/>
          <cell r="G115"/>
          <cell r="H115"/>
          <cell r="I115"/>
          <cell r="J115"/>
          <cell r="K115"/>
        </row>
        <row r="116">
          <cell r="A116"/>
          <cell r="B116"/>
          <cell r="C116"/>
          <cell r="D116"/>
          <cell r="E116"/>
          <cell r="F116"/>
          <cell r="G116"/>
          <cell r="H116"/>
          <cell r="I116"/>
          <cell r="J116"/>
          <cell r="K116"/>
        </row>
        <row r="117">
          <cell r="A117"/>
          <cell r="B117"/>
          <cell r="C117"/>
          <cell r="D117"/>
          <cell r="E117"/>
          <cell r="F117"/>
          <cell r="G117"/>
          <cell r="H117"/>
          <cell r="I117"/>
          <cell r="J117"/>
          <cell r="K117"/>
        </row>
        <row r="118">
          <cell r="A118"/>
          <cell r="B118"/>
          <cell r="C118"/>
          <cell r="D118"/>
          <cell r="E118"/>
          <cell r="F118"/>
          <cell r="G118"/>
          <cell r="H118"/>
          <cell r="I118"/>
          <cell r="J118"/>
          <cell r="K118"/>
        </row>
        <row r="119">
          <cell r="A119"/>
          <cell r="B119"/>
          <cell r="C119"/>
          <cell r="D119"/>
          <cell r="E119"/>
          <cell r="F119"/>
          <cell r="G119"/>
          <cell r="H119"/>
          <cell r="I119"/>
          <cell r="J119"/>
          <cell r="K119"/>
        </row>
        <row r="120">
          <cell r="A120"/>
          <cell r="B120"/>
          <cell r="C120"/>
          <cell r="D120"/>
          <cell r="E120"/>
          <cell r="F120"/>
          <cell r="G120"/>
          <cell r="H120"/>
          <cell r="I120"/>
          <cell r="J120"/>
          <cell r="K120"/>
        </row>
        <row r="121">
          <cell r="A121"/>
          <cell r="B121"/>
          <cell r="C121"/>
          <cell r="D121"/>
          <cell r="E121"/>
          <cell r="F121"/>
          <cell r="G121"/>
          <cell r="H121"/>
          <cell r="I121"/>
          <cell r="J121"/>
          <cell r="K121"/>
        </row>
        <row r="122">
          <cell r="A122"/>
          <cell r="B122"/>
          <cell r="C122"/>
          <cell r="D122"/>
          <cell r="E122"/>
          <cell r="F122"/>
          <cell r="G122"/>
          <cell r="H122"/>
          <cell r="I122"/>
          <cell r="J122"/>
          <cell r="K122"/>
        </row>
        <row r="123">
          <cell r="A123"/>
          <cell r="B123"/>
          <cell r="C123"/>
          <cell r="D123"/>
          <cell r="E123"/>
          <cell r="F123"/>
          <cell r="G123"/>
          <cell r="H123"/>
          <cell r="I123"/>
          <cell r="J123"/>
          <cell r="K123"/>
        </row>
        <row r="124">
          <cell r="A124"/>
          <cell r="B124"/>
          <cell r="C124"/>
          <cell r="D124"/>
          <cell r="E124"/>
          <cell r="F124"/>
          <cell r="G124"/>
          <cell r="H124"/>
          <cell r="I124"/>
          <cell r="J124"/>
          <cell r="K124"/>
        </row>
        <row r="125">
          <cell r="A125"/>
          <cell r="B125"/>
          <cell r="C125"/>
          <cell r="D125"/>
          <cell r="E125"/>
          <cell r="F125"/>
          <cell r="G125"/>
          <cell r="H125"/>
          <cell r="I125"/>
          <cell r="J125"/>
          <cell r="K125"/>
        </row>
        <row r="126">
          <cell r="A126"/>
          <cell r="B126"/>
          <cell r="C126"/>
          <cell r="D126"/>
          <cell r="E126"/>
          <cell r="F126"/>
          <cell r="G126"/>
          <cell r="H126"/>
          <cell r="I126"/>
          <cell r="J126"/>
          <cell r="K126"/>
        </row>
        <row r="127">
          <cell r="A127"/>
          <cell r="B127"/>
          <cell r="C127"/>
          <cell r="D127"/>
          <cell r="E127"/>
          <cell r="F127"/>
          <cell r="G127"/>
          <cell r="H127"/>
          <cell r="I127"/>
          <cell r="J127"/>
          <cell r="K127"/>
        </row>
        <row r="128">
          <cell r="A128"/>
          <cell r="B128"/>
          <cell r="C128"/>
          <cell r="D128"/>
          <cell r="E128"/>
          <cell r="F128"/>
          <cell r="G128"/>
          <cell r="H128"/>
          <cell r="I128"/>
          <cell r="J128"/>
          <cell r="K128"/>
        </row>
        <row r="129">
          <cell r="A129"/>
          <cell r="B129"/>
          <cell r="C129"/>
          <cell r="D129"/>
          <cell r="E129"/>
          <cell r="F129"/>
          <cell r="G129"/>
          <cell r="H129"/>
          <cell r="I129"/>
          <cell r="J129"/>
          <cell r="K129"/>
        </row>
        <row r="130">
          <cell r="A130"/>
          <cell r="B130"/>
          <cell r="C130"/>
          <cell r="D130"/>
          <cell r="E130"/>
          <cell r="F130"/>
          <cell r="G130"/>
          <cell r="H130"/>
          <cell r="I130"/>
          <cell r="J130"/>
          <cell r="K130"/>
        </row>
        <row r="131">
          <cell r="A131"/>
          <cell r="B131"/>
          <cell r="C131"/>
          <cell r="D131"/>
          <cell r="E131"/>
          <cell r="F131"/>
          <cell r="G131"/>
          <cell r="H131"/>
          <cell r="I131"/>
          <cell r="J131"/>
          <cell r="K131"/>
        </row>
        <row r="132">
          <cell r="A132"/>
          <cell r="B132"/>
          <cell r="C132"/>
          <cell r="D132"/>
          <cell r="E132"/>
          <cell r="F132"/>
          <cell r="G132"/>
          <cell r="H132"/>
          <cell r="I132"/>
          <cell r="J132"/>
          <cell r="K132"/>
        </row>
        <row r="133">
          <cell r="A133"/>
          <cell r="B133"/>
          <cell r="C133"/>
          <cell r="D133"/>
          <cell r="E133"/>
          <cell r="F133"/>
          <cell r="G133"/>
          <cell r="H133"/>
          <cell r="I133"/>
          <cell r="J133"/>
          <cell r="K133"/>
        </row>
        <row r="134">
          <cell r="A134"/>
          <cell r="B134"/>
          <cell r="C134"/>
          <cell r="D134"/>
          <cell r="E134"/>
          <cell r="F134"/>
          <cell r="G134"/>
          <cell r="H134"/>
          <cell r="I134"/>
          <cell r="J134"/>
          <cell r="K134"/>
        </row>
        <row r="135">
          <cell r="A135"/>
          <cell r="B135"/>
          <cell r="C135"/>
          <cell r="D135"/>
          <cell r="E135"/>
          <cell r="F135"/>
          <cell r="G135"/>
          <cell r="H135"/>
          <cell r="I135"/>
          <cell r="J135"/>
          <cell r="K135"/>
        </row>
        <row r="136">
          <cell r="A136"/>
          <cell r="B136"/>
          <cell r="C136"/>
          <cell r="D136"/>
          <cell r="E136"/>
          <cell r="F136"/>
          <cell r="G136"/>
          <cell r="H136"/>
          <cell r="I136"/>
          <cell r="J136"/>
          <cell r="K136"/>
        </row>
        <row r="137">
          <cell r="A137"/>
          <cell r="B137"/>
          <cell r="C137"/>
          <cell r="D137"/>
          <cell r="E137"/>
          <cell r="F137"/>
          <cell r="G137"/>
          <cell r="H137"/>
          <cell r="I137"/>
          <cell r="J137"/>
          <cell r="K137"/>
        </row>
        <row r="138">
          <cell r="A138"/>
          <cell r="B138"/>
          <cell r="C138"/>
          <cell r="D138"/>
          <cell r="E138"/>
          <cell r="F138"/>
          <cell r="G138"/>
          <cell r="H138"/>
          <cell r="I138"/>
          <cell r="J138"/>
          <cell r="K138"/>
        </row>
        <row r="139">
          <cell r="A139"/>
          <cell r="B139"/>
          <cell r="C139"/>
          <cell r="D139"/>
          <cell r="E139"/>
          <cell r="F139"/>
          <cell r="G139"/>
          <cell r="H139"/>
          <cell r="I139"/>
          <cell r="J139"/>
          <cell r="K139"/>
        </row>
        <row r="140">
          <cell r="A140"/>
          <cell r="B140"/>
          <cell r="C140"/>
          <cell r="D140"/>
          <cell r="E140"/>
          <cell r="F140"/>
          <cell r="G140"/>
          <cell r="H140"/>
          <cell r="I140"/>
          <cell r="J140"/>
          <cell r="K140"/>
        </row>
        <row r="141">
          <cell r="A141"/>
          <cell r="B141"/>
          <cell r="C141"/>
          <cell r="D141"/>
          <cell r="E141"/>
          <cell r="F141"/>
          <cell r="G141"/>
          <cell r="H141"/>
          <cell r="I141"/>
          <cell r="J141"/>
          <cell r="K141"/>
        </row>
        <row r="142">
          <cell r="A142"/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</row>
        <row r="143">
          <cell r="A143"/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</row>
        <row r="144">
          <cell r="A144"/>
          <cell r="B144"/>
          <cell r="C144"/>
          <cell r="D144"/>
          <cell r="E144"/>
          <cell r="F144"/>
          <cell r="G144"/>
          <cell r="H144"/>
          <cell r="I144"/>
          <cell r="J144"/>
          <cell r="K144"/>
        </row>
        <row r="145">
          <cell r="A145"/>
          <cell r="B145"/>
          <cell r="C145"/>
          <cell r="D145"/>
          <cell r="E145"/>
          <cell r="F145"/>
          <cell r="G145"/>
          <cell r="H145"/>
          <cell r="I145"/>
          <cell r="J145"/>
          <cell r="K145"/>
        </row>
        <row r="146">
          <cell r="A146"/>
          <cell r="B146"/>
          <cell r="C146"/>
          <cell r="D146"/>
          <cell r="E146"/>
          <cell r="F146"/>
          <cell r="G146"/>
          <cell r="H146"/>
          <cell r="I146"/>
          <cell r="J146"/>
          <cell r="K146"/>
        </row>
        <row r="147">
          <cell r="A147"/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</row>
        <row r="148">
          <cell r="A148"/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</row>
        <row r="149">
          <cell r="A149"/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</row>
        <row r="150">
          <cell r="A150"/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</row>
        <row r="151">
          <cell r="A151"/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</row>
        <row r="152">
          <cell r="A152"/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</row>
        <row r="153">
          <cell r="A153"/>
          <cell r="B153"/>
          <cell r="C153"/>
          <cell r="D153"/>
          <cell r="E153"/>
          <cell r="F153"/>
          <cell r="G153"/>
          <cell r="H153"/>
          <cell r="I153"/>
          <cell r="J153"/>
          <cell r="K153"/>
        </row>
        <row r="154">
          <cell r="A154"/>
          <cell r="B154"/>
          <cell r="C154"/>
          <cell r="D154"/>
          <cell r="E154"/>
          <cell r="F154"/>
          <cell r="G154"/>
          <cell r="H154"/>
          <cell r="I154"/>
          <cell r="J154"/>
          <cell r="K154"/>
        </row>
        <row r="155">
          <cell r="A155"/>
          <cell r="B155"/>
          <cell r="C155"/>
          <cell r="D155"/>
          <cell r="E155"/>
          <cell r="F155"/>
          <cell r="G155"/>
          <cell r="H155"/>
          <cell r="I155"/>
          <cell r="J155"/>
          <cell r="K155"/>
        </row>
        <row r="156">
          <cell r="A156"/>
          <cell r="B156"/>
          <cell r="C156"/>
          <cell r="D156"/>
          <cell r="E156"/>
          <cell r="F156"/>
          <cell r="G156"/>
          <cell r="H156"/>
          <cell r="I156"/>
          <cell r="J156"/>
          <cell r="K156"/>
        </row>
        <row r="157">
          <cell r="A157"/>
          <cell r="B157"/>
          <cell r="C157"/>
          <cell r="D157"/>
          <cell r="E157"/>
          <cell r="F157"/>
          <cell r="G157"/>
          <cell r="H157"/>
          <cell r="I157"/>
          <cell r="J157"/>
          <cell r="K157"/>
        </row>
        <row r="158">
          <cell r="A158"/>
          <cell r="B158"/>
          <cell r="C158"/>
          <cell r="D158"/>
          <cell r="E158"/>
          <cell r="F158"/>
          <cell r="G158"/>
          <cell r="H158"/>
          <cell r="I158"/>
          <cell r="J158"/>
          <cell r="K158"/>
        </row>
        <row r="159">
          <cell r="A159"/>
          <cell r="B159"/>
          <cell r="C159"/>
          <cell r="D159"/>
          <cell r="E159"/>
          <cell r="F159"/>
          <cell r="G159"/>
          <cell r="H159"/>
          <cell r="I159"/>
          <cell r="J159"/>
          <cell r="K159"/>
        </row>
        <row r="160">
          <cell r="A160"/>
          <cell r="B160"/>
          <cell r="C160"/>
          <cell r="D160"/>
          <cell r="E160"/>
          <cell r="F160"/>
          <cell r="G160"/>
          <cell r="H160"/>
          <cell r="I160"/>
          <cell r="J160"/>
          <cell r="K160"/>
        </row>
        <row r="161">
          <cell r="A161"/>
          <cell r="B161"/>
          <cell r="C161"/>
          <cell r="D161"/>
          <cell r="E161"/>
          <cell r="F161"/>
          <cell r="G161"/>
          <cell r="H161"/>
          <cell r="I161"/>
          <cell r="J161"/>
          <cell r="K161"/>
        </row>
        <row r="162">
          <cell r="A162"/>
          <cell r="B162"/>
          <cell r="C162"/>
          <cell r="D162"/>
          <cell r="E162"/>
          <cell r="F162"/>
          <cell r="G162"/>
          <cell r="H162"/>
          <cell r="I162"/>
          <cell r="J162"/>
          <cell r="K162"/>
        </row>
        <row r="163">
          <cell r="A163"/>
          <cell r="B163"/>
          <cell r="C163"/>
          <cell r="D163"/>
          <cell r="E163"/>
          <cell r="F163"/>
          <cell r="G163"/>
          <cell r="H163"/>
          <cell r="I163"/>
          <cell r="J163"/>
          <cell r="K163"/>
        </row>
        <row r="164">
          <cell r="A164"/>
          <cell r="B164"/>
          <cell r="C164"/>
          <cell r="D164"/>
          <cell r="E164"/>
          <cell r="F164"/>
          <cell r="G164"/>
          <cell r="H164"/>
          <cell r="I164"/>
          <cell r="J164"/>
          <cell r="K164"/>
        </row>
        <row r="165">
          <cell r="A165"/>
          <cell r="B165"/>
          <cell r="C165"/>
          <cell r="D165"/>
          <cell r="E165"/>
          <cell r="F165"/>
          <cell r="G165"/>
          <cell r="H165"/>
          <cell r="I165"/>
          <cell r="J165"/>
          <cell r="K165"/>
        </row>
        <row r="166">
          <cell r="A166"/>
          <cell r="B166"/>
          <cell r="C166"/>
          <cell r="D166"/>
          <cell r="E166"/>
          <cell r="F166"/>
          <cell r="G166"/>
          <cell r="H166"/>
          <cell r="I166"/>
          <cell r="J166"/>
          <cell r="K166"/>
        </row>
        <row r="167">
          <cell r="A167"/>
          <cell r="B167"/>
          <cell r="C167"/>
          <cell r="D167"/>
          <cell r="E167"/>
          <cell r="F167"/>
          <cell r="G167"/>
          <cell r="H167"/>
          <cell r="I167"/>
          <cell r="J167"/>
          <cell r="K167"/>
        </row>
        <row r="168">
          <cell r="A168"/>
          <cell r="B168"/>
          <cell r="C168"/>
          <cell r="D168"/>
          <cell r="E168"/>
          <cell r="F168"/>
          <cell r="G168"/>
          <cell r="H168"/>
          <cell r="I168"/>
          <cell r="J168"/>
          <cell r="K168"/>
        </row>
        <row r="169">
          <cell r="A169"/>
          <cell r="B169"/>
          <cell r="C169"/>
          <cell r="D169"/>
          <cell r="E169"/>
          <cell r="F169"/>
          <cell r="G169"/>
          <cell r="H169"/>
          <cell r="I169"/>
          <cell r="J169"/>
          <cell r="K169"/>
        </row>
        <row r="170">
          <cell r="A170"/>
          <cell r="B170"/>
          <cell r="C170"/>
          <cell r="D170"/>
          <cell r="E170"/>
          <cell r="F170"/>
          <cell r="G170"/>
          <cell r="H170"/>
          <cell r="I170"/>
          <cell r="J170"/>
          <cell r="K170"/>
        </row>
        <row r="171">
          <cell r="A171"/>
          <cell r="B171"/>
          <cell r="C171"/>
          <cell r="D171"/>
          <cell r="E171"/>
          <cell r="F171"/>
          <cell r="G171"/>
          <cell r="H171"/>
          <cell r="I171"/>
          <cell r="J171"/>
          <cell r="K171"/>
        </row>
        <row r="172">
          <cell r="A172"/>
          <cell r="B172"/>
          <cell r="C172"/>
          <cell r="D172"/>
          <cell r="E172"/>
          <cell r="F172"/>
          <cell r="G172"/>
          <cell r="H172"/>
          <cell r="I172"/>
          <cell r="J172"/>
          <cell r="K172"/>
        </row>
        <row r="173">
          <cell r="A173"/>
          <cell r="B173"/>
          <cell r="C173"/>
          <cell r="D173"/>
          <cell r="E173"/>
          <cell r="F173"/>
          <cell r="G173"/>
          <cell r="H173"/>
          <cell r="I173"/>
          <cell r="J173"/>
          <cell r="K173"/>
        </row>
        <row r="174">
          <cell r="A174"/>
          <cell r="B174"/>
          <cell r="C174"/>
          <cell r="D174"/>
          <cell r="E174"/>
          <cell r="F174"/>
          <cell r="G174"/>
          <cell r="H174"/>
          <cell r="I174"/>
          <cell r="J174"/>
          <cell r="K174"/>
        </row>
        <row r="175">
          <cell r="A175"/>
          <cell r="B175"/>
          <cell r="C175"/>
          <cell r="D175"/>
          <cell r="E175"/>
          <cell r="F175"/>
          <cell r="G175"/>
          <cell r="H175"/>
          <cell r="I175"/>
          <cell r="J175"/>
          <cell r="K175"/>
        </row>
        <row r="176">
          <cell r="A176"/>
          <cell r="B176"/>
          <cell r="C176"/>
          <cell r="D176"/>
          <cell r="E176"/>
          <cell r="F176"/>
          <cell r="G176"/>
          <cell r="H176"/>
          <cell r="I176"/>
          <cell r="J176"/>
          <cell r="K176"/>
        </row>
        <row r="177">
          <cell r="A177"/>
          <cell r="B177"/>
          <cell r="C177"/>
          <cell r="D177"/>
          <cell r="E177"/>
          <cell r="F177"/>
          <cell r="G177"/>
          <cell r="H177"/>
          <cell r="I177"/>
          <cell r="J177"/>
          <cell r="K177"/>
        </row>
        <row r="178">
          <cell r="A178"/>
          <cell r="B178"/>
          <cell r="C178"/>
          <cell r="D178"/>
          <cell r="E178"/>
          <cell r="F178"/>
          <cell r="G178"/>
          <cell r="H178"/>
          <cell r="I178"/>
          <cell r="J178"/>
          <cell r="K178"/>
        </row>
        <row r="179">
          <cell r="A179"/>
          <cell r="B179"/>
          <cell r="C179"/>
          <cell r="D179"/>
          <cell r="E179"/>
          <cell r="F179"/>
          <cell r="G179"/>
          <cell r="H179"/>
          <cell r="I179"/>
          <cell r="J179"/>
          <cell r="K179"/>
        </row>
        <row r="180">
          <cell r="A180"/>
          <cell r="B180"/>
          <cell r="C180"/>
          <cell r="D180"/>
          <cell r="E180"/>
          <cell r="F180"/>
          <cell r="G180"/>
          <cell r="H180"/>
          <cell r="I180"/>
          <cell r="J180"/>
          <cell r="K180"/>
        </row>
        <row r="181">
          <cell r="A181"/>
          <cell r="B181"/>
          <cell r="C181"/>
          <cell r="D181"/>
          <cell r="E181"/>
          <cell r="F181"/>
          <cell r="G181"/>
          <cell r="H181"/>
          <cell r="I181"/>
          <cell r="J181"/>
          <cell r="K181"/>
        </row>
        <row r="182">
          <cell r="A182"/>
          <cell r="B182"/>
          <cell r="C182"/>
          <cell r="D182"/>
          <cell r="E182"/>
          <cell r="F182"/>
          <cell r="G182"/>
          <cell r="H182"/>
          <cell r="I182"/>
          <cell r="J182"/>
          <cell r="K182"/>
        </row>
        <row r="183">
          <cell r="A183"/>
          <cell r="B183"/>
          <cell r="C183"/>
          <cell r="D183"/>
          <cell r="E183"/>
          <cell r="F183"/>
          <cell r="G183"/>
          <cell r="H183"/>
          <cell r="I183"/>
          <cell r="J183"/>
          <cell r="K183"/>
        </row>
        <row r="184">
          <cell r="A184"/>
          <cell r="B184"/>
          <cell r="C184"/>
          <cell r="D184"/>
          <cell r="E184"/>
          <cell r="F184"/>
          <cell r="G184"/>
          <cell r="H184"/>
          <cell r="I184"/>
          <cell r="J184"/>
          <cell r="K184"/>
        </row>
        <row r="185">
          <cell r="A185"/>
          <cell r="B185"/>
          <cell r="C185"/>
          <cell r="D185"/>
          <cell r="E185"/>
          <cell r="F185"/>
          <cell r="G185"/>
          <cell r="H185"/>
          <cell r="I185"/>
          <cell r="J185"/>
          <cell r="K185"/>
        </row>
        <row r="186">
          <cell r="A186"/>
          <cell r="B186"/>
          <cell r="C186"/>
          <cell r="D186"/>
          <cell r="E186"/>
          <cell r="F186"/>
          <cell r="G186"/>
          <cell r="H186"/>
          <cell r="I186"/>
          <cell r="J186"/>
          <cell r="K186"/>
        </row>
        <row r="187">
          <cell r="A187"/>
          <cell r="B187"/>
          <cell r="C187"/>
          <cell r="D187"/>
          <cell r="E187"/>
          <cell r="F187"/>
          <cell r="G187"/>
          <cell r="H187"/>
          <cell r="I187"/>
          <cell r="J187"/>
          <cell r="K187"/>
        </row>
        <row r="188">
          <cell r="A188"/>
          <cell r="B188"/>
          <cell r="C188"/>
          <cell r="D188"/>
          <cell r="E188"/>
          <cell r="F188"/>
          <cell r="G188"/>
          <cell r="H188"/>
          <cell r="I188"/>
          <cell r="J188"/>
          <cell r="K188"/>
        </row>
        <row r="189">
          <cell r="A189"/>
        </row>
      </sheetData>
      <sheetData sheetId="3">
        <row r="4">
          <cell r="C4" t="str">
            <v>A001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Resumen"/>
      <sheetName val="Cinética Relave Ro. Condición 2"/>
      <sheetName val="TDD. Relave Ro. Condición 2"/>
      <sheetName val="Relave Ro L-150"/>
      <sheetName val="Cinética Alimentación 1ra Cl"/>
      <sheetName val="TDD Alimentación 1re Cl"/>
      <sheetName val="Alim 1°CL L-150"/>
      <sheetName val="Cinética Alimentación Scv"/>
      <sheetName val="TDD. Alimentación Scv"/>
      <sheetName val="Pre-SCV L-150"/>
      <sheetName val="Assay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">
          <cell r="A2" t="str">
            <v>ID</v>
          </cell>
          <cell r="B2" t="str">
            <v>CuT</v>
          </cell>
          <cell r="C2" t="str">
            <v>Mo</v>
          </cell>
          <cell r="D2" t="str">
            <v>Fe</v>
          </cell>
          <cell r="E2" t="str">
            <v>S</v>
          </cell>
        </row>
        <row r="3">
          <cell r="A3" t="str">
            <v>Cinética Relave Ro. Condición 2-F</v>
          </cell>
          <cell r="B3">
            <v>0.14499999999999999</v>
          </cell>
          <cell r="C3"/>
          <cell r="D3">
            <v>1.04</v>
          </cell>
          <cell r="E3"/>
        </row>
        <row r="4">
          <cell r="A4" t="str">
            <v>Cinética Relave Ro. Condición 2-C1</v>
          </cell>
          <cell r="B4">
            <v>1.696</v>
          </cell>
          <cell r="C4"/>
          <cell r="D4">
            <v>12.8</v>
          </cell>
          <cell r="E4"/>
        </row>
        <row r="5">
          <cell r="A5" t="str">
            <v>Cinética Relave Ro. Condición 2-C2</v>
          </cell>
          <cell r="B5">
            <v>1.4890000000000001</v>
          </cell>
          <cell r="C5"/>
          <cell r="D5">
            <v>8.81</v>
          </cell>
          <cell r="E5"/>
        </row>
        <row r="6">
          <cell r="A6" t="str">
            <v>Cinética Relave Ro. Condición 2-C3</v>
          </cell>
          <cell r="B6">
            <v>0.876</v>
          </cell>
          <cell r="C6"/>
          <cell r="D6">
            <v>5.83</v>
          </cell>
          <cell r="E6"/>
        </row>
        <row r="7">
          <cell r="A7" t="str">
            <v>Cinética Relave Ro. Condición 2-C4</v>
          </cell>
          <cell r="B7">
            <v>0.61099999999999999</v>
          </cell>
          <cell r="C7"/>
          <cell r="D7">
            <v>2.72</v>
          </cell>
          <cell r="E7"/>
        </row>
        <row r="8">
          <cell r="A8" t="str">
            <v>Cinética Relave Ro. Condición 2-C5</v>
          </cell>
          <cell r="B8">
            <v>0.36</v>
          </cell>
          <cell r="C8"/>
          <cell r="D8">
            <v>1.33</v>
          </cell>
          <cell r="E8"/>
        </row>
        <row r="9">
          <cell r="A9" t="str">
            <v>Cinética Relave Ro. Condición 2-T</v>
          </cell>
          <cell r="B9">
            <v>8.4000000000000005E-2</v>
          </cell>
          <cell r="C9"/>
          <cell r="D9">
            <v>0.73</v>
          </cell>
          <cell r="E9"/>
        </row>
        <row r="10">
          <cell r="A10" t="str">
            <v>TDD. Relave Ro. Condición 2-F</v>
          </cell>
          <cell r="B10">
            <v>0.14499999999999999</v>
          </cell>
          <cell r="C10"/>
          <cell r="D10">
            <v>1.04</v>
          </cell>
          <cell r="E10"/>
        </row>
        <row r="11">
          <cell r="A11" t="str">
            <v>TDD. Relave Ro. Condición 2-Stage 1-T</v>
          </cell>
          <cell r="B11">
            <v>8.4000000000000005E-2</v>
          </cell>
          <cell r="C11"/>
          <cell r="D11">
            <v>0.74</v>
          </cell>
          <cell r="E11"/>
        </row>
        <row r="12">
          <cell r="A12" t="str">
            <v>TDD. Relave Ro. Condición 2-Stage 2-T</v>
          </cell>
          <cell r="B12">
            <v>0.10299999999999999</v>
          </cell>
          <cell r="C12"/>
          <cell r="D12">
            <v>0.9</v>
          </cell>
          <cell r="E12"/>
        </row>
        <row r="13">
          <cell r="A13" t="str">
            <v>TDD. Relave Ro. Condición 2-Stage 3-C1</v>
          </cell>
          <cell r="B13">
            <v>3.2149999999999999</v>
          </cell>
          <cell r="C13"/>
          <cell r="D13">
            <v>25.8</v>
          </cell>
          <cell r="E13"/>
        </row>
        <row r="14">
          <cell r="A14" t="str">
            <v>TDD. Relave Ro. Condición 2-Stage 3-C2</v>
          </cell>
          <cell r="B14">
            <v>3.3220000000000001</v>
          </cell>
          <cell r="C14"/>
          <cell r="D14">
            <v>23.6</v>
          </cell>
          <cell r="E14"/>
        </row>
        <row r="15">
          <cell r="A15" t="str">
            <v>TDD. Relave Ro. Condición 2-Stage 3-C3</v>
          </cell>
          <cell r="B15">
            <v>3.274</v>
          </cell>
          <cell r="C15"/>
          <cell r="D15">
            <v>22.8</v>
          </cell>
          <cell r="E15"/>
        </row>
        <row r="16">
          <cell r="A16" t="str">
            <v>TDD. Relave Ro. Condición 2-Stage 3-C4</v>
          </cell>
          <cell r="B16">
            <v>2.0817999999999999</v>
          </cell>
          <cell r="C16"/>
          <cell r="D16">
            <v>13.6</v>
          </cell>
          <cell r="E16"/>
        </row>
        <row r="17">
          <cell r="A17" t="str">
            <v>TDD. Relave Ro. Condición 2-Stage 3-C5</v>
          </cell>
          <cell r="B17">
            <v>0.774532</v>
          </cell>
          <cell r="C17"/>
          <cell r="D17">
            <v>5.26</v>
          </cell>
          <cell r="E17"/>
        </row>
        <row r="18">
          <cell r="A18" t="str">
            <v>TDD. Relave Ro. Condición 2-Stage 3-T</v>
          </cell>
          <cell r="B18">
            <v>0.38300000000000001</v>
          </cell>
          <cell r="C18"/>
          <cell r="D18">
            <v>1.78</v>
          </cell>
          <cell r="E18"/>
        </row>
        <row r="19">
          <cell r="A19" t="str">
            <v>Cinética Alimentación 1ra Cl-F</v>
          </cell>
          <cell r="B19">
            <v>2.254</v>
          </cell>
          <cell r="C19"/>
          <cell r="D19">
            <v>4.97</v>
          </cell>
          <cell r="E19"/>
        </row>
        <row r="20">
          <cell r="A20" t="str">
            <v>Cinética Alimentación 1ra Cl-C1</v>
          </cell>
          <cell r="B20">
            <v>26.53</v>
          </cell>
          <cell r="C20"/>
          <cell r="D20">
            <v>21.4</v>
          </cell>
          <cell r="E20"/>
        </row>
        <row r="21">
          <cell r="A21" t="str">
            <v>Cinética Alimentación 1ra Cl-C2</v>
          </cell>
          <cell r="B21">
            <v>24.92</v>
          </cell>
          <cell r="C21"/>
          <cell r="D21">
            <v>22.1</v>
          </cell>
          <cell r="E21"/>
        </row>
        <row r="22">
          <cell r="A22" t="str">
            <v>Cinética Alimentación 1ra Cl-C3</v>
          </cell>
          <cell r="B22">
            <v>20.39</v>
          </cell>
          <cell r="C22"/>
          <cell r="D22">
            <v>20.9</v>
          </cell>
          <cell r="E22"/>
        </row>
        <row r="23">
          <cell r="A23" t="str">
            <v>Cinética Alimentación 1ra Cl-C4</v>
          </cell>
          <cell r="B23">
            <v>7.58</v>
          </cell>
          <cell r="C23"/>
          <cell r="D23">
            <v>14.5</v>
          </cell>
          <cell r="E23"/>
        </row>
        <row r="24">
          <cell r="A24" t="str">
            <v>Cinética Alimentación 1ra Cl-C5</v>
          </cell>
          <cell r="B24">
            <v>1.012</v>
          </cell>
          <cell r="C24"/>
          <cell r="D24">
            <v>5.27</v>
          </cell>
          <cell r="E24"/>
        </row>
        <row r="25">
          <cell r="A25" t="str">
            <v>Cinética Alimentación 1ra Cl-T</v>
          </cell>
          <cell r="B25">
            <v>0.13300000000000001</v>
          </cell>
          <cell r="C25"/>
          <cell r="D25">
            <v>2.75</v>
          </cell>
          <cell r="E25"/>
        </row>
        <row r="26">
          <cell r="A26" t="str">
            <v>TDD Alimentación 1re Cl-F</v>
          </cell>
          <cell r="B26">
            <v>2.254</v>
          </cell>
          <cell r="C26"/>
          <cell r="D26">
            <v>4.97</v>
          </cell>
          <cell r="E26"/>
        </row>
        <row r="27">
          <cell r="A27" t="str">
            <v>TDD Alimentación 1re Cl-Stage 1-T</v>
          </cell>
          <cell r="B27">
            <v>0.154</v>
          </cell>
          <cell r="C27"/>
          <cell r="D27">
            <v>3.28</v>
          </cell>
          <cell r="E27"/>
        </row>
        <row r="28">
          <cell r="A28" t="str">
            <v>TDD Alimentación 1re Cl-Stage 2-T</v>
          </cell>
          <cell r="B28">
            <v>1.127</v>
          </cell>
          <cell r="C28"/>
          <cell r="D28">
            <v>4.16</v>
          </cell>
          <cell r="E28"/>
        </row>
        <row r="29">
          <cell r="A29" t="str">
            <v>TDD Alimentación 1re Cl-Stage 3-C1</v>
          </cell>
          <cell r="B29">
            <v>25.28</v>
          </cell>
          <cell r="C29"/>
          <cell r="D29">
            <v>22.8</v>
          </cell>
          <cell r="E29"/>
        </row>
        <row r="30">
          <cell r="A30" t="str">
            <v>TDD Alimentación 1re Cl-Stage 3-C2</v>
          </cell>
          <cell r="B30">
            <v>24.75</v>
          </cell>
          <cell r="C30"/>
          <cell r="D30">
            <v>22.3</v>
          </cell>
          <cell r="E30"/>
        </row>
        <row r="31">
          <cell r="A31" t="str">
            <v>TDD Alimentación 1re Cl-Stage 3-C3</v>
          </cell>
          <cell r="B31">
            <v>23.85</v>
          </cell>
          <cell r="C31"/>
          <cell r="D31">
            <v>22.1</v>
          </cell>
          <cell r="E31"/>
        </row>
        <row r="32">
          <cell r="A32" t="str">
            <v>TDD Alimentación 1re Cl-Stage 3-C4</v>
          </cell>
          <cell r="B32">
            <v>23.25</v>
          </cell>
          <cell r="C32"/>
          <cell r="D32">
            <v>20.6</v>
          </cell>
          <cell r="E32"/>
        </row>
        <row r="33">
          <cell r="A33" t="str">
            <v>TDD Alimentación 1re Cl-Stage 3-C5</v>
          </cell>
          <cell r="B33">
            <v>19.79</v>
          </cell>
          <cell r="C33"/>
          <cell r="D33">
            <v>17</v>
          </cell>
          <cell r="E33"/>
        </row>
        <row r="34">
          <cell r="A34" t="str">
            <v>TDD Alimentación 1re Cl-Stage 3-T</v>
          </cell>
          <cell r="B34">
            <v>6.97</v>
          </cell>
          <cell r="C34"/>
          <cell r="D34">
            <v>10</v>
          </cell>
          <cell r="E34"/>
        </row>
        <row r="35">
          <cell r="A35" t="str">
            <v>Cinética Alimentación Scv-F</v>
          </cell>
          <cell r="B35">
            <v>1.698</v>
          </cell>
          <cell r="C35"/>
          <cell r="D35">
            <v>6.07</v>
          </cell>
          <cell r="E35"/>
        </row>
        <row r="36">
          <cell r="A36" t="str">
            <v>Cinética Alimentación Scv-C1</v>
          </cell>
          <cell r="B36">
            <v>11.71</v>
          </cell>
          <cell r="C36"/>
          <cell r="D36">
            <v>22</v>
          </cell>
          <cell r="E36"/>
        </row>
        <row r="37">
          <cell r="A37" t="str">
            <v>Cinética Alimentación Scv-C2</v>
          </cell>
          <cell r="B37">
            <v>11.27</v>
          </cell>
          <cell r="C37"/>
          <cell r="D37">
            <v>20.8</v>
          </cell>
          <cell r="E37"/>
        </row>
        <row r="38">
          <cell r="A38" t="str">
            <v>Cinética Alimentación Scv-C3</v>
          </cell>
          <cell r="B38">
            <v>9.8800000000000008</v>
          </cell>
          <cell r="C38"/>
          <cell r="D38">
            <v>20.3</v>
          </cell>
          <cell r="E38"/>
        </row>
        <row r="39">
          <cell r="A39" t="str">
            <v>Cinética Alimentación Scv-C4</v>
          </cell>
          <cell r="B39">
            <v>4.6470000000000002</v>
          </cell>
          <cell r="C39"/>
          <cell r="D39">
            <v>14.7</v>
          </cell>
          <cell r="E39"/>
        </row>
        <row r="40">
          <cell r="A40" t="str">
            <v>Cinética Alimentación Scv-C5</v>
          </cell>
          <cell r="B40">
            <v>1.5589999999999999</v>
          </cell>
          <cell r="C40"/>
          <cell r="D40">
            <v>8.16</v>
          </cell>
          <cell r="E40"/>
        </row>
        <row r="41">
          <cell r="A41" t="str">
            <v>Cinética Alimentación Scv-T</v>
          </cell>
          <cell r="B41">
            <v>0.22900000000000001</v>
          </cell>
          <cell r="C41"/>
          <cell r="D41">
            <v>3.64</v>
          </cell>
          <cell r="E41"/>
        </row>
        <row r="42">
          <cell r="A42" t="str">
            <v>TDD. Alimentación Scv-F</v>
          </cell>
          <cell r="B42">
            <v>1.698</v>
          </cell>
          <cell r="C42"/>
          <cell r="D42">
            <v>6.07</v>
          </cell>
          <cell r="E42"/>
        </row>
        <row r="43">
          <cell r="A43" t="str">
            <v>TDD. Alimentación Scv-Stage 1-T</v>
          </cell>
          <cell r="B43">
            <v>0.22800000000000001</v>
          </cell>
          <cell r="C43"/>
          <cell r="D43">
            <v>3.58</v>
          </cell>
          <cell r="E43"/>
        </row>
        <row r="44">
          <cell r="A44" t="str">
            <v>TDD. Alimentación Scv-Stage 2-T</v>
          </cell>
          <cell r="B44">
            <v>1.256</v>
          </cell>
          <cell r="C44"/>
          <cell r="D44">
            <v>4.99</v>
          </cell>
          <cell r="E44"/>
        </row>
        <row r="45">
          <cell r="A45" t="str">
            <v>TDD. Alimentación Scv-Stage 3-C1</v>
          </cell>
          <cell r="B45">
            <v>11.83</v>
          </cell>
          <cell r="C45"/>
          <cell r="D45">
            <v>24.9</v>
          </cell>
          <cell r="E45"/>
        </row>
        <row r="46">
          <cell r="A46" t="str">
            <v>TDD. Alimentación Scv-Stage 3-C2</v>
          </cell>
          <cell r="B46">
            <v>11.57</v>
          </cell>
          <cell r="C46"/>
          <cell r="D46">
            <v>24.6</v>
          </cell>
          <cell r="E46"/>
        </row>
        <row r="47">
          <cell r="A47" t="str">
            <v>TDD. Alimentación Scv-Stage 3-C3</v>
          </cell>
          <cell r="B47">
            <v>10.65</v>
          </cell>
          <cell r="C47"/>
          <cell r="D47">
            <v>22.7</v>
          </cell>
          <cell r="E47"/>
        </row>
        <row r="48">
          <cell r="A48" t="str">
            <v>TDD. Alimentación Scv-Stage 3-C4</v>
          </cell>
          <cell r="B48">
            <v>9.48</v>
          </cell>
          <cell r="C48"/>
          <cell r="D48">
            <v>21.8</v>
          </cell>
          <cell r="E48"/>
        </row>
        <row r="49">
          <cell r="A49" t="str">
            <v>TDD. Alimentación Scv-Stage 3-C5</v>
          </cell>
          <cell r="B49">
            <v>11.11</v>
          </cell>
          <cell r="C49"/>
          <cell r="D49">
            <v>16.399999999999999</v>
          </cell>
          <cell r="E49"/>
        </row>
        <row r="50">
          <cell r="A50" t="str">
            <v>TDD. Alimentación Scv-Stage 3-T</v>
          </cell>
          <cell r="B50">
            <v>6.43</v>
          </cell>
          <cell r="C50"/>
          <cell r="D50">
            <v>11.3</v>
          </cell>
          <cell r="E50"/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ósito Global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os Crudos"/>
      <sheetName val="GyZ"/>
      <sheetName val="Auxiliar GyZ"/>
      <sheetName val="Klimpel"/>
    </sheetNames>
    <sheetDataSet>
      <sheetData sheetId="0"/>
      <sheetData sheetId="1">
        <row r="4">
          <cell r="CS4"/>
          <cell r="CT4"/>
          <cell r="CU4"/>
          <cell r="CV4"/>
          <cell r="CW4"/>
          <cell r="CX4"/>
          <cell r="EC4">
            <v>0</v>
          </cell>
          <cell r="ED4">
            <v>0.5</v>
          </cell>
          <cell r="EE4">
            <v>1.5</v>
          </cell>
          <cell r="EF4">
            <v>3.5</v>
          </cell>
          <cell r="EG4">
            <v>11.5</v>
          </cell>
          <cell r="EH4">
            <v>27.5</v>
          </cell>
        </row>
        <row r="7">
          <cell r="CS7">
            <v>0</v>
          </cell>
          <cell r="CT7">
            <v>36.872449141688207</v>
          </cell>
          <cell r="CU7">
            <v>52.821591550038214</v>
          </cell>
          <cell r="CV7">
            <v>66.144826473384612</v>
          </cell>
          <cell r="CW7">
            <v>82.092057050763017</v>
          </cell>
          <cell r="CX7">
            <v>88.73755399201832</v>
          </cell>
          <cell r="EC7">
            <v>0</v>
          </cell>
          <cell r="ED7">
            <v>23.097528598369095</v>
          </cell>
          <cell r="EE7">
            <v>52.821276828233849</v>
          </cell>
          <cell r="EF7">
            <v>77.9843852190196</v>
          </cell>
          <cell r="EG7">
            <v>88.65115333328059</v>
          </cell>
          <cell r="EH7">
            <v>88.73754841402183</v>
          </cell>
        </row>
        <row r="9">
          <cell r="CS9">
            <v>0</v>
          </cell>
          <cell r="CT9">
            <v>6.926402418729535</v>
          </cell>
          <cell r="CU9">
            <v>10.265543330922288</v>
          </cell>
          <cell r="CV9">
            <v>14.313233656190091</v>
          </cell>
          <cell r="CW9">
            <v>26.045522245134372</v>
          </cell>
          <cell r="CX9">
            <v>34.602968001294151</v>
          </cell>
          <cell r="EC9">
            <v>0</v>
          </cell>
          <cell r="ED9">
            <v>2.5929167928378227</v>
          </cell>
          <cell r="EE9">
            <v>7.2104216969972548</v>
          </cell>
          <cell r="EF9">
            <v>14.543266069292937</v>
          </cell>
          <cell r="EG9">
            <v>28.834071335049877</v>
          </cell>
          <cell r="EH9">
            <v>34.125846126282106</v>
          </cell>
        </row>
        <row r="10"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EC10">
            <v>0</v>
          </cell>
          <cell r="ED10">
            <v>69.732089449919428</v>
          </cell>
          <cell r="EE10">
            <v>87.354610480237554</v>
          </cell>
          <cell r="EF10">
            <v>91.808130372066401</v>
          </cell>
          <cell r="EG10">
            <v>92.933612894844657</v>
          </cell>
          <cell r="EH10">
            <v>93.218042051971224</v>
          </cell>
        </row>
      </sheetData>
      <sheetData sheetId="2"/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Producto Remolienda Condición#1"/>
    </sheetNames>
    <sheetDataSet>
      <sheetData sheetId="0">
        <row r="21">
          <cell r="E21" t="str">
            <v>Producto Remolienda Concentrado Rougher PP Condición #1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2-08-2025"/>
      <sheetName val="M-18 LS2"/>
      <sheetName val="12-08-2025 M-18 LS2"/>
    </sheetNames>
    <sheetDataSet>
      <sheetData sheetId="0"/>
      <sheetData sheetId="1"/>
      <sheetData sheetId="2">
        <row r="36">
          <cell r="Q36" t="str">
            <v>-</v>
          </cell>
          <cell r="R36" t="str">
            <v>-</v>
          </cell>
          <cell r="S36" t="str">
            <v>-</v>
          </cell>
          <cell r="T36" t="str">
            <v>-</v>
          </cell>
          <cell r="U36" t="str">
            <v>-</v>
          </cell>
          <cell r="V36" t="str">
            <v>-</v>
          </cell>
          <cell r="W36" t="str">
            <v>-</v>
          </cell>
          <cell r="X36" t="str">
            <v>-</v>
          </cell>
          <cell r="Y36" t="str">
            <v>-</v>
          </cell>
          <cell r="Z36" t="str">
            <v>-</v>
          </cell>
          <cell r="AA36" t="str">
            <v>-</v>
          </cell>
          <cell r="AB36" t="str">
            <v>-</v>
          </cell>
          <cell r="AC36" t="str">
            <v>-</v>
          </cell>
          <cell r="AD36" t="str">
            <v>-</v>
          </cell>
          <cell r="AE36" t="str">
            <v>-</v>
          </cell>
          <cell r="AF36" t="str">
            <v>-</v>
          </cell>
          <cell r="AG36" t="str">
            <v>-</v>
          </cell>
          <cell r="AH36" t="str">
            <v>-</v>
          </cell>
          <cell r="AI36" t="str">
            <v>-</v>
          </cell>
          <cell r="AJ36" t="str">
            <v>-</v>
          </cell>
          <cell r="AK36" t="str">
            <v>-</v>
          </cell>
          <cell r="AL36" t="str">
            <v>-</v>
          </cell>
          <cell r="AM36" t="str">
            <v>-</v>
          </cell>
          <cell r="AN36" t="str">
            <v>-</v>
          </cell>
          <cell r="AO36" t="str">
            <v>-</v>
          </cell>
          <cell r="AP36" t="str">
            <v>-</v>
          </cell>
          <cell r="AQ36" t="str">
            <v>-</v>
          </cell>
        </row>
        <row r="48">
          <cell r="T48"/>
          <cell r="X48"/>
          <cell r="Y48"/>
          <cell r="Z48"/>
          <cell r="AA48"/>
          <cell r="AB48"/>
          <cell r="AC48"/>
          <cell r="AD48"/>
          <cell r="AE48"/>
          <cell r="AF48"/>
          <cell r="AG48"/>
          <cell r="AH48"/>
          <cell r="AI48"/>
          <cell r="AJ48"/>
          <cell r="AK48"/>
          <cell r="AL48"/>
          <cell r="AM48"/>
          <cell r="AN48"/>
          <cell r="AO48"/>
          <cell r="AP48"/>
          <cell r="AS48"/>
          <cell r="AT48"/>
          <cell r="AU48"/>
          <cell r="AW48"/>
          <cell r="AY48"/>
          <cell r="BA48"/>
          <cell r="BB48"/>
          <cell r="BC48"/>
          <cell r="BD48"/>
          <cell r="BE48"/>
          <cell r="BF48"/>
          <cell r="BG48"/>
          <cell r="BH48"/>
          <cell r="BI48"/>
          <cell r="BJ48"/>
          <cell r="BK48"/>
          <cell r="BL48"/>
          <cell r="BM48"/>
          <cell r="BN48"/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. Portada"/>
      <sheetName val="1. Compósito"/>
      <sheetName val="2. Datos LS2"/>
      <sheetName val="3. Cinética Molienda"/>
      <sheetName val="4. SKT Mineral actual y futuro "/>
      <sheetName val="4.1 SKT Ro y Cleaner compósito"/>
      <sheetName val="5. Análisis Granulométrico"/>
      <sheetName val="6. Análisis Químico Cabeza"/>
      <sheetName val="7. Mineralogía Modal Comp"/>
      <sheetName val="8. Liberación Comp"/>
      <sheetName val="9. Asociación comp"/>
      <sheetName val="10. Test Ciclo Abierto"/>
      <sheetName val="11. Casos"/>
      <sheetName val="12. Circuitos"/>
      <sheetName val="13. Pilotaje Rougher"/>
      <sheetName val="14. Cinética Rougher"/>
      <sheetName val="15. Remolienda"/>
      <sheetName val="16. Pilotaje Cleaner"/>
      <sheetName val="16.1 AQ CBase Cleaner #2"/>
      <sheetName val="16.2 Cinéticas Cleaner"/>
      <sheetName val="17. Jms - Pre Rougher"/>
      <sheetName val="17.1 Jms - PR - T. Desgaste"/>
      <sheetName val="18. Jms - Ro-SCV"/>
      <sheetName val="18.1 Jms - Ro-SCV - T. Desgaste"/>
      <sheetName val="19. Jms - Pre-Cle"/>
      <sheetName val="20. Jms - Pre-Cle-SCV"/>
      <sheetName val="21. QAQC Test Dilución"/>
      <sheetName val="22. Comparación"/>
      <sheetName val="23. Balance Pre-Cl"/>
      <sheetName val="24. Balance Pre-Cl-SCV"/>
      <sheetName val="Proyecto S186"/>
      <sheetName val="Pilotaje Rougher Dispersante "/>
      <sheetName val="Pilotaje Cleaner"/>
      <sheetName val="AqxM Jms Rel Ro"/>
      <sheetName val="Pilotaje Cleaner Alto Flujo "/>
      <sheetName val="Cinética CL SCV"/>
      <sheetName val="Piloto CL C#1"/>
      <sheetName val="Relave Ro AQxM"/>
      <sheetName val="Jms Pre Cl"/>
      <sheetName val="Jms Pre SCV"/>
      <sheetName val="Rep Jms Pre SCV"/>
      <sheetName val="Jms Exp1 Pre SCV"/>
      <sheetName val="Test Dilucion Pre-SCV"/>
      <sheetName val="Balance Pre-Cl-SCV 01-12 (2)"/>
      <sheetName val="Balance Pre-Cl-SCV 27-11"/>
      <sheetName val="Balance Pre-Cl-SCV Sept"/>
      <sheetName val="Balance Pre-Cl-SCV Dic"/>
      <sheetName val="23. Balance Pre-Cl (2)"/>
      <sheetName val="Balances Pre SCV"/>
      <sheetName val="Mine Modal"/>
      <sheetName val="Ocurrencia Cu "/>
      <sheetName val="Liberación"/>
      <sheetName val="Asociacion Mine"/>
      <sheetName val="Mine Modal Ro"/>
      <sheetName val="Ocurrencia Cu Ro"/>
      <sheetName val="Liberación Ro"/>
      <sheetName val="Asociacion Mine Ro"/>
      <sheetName val="Mine Modal Jms"/>
      <sheetName val="Ocurrencia Cu Jms"/>
      <sheetName val="Liberación Jms"/>
      <sheetName val="Asociacion Mine J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6">
          <cell r="AN6"/>
          <cell r="AO6"/>
          <cell r="AP6"/>
        </row>
        <row r="7">
          <cell r="AN7">
            <v>0.68168749999999989</v>
          </cell>
          <cell r="AO7">
            <v>3.2132499999999999</v>
          </cell>
          <cell r="AP7">
            <v>0.13150000000000001</v>
          </cell>
        </row>
        <row r="8">
          <cell r="AN8">
            <v>2.3562500000000002</v>
          </cell>
          <cell r="AO8">
            <v>9.6237499999999976</v>
          </cell>
          <cell r="AP8">
            <v>1.0168749999999998</v>
          </cell>
        </row>
        <row r="9">
          <cell r="AN9">
            <v>30</v>
          </cell>
          <cell r="AO9"/>
          <cell r="AP9"/>
        </row>
      </sheetData>
      <sheetData sheetId="30"/>
      <sheetData sheetId="31"/>
      <sheetData sheetId="32"/>
      <sheetData sheetId="33"/>
      <sheetData sheetId="34">
        <row r="53">
          <cell r="G53">
            <v>3.2132499999999999</v>
          </cell>
        </row>
        <row r="54">
          <cell r="G54">
            <v>84.376281394866425</v>
          </cell>
        </row>
        <row r="55">
          <cell r="G55">
            <v>17.853086720207671</v>
          </cell>
        </row>
        <row r="56">
          <cell r="G56">
            <v>4.7136701201063547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56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456CF-F93A-44CB-81CE-46758B28B519}">
  <sheetPr codeName="Hoja1"/>
  <dimension ref="B6:G49"/>
  <sheetViews>
    <sheetView workbookViewId="0"/>
  </sheetViews>
  <sheetFormatPr baseColWidth="10" defaultColWidth="10.7265625" defaultRowHeight="14.5"/>
  <cols>
    <col min="1" max="3" width="10.7265625" style="4"/>
    <col min="4" max="4" width="14.7265625" style="4" customWidth="1"/>
    <col min="5" max="5" width="17.54296875" style="4" customWidth="1"/>
    <col min="6" max="16384" width="10.7265625" style="4"/>
  </cols>
  <sheetData>
    <row r="6" spans="5:5" ht="18.5">
      <c r="E6" s="210" t="s">
        <v>7</v>
      </c>
    </row>
    <row r="7" spans="5:5" ht="18.5">
      <c r="E7" s="210"/>
    </row>
    <row r="8" spans="5:5" ht="18.5">
      <c r="E8" s="210" t="s">
        <v>116</v>
      </c>
    </row>
    <row r="9" spans="5:5" ht="18.5">
      <c r="E9" s="210"/>
    </row>
    <row r="10" spans="5:5" ht="18.5">
      <c r="E10" s="210"/>
    </row>
    <row r="11" spans="5:5" ht="18.5">
      <c r="E11" s="211" t="s">
        <v>5</v>
      </c>
    </row>
    <row r="12" spans="5:5" ht="18.5">
      <c r="E12" s="210" t="s">
        <v>387</v>
      </c>
    </row>
    <row r="16" spans="5:5" ht="17.25" customHeight="1"/>
    <row r="17" spans="3:7" ht="17.25" customHeight="1">
      <c r="C17" s="212" t="s">
        <v>397</v>
      </c>
    </row>
    <row r="18" spans="3:7" ht="17.25" customHeight="1">
      <c r="C18" s="212" t="s">
        <v>390</v>
      </c>
    </row>
    <row r="19" spans="3:7" ht="17.25" customHeight="1">
      <c r="C19" s="212" t="s">
        <v>391</v>
      </c>
    </row>
    <row r="20" spans="3:7" ht="17.25" customHeight="1">
      <c r="C20" s="291" t="s">
        <v>648</v>
      </c>
    </row>
    <row r="21" spans="3:7" ht="17.25" customHeight="1">
      <c r="C21" s="291" t="s">
        <v>649</v>
      </c>
    </row>
    <row r="22" spans="3:7" ht="17.25" customHeight="1">
      <c r="C22" s="212" t="s">
        <v>392</v>
      </c>
    </row>
    <row r="23" spans="3:7" ht="17.25" customHeight="1">
      <c r="C23" s="213" t="s">
        <v>393</v>
      </c>
    </row>
    <row r="24" spans="3:7" ht="17.25" customHeight="1">
      <c r="C24" s="212" t="s">
        <v>394</v>
      </c>
    </row>
    <row r="25" spans="3:7" ht="17.25" customHeight="1">
      <c r="C25" s="212" t="s">
        <v>395</v>
      </c>
    </row>
    <row r="26" spans="3:7" ht="17.25" customHeight="1">
      <c r="C26" s="291" t="s">
        <v>396</v>
      </c>
    </row>
    <row r="27" spans="3:7" ht="17.25" customHeight="1">
      <c r="C27" s="291" t="s">
        <v>497</v>
      </c>
    </row>
    <row r="28" spans="3:7" ht="14.65" customHeight="1">
      <c r="C28" s="291" t="s">
        <v>498</v>
      </c>
    </row>
    <row r="29" spans="3:7">
      <c r="C29" s="291" t="s">
        <v>499</v>
      </c>
    </row>
    <row r="30" spans="3:7">
      <c r="C30" s="291" t="s">
        <v>500</v>
      </c>
      <c r="E30" s="214"/>
      <c r="F30" s="214"/>
      <c r="G30" s="214"/>
    </row>
    <row r="31" spans="3:7">
      <c r="C31" s="291" t="s">
        <v>703</v>
      </c>
    </row>
    <row r="32" spans="3:7">
      <c r="C32" s="291" t="s">
        <v>769</v>
      </c>
    </row>
    <row r="33" spans="2:6" ht="14.65" customHeight="1">
      <c r="C33" s="291" t="s">
        <v>776</v>
      </c>
    </row>
    <row r="34" spans="2:6" ht="14.65" customHeight="1">
      <c r="C34" s="291" t="s">
        <v>777</v>
      </c>
    </row>
    <row r="35" spans="2:6">
      <c r="C35" s="291" t="s">
        <v>778</v>
      </c>
    </row>
    <row r="36" spans="2:6" ht="15.65" customHeight="1">
      <c r="C36" s="291" t="s">
        <v>779</v>
      </c>
      <c r="F36" s="210"/>
    </row>
    <row r="37" spans="2:6">
      <c r="C37" s="291" t="s">
        <v>780</v>
      </c>
    </row>
    <row r="38" spans="2:6">
      <c r="C38" s="291" t="s">
        <v>781</v>
      </c>
    </row>
    <row r="39" spans="2:6">
      <c r="C39" s="291" t="s">
        <v>782</v>
      </c>
    </row>
    <row r="40" spans="2:6">
      <c r="C40" s="291" t="s">
        <v>783</v>
      </c>
    </row>
    <row r="41" spans="2:6">
      <c r="B41" s="215"/>
      <c r="C41" s="291" t="s">
        <v>784</v>
      </c>
    </row>
    <row r="42" spans="2:6">
      <c r="B42" s="215"/>
    </row>
    <row r="43" spans="2:6">
      <c r="B43" s="214"/>
    </row>
    <row r="44" spans="2:6">
      <c r="C44" s="216" t="s">
        <v>6</v>
      </c>
      <c r="D44" s="217" t="s">
        <v>9</v>
      </c>
      <c r="E44" s="217" t="s">
        <v>10</v>
      </c>
      <c r="F44" s="217" t="s">
        <v>8</v>
      </c>
    </row>
    <row r="45" spans="2:6">
      <c r="C45" s="218">
        <v>45959</v>
      </c>
      <c r="D45" s="219" t="s">
        <v>388</v>
      </c>
      <c r="E45" s="219" t="s">
        <v>881</v>
      </c>
      <c r="F45" s="219" t="s">
        <v>389</v>
      </c>
    </row>
    <row r="46" spans="2:6">
      <c r="C46" s="218">
        <v>45954</v>
      </c>
      <c r="D46" s="219" t="s">
        <v>388</v>
      </c>
      <c r="E46" s="219" t="s">
        <v>881</v>
      </c>
      <c r="F46" s="219" t="s">
        <v>389</v>
      </c>
    </row>
    <row r="47" spans="2:6">
      <c r="C47" s="218">
        <v>45939</v>
      </c>
      <c r="D47" s="219" t="s">
        <v>785</v>
      </c>
      <c r="E47" s="219" t="s">
        <v>11</v>
      </c>
      <c r="F47" s="219" t="s">
        <v>389</v>
      </c>
    </row>
    <row r="48" spans="2:6">
      <c r="C48" s="218">
        <v>45931</v>
      </c>
      <c r="D48" s="219" t="s">
        <v>388</v>
      </c>
      <c r="E48" s="219" t="s">
        <v>11</v>
      </c>
      <c r="F48" s="219" t="s">
        <v>389</v>
      </c>
    </row>
    <row r="49" spans="3:6">
      <c r="C49" s="218">
        <v>45922</v>
      </c>
      <c r="D49" s="219" t="s">
        <v>388</v>
      </c>
      <c r="E49" s="219" t="s">
        <v>11</v>
      </c>
      <c r="F49" s="219" t="s">
        <v>389</v>
      </c>
    </row>
  </sheetData>
  <phoneticPr fontId="4" type="noConversion"/>
  <hyperlinks>
    <hyperlink ref="C19" location="'3. Cinética Molienda'!A1" display="3. Cinética Molienda" xr:uid="{AC6A618D-C21A-4707-8458-4C249F802197}"/>
    <hyperlink ref="C17" location="'1. Compósito'!A1" display="1. Compósito" xr:uid="{E56261E5-9241-4A32-8A6A-D337B51F2D3D}"/>
    <hyperlink ref="C18" location="'2. Datos LS2'!A1" display="2. Datos LS2" xr:uid="{E5A570B3-A046-46BE-9657-D66D06FB4438}"/>
    <hyperlink ref="C25" location="'8. Liberación Comp'!A1" display="8. Liberación Compósito" xr:uid="{9376B627-568E-4195-99AA-95396DCC74B3}"/>
    <hyperlink ref="C26" location="'9. Asociación comp'!A1" display="9. Asociación Compósito" xr:uid="{F87A15F3-B544-49BD-9D1C-E11C5220FCA9}"/>
    <hyperlink ref="C28" location="'11. Casos'!A1" display="11. Casos" xr:uid="{03AFA4F7-40F8-4C4D-ADF2-1B33FDA0B235}"/>
    <hyperlink ref="C23" location="'6. Análisis Químico Cabeza'!A1" display="6. Análisis Químico Cabeza" xr:uid="{593E00C5-5083-42E8-84BE-F1E1776B1585}"/>
    <hyperlink ref="C24" location="'7. Mineralogía Modal Comp'!A1" display="7. Mineralogía Modal Compósito" xr:uid="{A66FD946-5612-43DB-ABA3-EB2069852CFB}"/>
    <hyperlink ref="C20" location="'4. SKT Mineral actual y futuro '!A1" display="4. SKT Mineral actual y futuro " xr:uid="{4F6DB8C2-8141-4A52-BC53-30DC815A991F}"/>
    <hyperlink ref="C22" location="'5. Análisis Granulométrico'!A1" display="5. Análisis Granulométrico" xr:uid="{9C9EE952-89C6-4B6B-84D5-8CA43274F396}"/>
    <hyperlink ref="C29" location="'12. Circuitos'!A1" display="12. Circuitos" xr:uid="{A937A7AD-D5CC-49B5-BD14-DD513A54238C}"/>
    <hyperlink ref="C30" location="'13. Pilotaje Rougher'!A1" display="13. Pilotaje Rougher" xr:uid="{8B0EFF17-8C59-4F4F-881C-1360197E555F}"/>
    <hyperlink ref="C36" location="'16.1 Jms - PR - T. Desgaste'!A1" display="16.1 Jameson Pre Rougher - Test de Desgaste" xr:uid="{ECE7AEDB-7C83-46C6-AF22-13132DD6436E}"/>
    <hyperlink ref="C37" location="'17. Jms - Ro-SCV'!A1" display="17. Jameson Relave Rougher" xr:uid="{D0FD549E-A9D4-4236-907D-4FEF12900B59}"/>
    <hyperlink ref="C38" location="'17.1 Jms - Ro-SCV - T. Desgaste'!A1" display="17.1 Jameson Relave Rougher - Test de Desgaste" xr:uid="{BD48FD8C-BFA1-4FEB-AB7A-A0806A8DD498}"/>
    <hyperlink ref="C41" location="'21. QAQC Test Dilución'!A1" display="21. QAQC Test Dilución" xr:uid="{19B3E1AA-2A29-49BB-B1E0-9CD67C36E9A4}"/>
    <hyperlink ref="C27" location="'10. Test Ciclo Abierto'!A1" display="10. Test Cliclo Abierto" xr:uid="{DF45E03D-C38F-4BB1-A02C-1C305A321823}"/>
    <hyperlink ref="C21" location="'4.1 SKT Ro y Cleaner compósito'!A1" display="4.1 SKT Ro y Cleaner compósito" xr:uid="{A6941D7B-394D-4BE6-B8AA-15F475ABC213}"/>
    <hyperlink ref="C31" location="'14. Cinética Rougher'!A1" display="14. Cinética Rougher" xr:uid="{32291C27-B1EC-4900-B5AC-BED052F3D37D}"/>
    <hyperlink ref="C33" location="'16. Pilotaje Cleaner'!A1" display="16. Circuito Cleaner" xr:uid="{7D6E1EB6-A47F-4419-9C01-8EB7A96B5C67}"/>
    <hyperlink ref="C32" location="'15. Remolienda'!A1" display="15. Remolienda" xr:uid="{E798F115-2169-45F6-8733-B4E9F1A6960D}"/>
    <hyperlink ref="C34" location="'16.1 Cinéticas Cleaner'!A1" display="16.1 Cinética Cleaner" xr:uid="{D464CD8D-8CBB-4779-995C-DDF18E67CA2D}"/>
    <hyperlink ref="C35" location="'16. Jms - Pre Rougher'!A1" display="16. Jameson Pre Rougher" xr:uid="{3D54349A-717D-4D37-A8CB-CE5CF02D5688}"/>
    <hyperlink ref="C39" location="'19. Jms - Pre-Cle'!A1" display="19. Jameson Scalper Cleaner" xr:uid="{D22EC72A-BCA9-4FD2-A2D6-9AD55D5AFAF9}"/>
    <hyperlink ref="C40" location="'20. Jms - Pre-Cle-SCV'!A1" display="20. Jameson Scalper Scavenger" xr:uid="{1BF873A2-31BB-40E2-B6E6-99007B4C9027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55806-DF64-49F8-A2EA-9B10859F9179}">
  <sheetPr codeName="Hoja2"/>
  <dimension ref="B3:I10"/>
  <sheetViews>
    <sheetView workbookViewId="0"/>
  </sheetViews>
  <sheetFormatPr baseColWidth="10" defaultColWidth="10.7265625" defaultRowHeight="14.5"/>
  <cols>
    <col min="1" max="3" width="10.7265625" style="4"/>
    <col min="4" max="4" width="14.7265625" style="4" bestFit="1" customWidth="1"/>
    <col min="5" max="5" width="15.26953125" style="4" customWidth="1"/>
    <col min="6" max="6" width="12.26953125" style="4" bestFit="1" customWidth="1"/>
    <col min="7" max="8" width="10.7265625" style="4"/>
    <col min="9" max="9" width="32.7265625" style="4" bestFit="1" customWidth="1"/>
    <col min="10" max="16384" width="10.7265625" style="4"/>
  </cols>
  <sheetData>
    <row r="3" spans="2:9" ht="24">
      <c r="B3" s="156" t="s">
        <v>93</v>
      </c>
      <c r="C3" s="157" t="s">
        <v>94</v>
      </c>
      <c r="D3" s="157" t="s">
        <v>95</v>
      </c>
      <c r="E3" s="157" t="s">
        <v>289</v>
      </c>
      <c r="F3" s="157" t="s">
        <v>290</v>
      </c>
      <c r="G3" s="157" t="s">
        <v>28</v>
      </c>
    </row>
    <row r="4" spans="2:9">
      <c r="B4" s="155" t="s">
        <v>96</v>
      </c>
      <c r="C4" s="107">
        <v>1</v>
      </c>
      <c r="D4" s="1286">
        <v>0.43</v>
      </c>
      <c r="E4" s="1290">
        <v>0.5</v>
      </c>
      <c r="F4" s="1292">
        <v>50</v>
      </c>
      <c r="G4" s="1288">
        <f>'6. Análisis Químico Cabeza'!$D$10</f>
        <v>0.64</v>
      </c>
      <c r="I4" s="104" t="s">
        <v>398</v>
      </c>
    </row>
    <row r="5" spans="2:9">
      <c r="B5" s="155" t="s">
        <v>98</v>
      </c>
      <c r="C5" s="107">
        <v>2</v>
      </c>
      <c r="D5" s="1287"/>
      <c r="E5" s="1291"/>
      <c r="F5" s="1293"/>
      <c r="G5" s="1289"/>
    </row>
    <row r="6" spans="2:9">
      <c r="B6" s="155" t="s">
        <v>97</v>
      </c>
      <c r="C6" s="107">
        <v>2</v>
      </c>
      <c r="D6" s="108">
        <v>0.42</v>
      </c>
      <c r="E6" s="109">
        <v>0.29199999999999998</v>
      </c>
      <c r="F6" s="107">
        <v>29.2</v>
      </c>
      <c r="G6" s="107">
        <v>0.85</v>
      </c>
    </row>
    <row r="7" spans="2:9">
      <c r="B7" s="155" t="s">
        <v>99</v>
      </c>
      <c r="C7" s="107">
        <v>5</v>
      </c>
      <c r="D7" s="108">
        <v>0.15</v>
      </c>
      <c r="E7" s="109">
        <v>0.20799999999999999</v>
      </c>
      <c r="F7" s="107">
        <v>20.8</v>
      </c>
      <c r="G7" s="107">
        <v>0.43</v>
      </c>
    </row>
    <row r="8" spans="2:9">
      <c r="F8" s="4" t="s">
        <v>305</v>
      </c>
      <c r="G8" s="105">
        <f>+SUMPRODUCT(D4:D7,G4:G7)</f>
        <v>0.69669999999999999</v>
      </c>
    </row>
    <row r="9" spans="2:9">
      <c r="F9" s="4" t="s">
        <v>306</v>
      </c>
      <c r="G9" s="93">
        <f>'6. Análisis Químico Cabeza'!$D$7</f>
        <v>0.66</v>
      </c>
    </row>
    <row r="10" spans="2:9">
      <c r="F10" s="4" t="s">
        <v>51</v>
      </c>
      <c r="G10" s="106">
        <f>(G9-G8)/G9</f>
        <v>-5.5606060606060534E-2</v>
      </c>
    </row>
  </sheetData>
  <mergeCells count="4">
    <mergeCell ref="D4:D5"/>
    <mergeCell ref="G4:G5"/>
    <mergeCell ref="E4:E5"/>
    <mergeCell ref="F4:F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5612F-1AC3-4B6C-9240-4B85B2F785EA}">
  <sheetPr codeName="Hoja3"/>
  <dimension ref="B2:V27"/>
  <sheetViews>
    <sheetView workbookViewId="0"/>
  </sheetViews>
  <sheetFormatPr baseColWidth="10" defaultColWidth="10.7265625" defaultRowHeight="14.5"/>
  <cols>
    <col min="1" max="4" width="10.7265625" style="4"/>
    <col min="5" max="5" width="12.26953125" style="4" customWidth="1"/>
    <col min="6" max="6" width="10.7265625" style="4" bestFit="1" customWidth="1"/>
    <col min="7" max="8" width="10.7265625" style="4"/>
    <col min="9" max="9" width="12.26953125" style="4" bestFit="1" customWidth="1"/>
    <col min="10" max="14" width="10.7265625" style="4"/>
    <col min="15" max="16" width="13.54296875" style="4" bestFit="1" customWidth="1"/>
    <col min="17" max="18" width="10.7265625" style="4"/>
    <col min="19" max="19" width="12.453125" style="4" bestFit="1" customWidth="1"/>
    <col min="20" max="16384" width="10.7265625" style="4"/>
  </cols>
  <sheetData>
    <row r="2" spans="2:17">
      <c r="B2" s="1029"/>
      <c r="C2" s="1030"/>
      <c r="D2" s="1030"/>
      <c r="E2" s="1030"/>
      <c r="F2" s="1030"/>
      <c r="G2" s="1030"/>
      <c r="H2" s="1030"/>
      <c r="I2" s="1031"/>
      <c r="N2" s="158"/>
      <c r="O2" s="158"/>
    </row>
    <row r="3" spans="2:17">
      <c r="B3" s="1304" t="s">
        <v>140</v>
      </c>
      <c r="C3" s="1305"/>
      <c r="D3" s="1305"/>
      <c r="E3" s="1305"/>
      <c r="F3" s="1305"/>
      <c r="G3" s="1305"/>
      <c r="H3" s="1305"/>
      <c r="I3" s="1306"/>
      <c r="N3" s="158"/>
      <c r="O3" s="158"/>
    </row>
    <row r="4" spans="2:17">
      <c r="B4" s="1024"/>
      <c r="C4" s="1015"/>
      <c r="D4" s="1015"/>
      <c r="E4" s="1015"/>
      <c r="F4" s="1015"/>
      <c r="G4" s="1015"/>
      <c r="H4" s="1015"/>
      <c r="I4" s="1025"/>
      <c r="N4" s="158"/>
      <c r="O4" s="158"/>
    </row>
    <row r="5" spans="2:17">
      <c r="B5" s="1296" t="s">
        <v>65</v>
      </c>
      <c r="C5" s="1297"/>
      <c r="D5" s="1298"/>
      <c r="E5" s="1301" t="s">
        <v>141</v>
      </c>
      <c r="F5" s="1302"/>
      <c r="G5" s="1302"/>
      <c r="H5" s="1302"/>
      <c r="I5" s="1303"/>
      <c r="N5" s="158"/>
      <c r="O5" s="158"/>
    </row>
    <row r="6" spans="2:17">
      <c r="B6" s="1304"/>
      <c r="C6" s="1305"/>
      <c r="D6" s="1306"/>
      <c r="E6" s="1024" t="s">
        <v>29</v>
      </c>
      <c r="F6" s="1297" t="s">
        <v>142</v>
      </c>
      <c r="G6" s="1297" t="s">
        <v>143</v>
      </c>
      <c r="H6" s="1015" t="s">
        <v>144</v>
      </c>
      <c r="I6" s="1025" t="s">
        <v>145</v>
      </c>
      <c r="K6" s="1296" t="s">
        <v>267</v>
      </c>
      <c r="L6" s="1297"/>
      <c r="M6" s="1297"/>
      <c r="N6" s="1297"/>
      <c r="O6" s="1297"/>
      <c r="P6" s="1298"/>
    </row>
    <row r="7" spans="2:17" ht="16.5">
      <c r="B7" s="1307"/>
      <c r="C7" s="1308"/>
      <c r="D7" s="1309"/>
      <c r="E7" s="1026" t="s">
        <v>928</v>
      </c>
      <c r="F7" s="1308"/>
      <c r="G7" s="1308"/>
      <c r="H7" s="1027" t="s">
        <v>928</v>
      </c>
      <c r="I7" s="1028" t="s">
        <v>31</v>
      </c>
      <c r="K7" s="1024" t="s">
        <v>65</v>
      </c>
      <c r="L7" s="1015" t="s">
        <v>929</v>
      </c>
      <c r="M7" s="1015" t="s">
        <v>143</v>
      </c>
      <c r="N7" s="1015" t="s">
        <v>930</v>
      </c>
      <c r="O7" s="1015" t="s">
        <v>931</v>
      </c>
      <c r="P7" s="1025" t="s">
        <v>266</v>
      </c>
    </row>
    <row r="8" spans="2:17">
      <c r="B8" s="159"/>
      <c r="C8" s="158"/>
      <c r="D8" s="160"/>
      <c r="E8" s="1032"/>
      <c r="F8" s="1033"/>
      <c r="G8" s="1033"/>
      <c r="H8" s="1033"/>
      <c r="I8" s="1034"/>
      <c r="K8" s="80" t="s">
        <v>262</v>
      </c>
      <c r="L8" s="68">
        <v>72</v>
      </c>
      <c r="M8" s="68">
        <v>1</v>
      </c>
      <c r="N8" s="68">
        <v>6</v>
      </c>
      <c r="O8" s="68">
        <f>+N8*M8*L8</f>
        <v>432</v>
      </c>
      <c r="P8" s="1299">
        <f>+O10/$O$8*100</f>
        <v>37.962962962962962</v>
      </c>
    </row>
    <row r="9" spans="2:17">
      <c r="B9" s="159" t="s">
        <v>146</v>
      </c>
      <c r="C9" s="158"/>
      <c r="D9" s="160"/>
      <c r="E9" s="167">
        <v>300</v>
      </c>
      <c r="F9" s="1035">
        <v>7</v>
      </c>
      <c r="G9" s="1035">
        <v>7</v>
      </c>
      <c r="H9" s="68">
        <f>E9*F9*G9</f>
        <v>14700</v>
      </c>
      <c r="I9" s="160"/>
      <c r="K9" s="80" t="s">
        <v>263</v>
      </c>
      <c r="L9" s="68">
        <v>24.3</v>
      </c>
      <c r="M9" s="68">
        <v>1</v>
      </c>
      <c r="N9" s="68">
        <v>1</v>
      </c>
      <c r="O9" s="68">
        <f>+N9*M9*L9</f>
        <v>24.3</v>
      </c>
      <c r="P9" s="1299"/>
    </row>
    <row r="10" spans="2:17">
      <c r="B10" s="164" t="s">
        <v>147</v>
      </c>
      <c r="C10" s="165"/>
      <c r="D10" s="166"/>
      <c r="E10" s="1294" t="s">
        <v>148</v>
      </c>
      <c r="F10" s="1295"/>
      <c r="G10" s="1295"/>
      <c r="H10" s="1036">
        <f>213.1*6*1</f>
        <v>1278.5999999999999</v>
      </c>
      <c r="I10" s="168"/>
      <c r="K10" s="80" t="s">
        <v>264</v>
      </c>
      <c r="L10" s="68">
        <v>41</v>
      </c>
      <c r="M10" s="68">
        <v>1</v>
      </c>
      <c r="N10" s="68">
        <v>4</v>
      </c>
      <c r="O10" s="68">
        <f>+N10*M10*L10</f>
        <v>164</v>
      </c>
      <c r="P10" s="1299"/>
    </row>
    <row r="11" spans="2:17">
      <c r="B11" s="159" t="s">
        <v>149</v>
      </c>
      <c r="C11" s="158"/>
      <c r="D11" s="160"/>
      <c r="E11" s="167">
        <v>300</v>
      </c>
      <c r="F11" s="1035">
        <v>7</v>
      </c>
      <c r="G11" s="1035">
        <v>3</v>
      </c>
      <c r="H11" s="68">
        <f>E11*F11*G11</f>
        <v>6300</v>
      </c>
      <c r="I11" s="168">
        <f>H11/$H$9*100</f>
        <v>42.857142857142854</v>
      </c>
      <c r="K11" s="82" t="s">
        <v>265</v>
      </c>
      <c r="L11" s="1037">
        <v>13.7</v>
      </c>
      <c r="M11" s="1037">
        <v>1</v>
      </c>
      <c r="N11" s="1037">
        <v>1</v>
      </c>
      <c r="O11" s="1037">
        <f>+N11*M11*L11</f>
        <v>13.7</v>
      </c>
      <c r="P11" s="1300"/>
    </row>
    <row r="12" spans="2:17">
      <c r="B12" s="164" t="s">
        <v>150</v>
      </c>
      <c r="C12" s="165"/>
      <c r="D12" s="166"/>
      <c r="E12" s="1294" t="s">
        <v>151</v>
      </c>
      <c r="F12" s="1295"/>
      <c r="G12" s="1295"/>
      <c r="H12" s="1036">
        <f>213.1*6*1</f>
        <v>1278.5999999999999</v>
      </c>
      <c r="I12" s="168"/>
    </row>
    <row r="13" spans="2:17">
      <c r="B13" s="161"/>
      <c r="C13" s="162"/>
      <c r="D13" s="163"/>
      <c r="E13" s="82"/>
      <c r="F13" s="1037"/>
      <c r="G13" s="1037"/>
      <c r="H13" s="1037"/>
      <c r="I13" s="1038"/>
    </row>
    <row r="14" spans="2:17">
      <c r="B14" s="158"/>
      <c r="C14" s="158"/>
      <c r="D14" s="158"/>
      <c r="E14" s="68" t="s">
        <v>152</v>
      </c>
      <c r="F14" s="68"/>
      <c r="G14" s="68"/>
      <c r="H14" s="68"/>
      <c r="I14" s="158"/>
      <c r="N14" s="158"/>
      <c r="O14" s="158"/>
      <c r="Q14" s="110"/>
    </row>
    <row r="15" spans="2:17">
      <c r="B15" s="158"/>
      <c r="C15" s="158"/>
      <c r="D15" s="158"/>
      <c r="E15" s="68"/>
      <c r="F15" s="68"/>
      <c r="G15" s="68"/>
      <c r="H15" s="68"/>
      <c r="I15" s="158"/>
      <c r="J15" s="158"/>
      <c r="K15" s="158"/>
      <c r="L15" s="158"/>
      <c r="M15" s="158"/>
      <c r="N15" s="158"/>
      <c r="O15" s="158"/>
    </row>
    <row r="16" spans="2:17">
      <c r="B16" s="158"/>
      <c r="C16" s="158"/>
      <c r="D16" s="158"/>
      <c r="E16" s="68"/>
      <c r="F16" s="68"/>
      <c r="G16" s="68"/>
      <c r="H16" s="158"/>
      <c r="I16" s="69" t="s">
        <v>145</v>
      </c>
      <c r="J16" s="159" t="s">
        <v>153</v>
      </c>
      <c r="K16" s="158"/>
      <c r="L16" s="158"/>
      <c r="M16" s="158"/>
      <c r="N16" s="158"/>
      <c r="O16" s="158"/>
    </row>
    <row r="17" spans="2:22">
      <c r="B17" s="158"/>
      <c r="C17" s="158"/>
      <c r="D17" s="158"/>
      <c r="E17" s="68"/>
      <c r="F17" s="68"/>
      <c r="G17" s="68"/>
      <c r="H17" s="158"/>
      <c r="I17" s="75" t="s">
        <v>31</v>
      </c>
      <c r="J17" s="170" t="s">
        <v>254</v>
      </c>
      <c r="K17" s="158"/>
      <c r="L17" s="158"/>
      <c r="N17" s="158"/>
      <c r="O17" s="158"/>
    </row>
    <row r="25" spans="2:22">
      <c r="U25" s="4">
        <f>3.14*(0.0508^2)*3</f>
        <v>2.4309628799999997E-2</v>
      </c>
      <c r="V25" s="4" t="s">
        <v>268</v>
      </c>
    </row>
    <row r="27" spans="2:22">
      <c r="U27" s="4">
        <f>3.14*((0.0254*1.5)^2)*3</f>
        <v>1.3674166199999997E-2</v>
      </c>
      <c r="V27" s="4" t="s">
        <v>268</v>
      </c>
    </row>
  </sheetData>
  <mergeCells count="9">
    <mergeCell ref="E12:G12"/>
    <mergeCell ref="K6:P6"/>
    <mergeCell ref="P8:P11"/>
    <mergeCell ref="E5:I5"/>
    <mergeCell ref="B3:I3"/>
    <mergeCell ref="B5:D7"/>
    <mergeCell ref="F6:F7"/>
    <mergeCell ref="G6:G7"/>
    <mergeCell ref="E10:G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8E888-E502-42F2-A7DD-2BC734F30B93}">
  <sheetPr codeName="Hoja4"/>
  <dimension ref="B1:G130"/>
  <sheetViews>
    <sheetView workbookViewId="0"/>
  </sheetViews>
  <sheetFormatPr baseColWidth="10" defaultColWidth="10.7265625" defaultRowHeight="14.5"/>
  <cols>
    <col min="1" max="4" width="10.7265625" style="4"/>
    <col min="5" max="5" width="16.54296875" style="4" customWidth="1"/>
    <col min="6" max="6" width="10.7265625" style="4"/>
    <col min="7" max="7" width="14.453125" style="4" bestFit="1" customWidth="1"/>
    <col min="8" max="16384" width="10.7265625" style="4"/>
  </cols>
  <sheetData>
    <row r="1" spans="2:7" ht="16">
      <c r="B1" s="3" t="s">
        <v>201</v>
      </c>
    </row>
    <row r="3" spans="2:7" ht="16">
      <c r="B3" s="171" t="s">
        <v>154</v>
      </c>
      <c r="C3" s="172"/>
      <c r="D3" s="175" t="s">
        <v>155</v>
      </c>
      <c r="E3" s="173" t="s">
        <v>416</v>
      </c>
      <c r="F3" s="174">
        <v>10</v>
      </c>
      <c r="G3" s="175" t="s">
        <v>156</v>
      </c>
    </row>
    <row r="4" spans="2:7">
      <c r="B4" s="5"/>
      <c r="C4" s="5"/>
      <c r="D4" s="5"/>
      <c r="E4" s="5"/>
      <c r="F4" s="5"/>
      <c r="G4" s="5"/>
    </row>
    <row r="5" spans="2:7">
      <c r="B5" s="52" t="s">
        <v>62</v>
      </c>
      <c r="C5" s="52" t="s">
        <v>417</v>
      </c>
      <c r="D5" s="52" t="s">
        <v>33</v>
      </c>
      <c r="E5" s="52" t="s">
        <v>418</v>
      </c>
      <c r="F5" s="52" t="s">
        <v>417</v>
      </c>
      <c r="G5" s="52" t="s">
        <v>158</v>
      </c>
    </row>
    <row r="6" spans="2:7">
      <c r="B6" s="53" t="s">
        <v>159</v>
      </c>
      <c r="C6" s="53" t="s">
        <v>160</v>
      </c>
      <c r="D6" s="53" t="s">
        <v>161</v>
      </c>
      <c r="E6" s="64" t="s">
        <v>54</v>
      </c>
      <c r="F6" s="64" t="s">
        <v>54</v>
      </c>
      <c r="G6" s="64" t="s">
        <v>54</v>
      </c>
    </row>
    <row r="7" spans="2:7">
      <c r="B7" s="57">
        <v>16</v>
      </c>
      <c r="C7" s="54">
        <v>1180</v>
      </c>
      <c r="D7" s="62">
        <v>0</v>
      </c>
      <c r="E7" s="65">
        <v>0</v>
      </c>
      <c r="F7" s="65">
        <v>100.00000000000001</v>
      </c>
      <c r="G7" s="65">
        <v>100</v>
      </c>
    </row>
    <row r="8" spans="2:7">
      <c r="B8" s="58">
        <v>20</v>
      </c>
      <c r="C8" s="55">
        <v>850</v>
      </c>
      <c r="D8" s="63">
        <v>0</v>
      </c>
      <c r="E8" s="66">
        <v>0</v>
      </c>
      <c r="F8" s="66">
        <v>100.00000000000001</v>
      </c>
      <c r="G8" s="66">
        <v>100</v>
      </c>
    </row>
    <row r="9" spans="2:7">
      <c r="B9" s="58">
        <v>30</v>
      </c>
      <c r="C9" s="55">
        <v>600</v>
      </c>
      <c r="D9" s="63">
        <v>1</v>
      </c>
      <c r="E9" s="66">
        <v>0.4133939644481191</v>
      </c>
      <c r="F9" s="66">
        <v>99.586606035551895</v>
      </c>
      <c r="G9" s="66">
        <v>100</v>
      </c>
    </row>
    <row r="10" spans="2:7">
      <c r="B10" s="58">
        <v>40</v>
      </c>
      <c r="C10" s="55">
        <v>425</v>
      </c>
      <c r="D10" s="63">
        <v>6.4</v>
      </c>
      <c r="E10" s="66">
        <v>2.6457213724679622</v>
      </c>
      <c r="F10" s="66">
        <v>96.940884663083935</v>
      </c>
      <c r="G10" s="66">
        <v>98.216289909213089</v>
      </c>
    </row>
    <row r="11" spans="2:7">
      <c r="B11" s="58">
        <v>50</v>
      </c>
      <c r="C11" s="55">
        <v>300</v>
      </c>
      <c r="D11" s="63">
        <v>17.7</v>
      </c>
      <c r="E11" s="66">
        <v>7.3170731707317085</v>
      </c>
      <c r="F11" s="66">
        <v>89.623811492352232</v>
      </c>
      <c r="G11" s="66">
        <v>88.392635405380034</v>
      </c>
    </row>
    <row r="12" spans="2:7">
      <c r="B12" s="58">
        <v>70</v>
      </c>
      <c r="C12" s="55">
        <v>212</v>
      </c>
      <c r="D12" s="63">
        <v>28.9</v>
      </c>
      <c r="E12" s="66">
        <v>11.947085572550641</v>
      </c>
      <c r="F12" s="66">
        <v>77.676725919801584</v>
      </c>
      <c r="G12" s="66">
        <v>76.664454531663978</v>
      </c>
    </row>
    <row r="13" spans="2:7">
      <c r="B13" s="58">
        <v>100</v>
      </c>
      <c r="C13" s="55">
        <v>150</v>
      </c>
      <c r="D13" s="63">
        <v>33</v>
      </c>
      <c r="E13" s="66">
        <v>13.642000826787932</v>
      </c>
      <c r="F13" s="66">
        <v>64.034725093013648</v>
      </c>
      <c r="G13" s="66">
        <v>65.668972916917184</v>
      </c>
    </row>
    <row r="14" spans="2:7">
      <c r="B14" s="58">
        <v>140</v>
      </c>
      <c r="C14" s="55">
        <v>106</v>
      </c>
      <c r="D14" s="63">
        <v>20.399999999999999</v>
      </c>
      <c r="E14" s="66">
        <v>8.4332368747416293</v>
      </c>
      <c r="F14" s="66">
        <v>55.601488218272017</v>
      </c>
      <c r="G14" s="66">
        <v>56.140271869695432</v>
      </c>
    </row>
    <row r="15" spans="2:7">
      <c r="B15" s="58">
        <v>200</v>
      </c>
      <c r="C15" s="55">
        <v>75</v>
      </c>
      <c r="D15" s="63">
        <v>18.600000000000001</v>
      </c>
      <c r="E15" s="66">
        <v>7.6891277387350163</v>
      </c>
      <c r="F15" s="66">
        <v>47.912360479537</v>
      </c>
      <c r="G15" s="66">
        <v>48.225284665198544</v>
      </c>
    </row>
    <row r="16" spans="2:7">
      <c r="B16" s="58">
        <v>270</v>
      </c>
      <c r="C16" s="55">
        <v>53</v>
      </c>
      <c r="D16" s="63">
        <v>13.7</v>
      </c>
      <c r="E16" s="66">
        <v>5.6634973129392314</v>
      </c>
      <c r="F16" s="66">
        <v>42.248863166597772</v>
      </c>
      <c r="G16" s="66">
        <v>41.686560052113819</v>
      </c>
    </row>
    <row r="17" spans="2:7">
      <c r="B17" s="58">
        <v>325</v>
      </c>
      <c r="C17" s="55">
        <v>45</v>
      </c>
      <c r="D17" s="63">
        <v>6.2</v>
      </c>
      <c r="E17" s="66">
        <v>2.5630425795783385</v>
      </c>
      <c r="F17" s="66">
        <v>39.685820587019435</v>
      </c>
      <c r="G17" s="66">
        <v>39.024153341118947</v>
      </c>
    </row>
    <row r="18" spans="2:7">
      <c r="B18" s="58">
        <v>-325</v>
      </c>
      <c r="C18" s="55">
        <v>0</v>
      </c>
      <c r="D18" s="63">
        <v>96</v>
      </c>
      <c r="E18" s="67">
        <v>39.685820587019435</v>
      </c>
      <c r="F18" s="67">
        <v>0</v>
      </c>
      <c r="G18" s="67">
        <v>0</v>
      </c>
    </row>
    <row r="19" spans="2:7">
      <c r="B19" s="50" t="s">
        <v>30</v>
      </c>
      <c r="C19" s="50"/>
      <c r="D19" s="51">
        <v>241.89999999999998</v>
      </c>
      <c r="E19" s="51">
        <v>100.00000000000001</v>
      </c>
      <c r="F19" s="51"/>
      <c r="G19" s="51"/>
    </row>
    <row r="20" spans="2:7">
      <c r="B20" s="5"/>
      <c r="C20" s="5"/>
      <c r="D20" s="6"/>
      <c r="E20" s="5"/>
      <c r="F20" s="5"/>
      <c r="G20" s="5"/>
    </row>
    <row r="21" spans="2:7">
      <c r="B21" s="5"/>
      <c r="C21" s="5"/>
      <c r="D21" s="5"/>
      <c r="E21" s="5"/>
      <c r="F21" s="7" t="s">
        <v>162</v>
      </c>
      <c r="G21" s="8">
        <v>486.63326799559292</v>
      </c>
    </row>
    <row r="22" spans="2:7">
      <c r="B22" s="5"/>
      <c r="C22" s="5"/>
      <c r="D22" s="5"/>
      <c r="E22" s="5"/>
      <c r="F22" s="7" t="s">
        <v>163</v>
      </c>
      <c r="G22" s="8">
        <v>234.02928030667971</v>
      </c>
    </row>
    <row r="23" spans="2:7">
      <c r="B23" s="5"/>
      <c r="C23" s="5"/>
      <c r="D23" s="5"/>
      <c r="E23" s="5"/>
      <c r="F23" s="7" t="s">
        <v>164</v>
      </c>
      <c r="G23" s="8">
        <v>81.534836155621875</v>
      </c>
    </row>
    <row r="26" spans="2:7" ht="16">
      <c r="B26" s="171" t="s">
        <v>165</v>
      </c>
      <c r="C26" s="172"/>
      <c r="D26" s="175" t="s">
        <v>166</v>
      </c>
      <c r="E26" s="173" t="s">
        <v>416</v>
      </c>
      <c r="F26" s="174">
        <v>20</v>
      </c>
      <c r="G26" s="175" t="s">
        <v>156</v>
      </c>
    </row>
    <row r="27" spans="2:7">
      <c r="B27" s="5"/>
      <c r="C27" s="5"/>
      <c r="D27" s="5"/>
      <c r="E27" s="5"/>
      <c r="F27" s="5"/>
      <c r="G27" s="5"/>
    </row>
    <row r="28" spans="2:7">
      <c r="B28" s="52" t="s">
        <v>62</v>
      </c>
      <c r="C28" s="52" t="s">
        <v>417</v>
      </c>
      <c r="D28" s="52" t="s">
        <v>33</v>
      </c>
      <c r="E28" s="52" t="s">
        <v>418</v>
      </c>
      <c r="F28" s="52" t="s">
        <v>157</v>
      </c>
      <c r="G28" s="52" t="s">
        <v>158</v>
      </c>
    </row>
    <row r="29" spans="2:7">
      <c r="B29" s="53" t="s">
        <v>159</v>
      </c>
      <c r="C29" s="53" t="s">
        <v>167</v>
      </c>
      <c r="D29" s="53" t="s">
        <v>168</v>
      </c>
      <c r="E29" s="53" t="s">
        <v>27</v>
      </c>
      <c r="F29" s="53" t="s">
        <v>27</v>
      </c>
      <c r="G29" s="53" t="s">
        <v>27</v>
      </c>
    </row>
    <row r="30" spans="2:7">
      <c r="B30" s="54">
        <v>16</v>
      </c>
      <c r="C30" s="54">
        <v>1180</v>
      </c>
      <c r="D30" s="59">
        <v>0</v>
      </c>
      <c r="E30" s="65">
        <v>0</v>
      </c>
      <c r="F30" s="65">
        <v>100</v>
      </c>
      <c r="G30" s="65">
        <v>100</v>
      </c>
    </row>
    <row r="31" spans="2:7">
      <c r="B31" s="55">
        <v>20</v>
      </c>
      <c r="C31" s="55">
        <v>850</v>
      </c>
      <c r="D31" s="60">
        <v>0</v>
      </c>
      <c r="E31" s="66">
        <v>0</v>
      </c>
      <c r="F31" s="66">
        <v>100</v>
      </c>
      <c r="G31" s="66">
        <v>100</v>
      </c>
    </row>
    <row r="32" spans="2:7">
      <c r="B32" s="55">
        <v>30</v>
      </c>
      <c r="C32" s="55">
        <v>600</v>
      </c>
      <c r="D32" s="60">
        <v>0</v>
      </c>
      <c r="E32" s="66">
        <v>0</v>
      </c>
      <c r="F32" s="66">
        <v>100</v>
      </c>
      <c r="G32" s="66">
        <v>100</v>
      </c>
    </row>
    <row r="33" spans="2:7">
      <c r="B33" s="55">
        <v>40</v>
      </c>
      <c r="C33" s="55">
        <v>425</v>
      </c>
      <c r="D33" s="60">
        <v>0</v>
      </c>
      <c r="E33" s="66">
        <v>0</v>
      </c>
      <c r="F33" s="66">
        <v>100</v>
      </c>
      <c r="G33" s="66">
        <v>100</v>
      </c>
    </row>
    <row r="34" spans="2:7">
      <c r="B34" s="55">
        <v>50</v>
      </c>
      <c r="C34" s="55">
        <v>300</v>
      </c>
      <c r="D34" s="60">
        <v>0.7</v>
      </c>
      <c r="E34" s="66">
        <v>0.28782894736842102</v>
      </c>
      <c r="F34" s="66">
        <v>99.712171052631575</v>
      </c>
      <c r="G34" s="66">
        <v>100</v>
      </c>
    </row>
    <row r="35" spans="2:7">
      <c r="B35" s="55">
        <v>70</v>
      </c>
      <c r="C35" s="55">
        <v>212</v>
      </c>
      <c r="D35" s="60">
        <v>3.6</v>
      </c>
      <c r="E35" s="66">
        <v>1.4802631578947369</v>
      </c>
      <c r="F35" s="66">
        <v>98.231907894736835</v>
      </c>
      <c r="G35" s="66">
        <v>99.125840973194485</v>
      </c>
    </row>
    <row r="36" spans="2:7">
      <c r="B36" s="55">
        <v>100</v>
      </c>
      <c r="C36" s="55">
        <v>150</v>
      </c>
      <c r="D36" s="60">
        <v>21.8</v>
      </c>
      <c r="E36" s="66">
        <v>8.963815789473685</v>
      </c>
      <c r="F36" s="66">
        <v>89.26809210526315</v>
      </c>
      <c r="G36" s="66">
        <v>87.972330359276199</v>
      </c>
    </row>
    <row r="37" spans="2:7">
      <c r="B37" s="55">
        <v>140</v>
      </c>
      <c r="C37" s="55">
        <v>106</v>
      </c>
      <c r="D37" s="60">
        <v>36.299999999999997</v>
      </c>
      <c r="E37" s="66">
        <v>14.925986842105262</v>
      </c>
      <c r="F37" s="66">
        <v>74.34210526315789</v>
      </c>
      <c r="G37" s="66">
        <v>74.723177903986269</v>
      </c>
    </row>
    <row r="38" spans="2:7">
      <c r="B38" s="55">
        <v>200</v>
      </c>
      <c r="C38" s="55">
        <v>75</v>
      </c>
      <c r="D38" s="60">
        <v>31.1</v>
      </c>
      <c r="E38" s="66">
        <v>12.787828947368421</v>
      </c>
      <c r="F38" s="66">
        <v>61.554276315789465</v>
      </c>
      <c r="G38" s="66">
        <v>62.906411477339816</v>
      </c>
    </row>
    <row r="39" spans="2:7">
      <c r="B39" s="55">
        <v>270</v>
      </c>
      <c r="C39" s="55">
        <v>53</v>
      </c>
      <c r="D39" s="60">
        <v>19.5</v>
      </c>
      <c r="E39" s="66">
        <v>8.0180921052631575</v>
      </c>
      <c r="F39" s="66">
        <v>53.536184210526308</v>
      </c>
      <c r="G39" s="66">
        <v>53.098876335888157</v>
      </c>
    </row>
    <row r="40" spans="2:7">
      <c r="B40" s="55">
        <v>325</v>
      </c>
      <c r="C40" s="55">
        <v>45</v>
      </c>
      <c r="D40" s="60">
        <v>9.1999999999999993</v>
      </c>
      <c r="E40" s="66">
        <v>3.7828947368421053</v>
      </c>
      <c r="F40" s="66">
        <v>49.753289473684205</v>
      </c>
      <c r="G40" s="66">
        <v>49.156341901332709</v>
      </c>
    </row>
    <row r="41" spans="2:7">
      <c r="B41" s="56">
        <v>-325</v>
      </c>
      <c r="C41" s="56">
        <v>0</v>
      </c>
      <c r="D41" s="61">
        <v>121</v>
      </c>
      <c r="E41" s="67">
        <v>49.753289473684212</v>
      </c>
      <c r="F41" s="67">
        <v>-7.1054273576010019E-15</v>
      </c>
      <c r="G41" s="67">
        <v>0</v>
      </c>
    </row>
    <row r="42" spans="2:7">
      <c r="B42" s="50" t="s">
        <v>30</v>
      </c>
      <c r="C42" s="50"/>
      <c r="D42" s="51">
        <v>243.2</v>
      </c>
      <c r="E42" s="51">
        <v>100</v>
      </c>
      <c r="F42" s="51"/>
      <c r="G42" s="51"/>
    </row>
    <row r="43" spans="2:7">
      <c r="B43" s="5"/>
      <c r="C43" s="5"/>
      <c r="D43" s="5"/>
      <c r="E43" s="9"/>
      <c r="F43" s="5"/>
      <c r="G43" s="5"/>
    </row>
    <row r="44" spans="2:7">
      <c r="B44" s="5"/>
      <c r="C44" s="5"/>
      <c r="D44" s="5"/>
      <c r="E44" s="5"/>
      <c r="F44" s="7" t="s">
        <v>162</v>
      </c>
      <c r="G44" s="8">
        <v>226.02975913909347</v>
      </c>
    </row>
    <row r="45" spans="2:7">
      <c r="B45" s="5"/>
      <c r="C45" s="5"/>
      <c r="D45" s="5"/>
      <c r="E45" s="5"/>
      <c r="F45" s="7" t="s">
        <v>163</v>
      </c>
      <c r="G45" s="8">
        <v>121.95433362612498</v>
      </c>
    </row>
    <row r="46" spans="2:7">
      <c r="B46" s="5"/>
      <c r="C46" s="5"/>
      <c r="D46" s="5"/>
      <c r="E46" s="5"/>
      <c r="F46" s="7" t="s">
        <v>164</v>
      </c>
      <c r="G46" s="8">
        <v>46.671300672243731</v>
      </c>
    </row>
    <row r="49" spans="2:7" ht="16">
      <c r="B49" s="171" t="s">
        <v>169</v>
      </c>
      <c r="C49" s="171"/>
      <c r="D49" s="175" t="s">
        <v>170</v>
      </c>
      <c r="E49" s="173" t="s">
        <v>416</v>
      </c>
      <c r="F49" s="174">
        <v>30</v>
      </c>
      <c r="G49" s="175" t="s">
        <v>156</v>
      </c>
    </row>
    <row r="50" spans="2:7">
      <c r="B50" s="5"/>
      <c r="C50" s="5"/>
      <c r="D50" s="5"/>
      <c r="E50" s="5"/>
      <c r="F50" s="5"/>
      <c r="G50" s="5"/>
    </row>
    <row r="51" spans="2:7">
      <c r="B51" s="52" t="s">
        <v>62</v>
      </c>
      <c r="C51" s="52" t="s">
        <v>417</v>
      </c>
      <c r="D51" s="52" t="s">
        <v>33</v>
      </c>
      <c r="E51" s="52" t="s">
        <v>418</v>
      </c>
      <c r="F51" s="52" t="s">
        <v>157</v>
      </c>
      <c r="G51" s="52" t="s">
        <v>158</v>
      </c>
    </row>
    <row r="52" spans="2:7">
      <c r="B52" s="53" t="s">
        <v>159</v>
      </c>
      <c r="C52" s="53" t="s">
        <v>167</v>
      </c>
      <c r="D52" s="53" t="s">
        <v>168</v>
      </c>
      <c r="E52" s="53" t="s">
        <v>27</v>
      </c>
      <c r="F52" s="53" t="s">
        <v>27</v>
      </c>
      <c r="G52" s="53" t="s">
        <v>27</v>
      </c>
    </row>
    <row r="53" spans="2:7">
      <c r="B53" s="54">
        <v>16</v>
      </c>
      <c r="C53" s="54">
        <v>1180</v>
      </c>
      <c r="D53" s="59">
        <v>0</v>
      </c>
      <c r="E53" s="65">
        <v>0</v>
      </c>
      <c r="F53" s="65">
        <v>99.999999999999986</v>
      </c>
      <c r="G53" s="65">
        <v>100</v>
      </c>
    </row>
    <row r="54" spans="2:7">
      <c r="B54" s="55">
        <v>20</v>
      </c>
      <c r="C54" s="55">
        <v>850</v>
      </c>
      <c r="D54" s="60">
        <v>0</v>
      </c>
      <c r="E54" s="66">
        <v>0</v>
      </c>
      <c r="F54" s="66">
        <v>99.999999999999986</v>
      </c>
      <c r="G54" s="66">
        <v>100</v>
      </c>
    </row>
    <row r="55" spans="2:7">
      <c r="B55" s="55">
        <v>30</v>
      </c>
      <c r="C55" s="55">
        <v>600</v>
      </c>
      <c r="D55" s="60">
        <v>0</v>
      </c>
      <c r="E55" s="66">
        <v>0</v>
      </c>
      <c r="F55" s="66">
        <v>99.999999999999986</v>
      </c>
      <c r="G55" s="66">
        <v>100</v>
      </c>
    </row>
    <row r="56" spans="2:7">
      <c r="B56" s="55">
        <v>40</v>
      </c>
      <c r="C56" s="55">
        <v>425</v>
      </c>
      <c r="D56" s="60">
        <v>0</v>
      </c>
      <c r="E56" s="66">
        <v>0</v>
      </c>
      <c r="F56" s="66">
        <v>99.999999999999986</v>
      </c>
      <c r="G56" s="66">
        <v>100</v>
      </c>
    </row>
    <row r="57" spans="2:7">
      <c r="B57" s="55">
        <v>50</v>
      </c>
      <c r="C57" s="55">
        <v>300</v>
      </c>
      <c r="D57" s="60">
        <v>0</v>
      </c>
      <c r="E57" s="66">
        <v>0</v>
      </c>
      <c r="F57" s="66">
        <v>99.999999999999986</v>
      </c>
      <c r="G57" s="66">
        <v>100</v>
      </c>
    </row>
    <row r="58" spans="2:7">
      <c r="B58" s="55">
        <v>70</v>
      </c>
      <c r="C58" s="55">
        <v>212</v>
      </c>
      <c r="D58" s="60">
        <v>0</v>
      </c>
      <c r="E58" s="66">
        <v>0</v>
      </c>
      <c r="F58" s="66">
        <v>99.999999999999986</v>
      </c>
      <c r="G58" s="66">
        <v>100</v>
      </c>
    </row>
    <row r="59" spans="2:7">
      <c r="B59" s="55">
        <v>100</v>
      </c>
      <c r="C59" s="55">
        <v>150</v>
      </c>
      <c r="D59" s="60">
        <v>5.4</v>
      </c>
      <c r="E59" s="66">
        <v>2.2040816326530615</v>
      </c>
      <c r="F59" s="66">
        <v>97.795918367346928</v>
      </c>
      <c r="G59" s="66">
        <v>98.208607630719229</v>
      </c>
    </row>
    <row r="60" spans="2:7">
      <c r="B60" s="55">
        <v>140</v>
      </c>
      <c r="C60" s="55">
        <v>106</v>
      </c>
      <c r="D60" s="60">
        <v>28.4</v>
      </c>
      <c r="E60" s="66">
        <v>11.591836734693876</v>
      </c>
      <c r="F60" s="66">
        <v>86.204081632653057</v>
      </c>
      <c r="G60" s="66">
        <v>85.045040123044572</v>
      </c>
    </row>
    <row r="61" spans="2:7">
      <c r="B61" s="55">
        <v>200</v>
      </c>
      <c r="C61" s="55">
        <v>75</v>
      </c>
      <c r="D61" s="60">
        <v>38.799999999999997</v>
      </c>
      <c r="E61" s="66">
        <v>15.836734693877549</v>
      </c>
      <c r="F61" s="66">
        <v>70.367346938775512</v>
      </c>
      <c r="G61" s="66">
        <v>71.812991924342967</v>
      </c>
    </row>
    <row r="62" spans="2:7">
      <c r="B62" s="55">
        <v>270</v>
      </c>
      <c r="C62" s="55">
        <v>53</v>
      </c>
      <c r="D62" s="60">
        <v>23.3</v>
      </c>
      <c r="E62" s="66">
        <v>9.5102040816326525</v>
      </c>
      <c r="F62" s="66">
        <v>60.857142857142861</v>
      </c>
      <c r="G62" s="66">
        <v>60.661604421034724</v>
      </c>
    </row>
    <row r="63" spans="2:7">
      <c r="B63" s="55">
        <v>325</v>
      </c>
      <c r="C63" s="55">
        <v>45</v>
      </c>
      <c r="D63" s="60">
        <v>10.4</v>
      </c>
      <c r="E63" s="66">
        <v>4.2448979591836737</v>
      </c>
      <c r="F63" s="66">
        <v>56.612244897959187</v>
      </c>
      <c r="G63" s="66">
        <v>56.182438745964248</v>
      </c>
    </row>
    <row r="64" spans="2:7">
      <c r="B64" s="56">
        <v>-325</v>
      </c>
      <c r="C64" s="56">
        <v>0</v>
      </c>
      <c r="D64" s="61">
        <v>138.69999999999999</v>
      </c>
      <c r="E64" s="67">
        <v>56.612244897959172</v>
      </c>
      <c r="F64" s="67">
        <v>1.4210854715202004E-14</v>
      </c>
      <c r="G64" s="67">
        <v>0</v>
      </c>
    </row>
    <row r="65" spans="2:7">
      <c r="B65" s="50" t="s">
        <v>30</v>
      </c>
      <c r="C65" s="50"/>
      <c r="D65" s="51">
        <v>245</v>
      </c>
      <c r="E65" s="51">
        <v>99.999999999999986</v>
      </c>
      <c r="F65" s="51"/>
      <c r="G65" s="51"/>
    </row>
    <row r="66" spans="2:7">
      <c r="B66" s="5"/>
      <c r="C66" s="5"/>
      <c r="D66" s="5"/>
      <c r="E66" s="9"/>
      <c r="F66" s="5"/>
      <c r="G66" s="5"/>
    </row>
    <row r="67" spans="2:7">
      <c r="B67" s="5"/>
      <c r="C67" s="5"/>
      <c r="D67" s="5"/>
      <c r="E67" s="5"/>
      <c r="F67" s="7" t="s">
        <v>162</v>
      </c>
      <c r="G67" s="10">
        <v>162.51725857071364</v>
      </c>
    </row>
    <row r="68" spans="2:7">
      <c r="B68" s="5"/>
      <c r="C68" s="5"/>
      <c r="D68" s="5"/>
      <c r="E68" s="5"/>
      <c r="F68" s="7" t="s">
        <v>163</v>
      </c>
      <c r="G68" s="10">
        <v>93.3739997448005</v>
      </c>
    </row>
    <row r="69" spans="2:7">
      <c r="B69" s="5"/>
      <c r="C69" s="5"/>
      <c r="D69" s="5"/>
      <c r="E69" s="5"/>
      <c r="F69" s="7" t="s">
        <v>164</v>
      </c>
      <c r="G69" s="10">
        <v>34.739099793018205</v>
      </c>
    </row>
    <row r="73" spans="2:7">
      <c r="B73" s="172" t="s">
        <v>176</v>
      </c>
      <c r="C73" s="176"/>
      <c r="D73" s="176"/>
      <c r="E73" s="176"/>
      <c r="F73" s="177" t="s">
        <v>421</v>
      </c>
    </row>
    <row r="74" spans="2:7">
      <c r="B74" s="11" t="s">
        <v>419</v>
      </c>
      <c r="C74" s="12" t="s">
        <v>20</v>
      </c>
      <c r="D74" s="11" t="s">
        <v>20</v>
      </c>
      <c r="E74" s="11" t="s">
        <v>63</v>
      </c>
      <c r="F74" s="11" t="s">
        <v>175</v>
      </c>
    </row>
    <row r="75" spans="2:7" ht="15" thickBot="1">
      <c r="B75" s="13" t="s">
        <v>174</v>
      </c>
      <c r="C75" s="13" t="s">
        <v>160</v>
      </c>
      <c r="D75" s="13" t="s">
        <v>160</v>
      </c>
      <c r="E75" s="13" t="s">
        <v>160</v>
      </c>
      <c r="F75" s="13"/>
    </row>
    <row r="76" spans="2:7">
      <c r="B76" s="8">
        <v>10</v>
      </c>
      <c r="C76" s="8">
        <v>230.00646477136635</v>
      </c>
      <c r="D76" s="8">
        <v>234.02928030667971</v>
      </c>
      <c r="E76" s="8">
        <v>81.534836155621875</v>
      </c>
      <c r="F76" s="14">
        <v>0.34839587614325834</v>
      </c>
    </row>
    <row r="77" spans="2:7">
      <c r="B77" s="8">
        <v>20</v>
      </c>
      <c r="C77" s="8">
        <v>127.82043032932705</v>
      </c>
      <c r="D77" s="8">
        <v>121.95433362612498</v>
      </c>
      <c r="E77" s="8">
        <v>46.671300672243731</v>
      </c>
      <c r="F77" s="14">
        <v>0.38269489311731875</v>
      </c>
    </row>
    <row r="78" spans="2:7">
      <c r="B78" s="8">
        <v>30</v>
      </c>
      <c r="C78" s="8">
        <v>90.646925566192465</v>
      </c>
      <c r="D78" s="8">
        <v>93.3739997448005</v>
      </c>
      <c r="E78" s="8">
        <v>34.739099793018205</v>
      </c>
      <c r="F78" s="14">
        <v>0.37204253740830717</v>
      </c>
    </row>
    <row r="79" spans="2:7">
      <c r="B79" s="8">
        <v>15.28</v>
      </c>
      <c r="C79" s="8">
        <v>160.57768637905448</v>
      </c>
      <c r="D79" s="8">
        <v>0</v>
      </c>
      <c r="E79" s="8" t="s">
        <v>34</v>
      </c>
      <c r="F79" s="14" t="s">
        <v>34</v>
      </c>
    </row>
    <row r="80" spans="2:7">
      <c r="B80" s="15"/>
      <c r="C80" s="15"/>
      <c r="D80" s="15"/>
      <c r="E80" s="15"/>
      <c r="F80" s="15"/>
    </row>
    <row r="81" spans="2:6">
      <c r="B81" s="172" t="s">
        <v>173</v>
      </c>
      <c r="C81" s="172"/>
      <c r="D81" s="172"/>
      <c r="E81" s="172"/>
      <c r="F81" s="172"/>
    </row>
    <row r="82" spans="2:6">
      <c r="B82" s="16"/>
      <c r="C82" s="17" t="s">
        <v>420</v>
      </c>
      <c r="D82" s="18">
        <v>14.79798037301437</v>
      </c>
      <c r="E82" s="19" t="s">
        <v>90</v>
      </c>
      <c r="F82" s="20" t="s">
        <v>172</v>
      </c>
    </row>
    <row r="83" spans="2:6" ht="16.5">
      <c r="B83" s="16"/>
      <c r="C83" s="21" t="s">
        <v>293</v>
      </c>
      <c r="D83" s="22">
        <v>165</v>
      </c>
      <c r="E83" s="23">
        <v>14</v>
      </c>
      <c r="F83" s="24" t="s">
        <v>171</v>
      </c>
    </row>
    <row r="87" spans="2:6">
      <c r="B87" s="172" t="s">
        <v>200</v>
      </c>
      <c r="C87" s="172"/>
      <c r="D87" s="172"/>
      <c r="E87" s="175" t="s">
        <v>199</v>
      </c>
    </row>
    <row r="88" spans="2:6">
      <c r="B88" s="25" t="s">
        <v>198</v>
      </c>
      <c r="C88" s="26"/>
      <c r="D88" s="27" t="s">
        <v>197</v>
      </c>
      <c r="E88" s="26"/>
    </row>
    <row r="89" spans="2:6">
      <c r="B89" s="25" t="s">
        <v>196</v>
      </c>
      <c r="C89" s="26"/>
      <c r="D89" s="28">
        <v>17.399999999999999</v>
      </c>
      <c r="E89" s="26" t="s">
        <v>194</v>
      </c>
    </row>
    <row r="90" spans="2:6">
      <c r="B90" s="25" t="s">
        <v>195</v>
      </c>
      <c r="C90" s="26"/>
      <c r="D90" s="28">
        <v>22.3</v>
      </c>
      <c r="E90" s="26" t="s">
        <v>194</v>
      </c>
    </row>
    <row r="91" spans="2:6">
      <c r="B91" s="25" t="s">
        <v>193</v>
      </c>
      <c r="C91" s="26"/>
      <c r="D91" s="28">
        <v>5.3026533992897136</v>
      </c>
      <c r="E91" s="26" t="s">
        <v>192</v>
      </c>
    </row>
    <row r="92" spans="2:6">
      <c r="B92" s="25" t="s">
        <v>191</v>
      </c>
      <c r="C92" s="26"/>
      <c r="D92" s="28">
        <v>30</v>
      </c>
      <c r="E92" s="26" t="s">
        <v>31</v>
      </c>
    </row>
    <row r="93" spans="2:6">
      <c r="B93" s="25" t="s">
        <v>190</v>
      </c>
      <c r="C93" s="26"/>
      <c r="D93" s="28">
        <v>0.2</v>
      </c>
      <c r="E93" s="26"/>
    </row>
    <row r="94" spans="2:6">
      <c r="B94" s="25" t="s">
        <v>189</v>
      </c>
      <c r="C94" s="26"/>
      <c r="D94" s="28">
        <v>7.8</v>
      </c>
      <c r="E94" s="26" t="s">
        <v>188</v>
      </c>
    </row>
    <row r="95" spans="2:6">
      <c r="B95" s="25" t="s">
        <v>187</v>
      </c>
      <c r="C95" s="26"/>
      <c r="D95" s="29">
        <v>9427</v>
      </c>
      <c r="E95" s="26" t="s">
        <v>181</v>
      </c>
    </row>
    <row r="96" spans="2:6">
      <c r="B96" s="25" t="s">
        <v>186</v>
      </c>
      <c r="C96" s="26"/>
      <c r="D96" s="29">
        <v>4428</v>
      </c>
      <c r="E96" s="26" t="s">
        <v>181</v>
      </c>
    </row>
    <row r="97" spans="2:7">
      <c r="B97" s="25" t="s">
        <v>185</v>
      </c>
      <c r="C97" s="26"/>
      <c r="D97" s="29">
        <v>4999</v>
      </c>
      <c r="E97" s="26" t="s">
        <v>181</v>
      </c>
    </row>
    <row r="98" spans="2:7">
      <c r="B98" s="25" t="s">
        <v>184</v>
      </c>
      <c r="C98" s="26"/>
      <c r="D98" s="29">
        <v>9</v>
      </c>
      <c r="E98" s="26"/>
    </row>
    <row r="99" spans="2:7">
      <c r="B99" s="25" t="s">
        <v>183</v>
      </c>
      <c r="C99" s="26"/>
      <c r="D99" s="29">
        <v>23</v>
      </c>
      <c r="E99" s="26"/>
    </row>
    <row r="100" spans="2:7">
      <c r="B100" s="25" t="s">
        <v>182</v>
      </c>
      <c r="C100" s="26"/>
      <c r="D100" s="29">
        <v>9427</v>
      </c>
      <c r="E100" s="26" t="s">
        <v>181</v>
      </c>
    </row>
    <row r="101" spans="2:7">
      <c r="B101" s="25" t="s">
        <v>180</v>
      </c>
      <c r="C101" s="26"/>
      <c r="D101" s="30">
        <v>1.75</v>
      </c>
      <c r="E101" s="26" t="s">
        <v>179</v>
      </c>
    </row>
    <row r="102" spans="2:7">
      <c r="B102" s="25" t="s">
        <v>178</v>
      </c>
      <c r="C102" s="26"/>
      <c r="D102" s="31">
        <v>68</v>
      </c>
      <c r="E102" s="26" t="s">
        <v>177</v>
      </c>
    </row>
    <row r="109" spans="2:7">
      <c r="B109" s="4" t="s">
        <v>202</v>
      </c>
    </row>
    <row r="110" spans="2:7">
      <c r="B110" s="4" t="s">
        <v>203</v>
      </c>
    </row>
    <row r="112" spans="2:7" ht="39.5" thickBot="1">
      <c r="B112" s="32" t="s">
        <v>204</v>
      </c>
      <c r="C112" s="32" t="s">
        <v>294</v>
      </c>
      <c r="D112" s="32" t="s">
        <v>205</v>
      </c>
      <c r="E112" s="32" t="s">
        <v>206</v>
      </c>
      <c r="F112" s="32" t="s">
        <v>207</v>
      </c>
      <c r="G112" s="32" t="s">
        <v>208</v>
      </c>
    </row>
    <row r="113" spans="2:7" ht="15" thickTop="1">
      <c r="B113" s="33">
        <v>20</v>
      </c>
      <c r="C113" s="34">
        <v>850</v>
      </c>
      <c r="D113" s="35">
        <v>0</v>
      </c>
      <c r="E113" s="36">
        <f>D113/$D$125*100</f>
        <v>0</v>
      </c>
      <c r="F113" s="36">
        <f>100-E113</f>
        <v>100</v>
      </c>
      <c r="G113" s="36">
        <v>100</v>
      </c>
    </row>
    <row r="114" spans="2:7">
      <c r="B114" s="34">
        <v>30</v>
      </c>
      <c r="C114" s="34">
        <v>600</v>
      </c>
      <c r="D114" s="37">
        <v>0</v>
      </c>
      <c r="E114" s="36">
        <f t="shared" ref="E114:E124" si="0">D114/$D$125*100</f>
        <v>0</v>
      </c>
      <c r="F114" s="38">
        <f>F113-E114</f>
        <v>100</v>
      </c>
      <c r="G114" s="38">
        <v>100</v>
      </c>
    </row>
    <row r="115" spans="2:7">
      <c r="B115" s="34">
        <v>40</v>
      </c>
      <c r="C115" s="34">
        <v>425</v>
      </c>
      <c r="D115" s="37">
        <v>0</v>
      </c>
      <c r="E115" s="36">
        <f t="shared" si="0"/>
        <v>0</v>
      </c>
      <c r="F115" s="38">
        <f t="shared" ref="F115:F124" si="1">F114-E115</f>
        <v>100</v>
      </c>
      <c r="G115" s="38">
        <v>100</v>
      </c>
    </row>
    <row r="116" spans="2:7">
      <c r="B116" s="34">
        <v>50</v>
      </c>
      <c r="C116" s="34">
        <v>300</v>
      </c>
      <c r="D116" s="37">
        <v>2.9</v>
      </c>
      <c r="E116" s="36">
        <f t="shared" si="0"/>
        <v>1.0045029442327678</v>
      </c>
      <c r="F116" s="38">
        <f t="shared" si="1"/>
        <v>98.995497055767231</v>
      </c>
      <c r="G116" s="38">
        <v>99.160906043471968</v>
      </c>
    </row>
    <row r="117" spans="2:7">
      <c r="B117" s="34">
        <v>70</v>
      </c>
      <c r="C117" s="34">
        <v>212</v>
      </c>
      <c r="D117" s="37">
        <v>27.6</v>
      </c>
      <c r="E117" s="36">
        <f t="shared" si="0"/>
        <v>9.5600969864911676</v>
      </c>
      <c r="F117" s="38">
        <f t="shared" si="1"/>
        <v>89.435400069276056</v>
      </c>
      <c r="G117" s="38">
        <v>89.221288612871604</v>
      </c>
    </row>
    <row r="118" spans="2:7">
      <c r="B118" s="34">
        <v>100</v>
      </c>
      <c r="C118" s="34">
        <v>150</v>
      </c>
      <c r="D118" s="37">
        <v>36.6</v>
      </c>
      <c r="E118" s="36">
        <f t="shared" si="0"/>
        <v>12.677519916868723</v>
      </c>
      <c r="F118" s="38">
        <f t="shared" si="1"/>
        <v>76.757880152407338</v>
      </c>
      <c r="G118" s="38">
        <v>76.901561373466151</v>
      </c>
    </row>
    <row r="119" spans="2:7">
      <c r="B119" s="34">
        <v>140</v>
      </c>
      <c r="C119" s="34">
        <v>106</v>
      </c>
      <c r="D119" s="37">
        <v>32.4</v>
      </c>
      <c r="E119" s="36">
        <f t="shared" si="0"/>
        <v>11.222722549359196</v>
      </c>
      <c r="F119" s="38">
        <f t="shared" si="1"/>
        <v>65.535157603048148</v>
      </c>
      <c r="G119" s="38">
        <v>65.389051844532446</v>
      </c>
    </row>
    <row r="120" spans="2:7">
      <c r="B120" s="34">
        <v>200</v>
      </c>
      <c r="C120" s="34">
        <v>75</v>
      </c>
      <c r="D120" s="37">
        <v>29.4</v>
      </c>
      <c r="E120" s="36">
        <f t="shared" si="0"/>
        <v>10.183581572566679</v>
      </c>
      <c r="F120" s="38">
        <f t="shared" si="1"/>
        <v>55.351576030481468</v>
      </c>
      <c r="G120" s="38">
        <v>55.627128595334639</v>
      </c>
    </row>
    <row r="121" spans="2:7">
      <c r="B121" s="39">
        <v>270</v>
      </c>
      <c r="C121" s="34">
        <v>53</v>
      </c>
      <c r="D121" s="40">
        <v>22.5</v>
      </c>
      <c r="E121" s="36">
        <f t="shared" si="0"/>
        <v>7.7935573259438868</v>
      </c>
      <c r="F121" s="38">
        <f t="shared" si="1"/>
        <v>47.558018704537581</v>
      </c>
      <c r="G121" s="38">
        <v>47.565687839370185</v>
      </c>
    </row>
    <row r="122" spans="2:7">
      <c r="B122" s="39">
        <v>325</v>
      </c>
      <c r="C122" s="34">
        <v>45</v>
      </c>
      <c r="D122" s="40">
        <v>9.1</v>
      </c>
      <c r="E122" s="36">
        <f t="shared" si="0"/>
        <v>3.1520609629373051</v>
      </c>
      <c r="F122" s="38">
        <f t="shared" si="1"/>
        <v>44.405957741600275</v>
      </c>
      <c r="G122" s="38">
        <v>44.303198376031489</v>
      </c>
    </row>
    <row r="123" spans="2:7">
      <c r="B123" s="39">
        <v>400</v>
      </c>
      <c r="C123" s="34">
        <v>38</v>
      </c>
      <c r="D123" s="40">
        <v>8.9</v>
      </c>
      <c r="E123" s="36">
        <f t="shared" si="0"/>
        <v>3.0827848978178043</v>
      </c>
      <c r="F123" s="38">
        <f t="shared" si="1"/>
        <v>41.323172843782473</v>
      </c>
      <c r="G123" s="38">
        <v>41.249687568664655</v>
      </c>
    </row>
    <row r="124" spans="2:7" ht="15" thickBot="1">
      <c r="B124" s="41" t="s">
        <v>209</v>
      </c>
      <c r="C124" s="42">
        <v>0</v>
      </c>
      <c r="D124" s="43">
        <v>119.3</v>
      </c>
      <c r="E124" s="36">
        <f t="shared" si="0"/>
        <v>41.323172843782473</v>
      </c>
      <c r="F124" s="44">
        <f t="shared" si="1"/>
        <v>0</v>
      </c>
      <c r="G124" s="44">
        <v>0</v>
      </c>
    </row>
    <row r="125" spans="2:7">
      <c r="B125" s="45"/>
      <c r="C125" s="45" t="s">
        <v>30</v>
      </c>
      <c r="D125" s="46">
        <f>SUM(D113:D124)</f>
        <v>288.7</v>
      </c>
      <c r="E125" s="47">
        <f>SUM(E113:E124)</f>
        <v>100</v>
      </c>
      <c r="F125" s="47"/>
      <c r="G125" s="47"/>
    </row>
    <row r="126" spans="2:7">
      <c r="B126" s="45"/>
      <c r="C126" s="45"/>
      <c r="D126" s="45"/>
      <c r="E126" s="45"/>
      <c r="F126" s="45"/>
      <c r="G126" s="45"/>
    </row>
    <row r="127" spans="2:7">
      <c r="B127" s="45"/>
      <c r="C127" s="45"/>
      <c r="D127" s="45"/>
      <c r="E127" s="45"/>
      <c r="F127" s="45"/>
      <c r="G127" s="48" t="s">
        <v>210</v>
      </c>
    </row>
    <row r="128" spans="2:7">
      <c r="B128" s="45"/>
      <c r="C128" s="45"/>
      <c r="D128" s="46"/>
      <c r="E128" s="45"/>
      <c r="F128" s="34" t="s">
        <v>295</v>
      </c>
      <c r="G128" s="49">
        <v>322.59843124404983</v>
      </c>
    </row>
    <row r="129" spans="2:7">
      <c r="B129" s="45"/>
      <c r="C129" s="45"/>
      <c r="D129" s="45"/>
      <c r="E129" s="45"/>
      <c r="F129" s="34" t="s">
        <v>296</v>
      </c>
      <c r="G129" s="49">
        <v>163.69226421417358</v>
      </c>
    </row>
    <row r="130" spans="2:7">
      <c r="B130" s="45"/>
      <c r="C130" s="45"/>
      <c r="D130" s="45"/>
      <c r="E130" s="45"/>
      <c r="F130" s="34" t="s">
        <v>297</v>
      </c>
      <c r="G130" s="49">
        <v>59.310539767859936</v>
      </c>
    </row>
  </sheetData>
  <conditionalFormatting sqref="B1">
    <cfRule type="containsBlanks" dxfId="161" priority="1">
      <formula>LEN(TRIM(B1))=0</formula>
    </cfRule>
  </conditionalFormatting>
  <conditionalFormatting sqref="D7:D18">
    <cfRule type="containsBlanks" dxfId="160" priority="11">
      <formula>LEN(TRIM(D7))=0</formula>
    </cfRule>
  </conditionalFormatting>
  <conditionalFormatting sqref="D30:D41">
    <cfRule type="containsBlanks" dxfId="159" priority="8">
      <formula>LEN(TRIM(D30))=0</formula>
    </cfRule>
  </conditionalFormatting>
  <conditionalFormatting sqref="D53:D64">
    <cfRule type="containsBlanks" dxfId="158" priority="5">
      <formula>LEN(TRIM(D53))=0</formula>
    </cfRule>
  </conditionalFormatting>
  <conditionalFormatting sqref="D83">
    <cfRule type="containsBlanks" dxfId="157" priority="3">
      <formula>LEN(TRIM(D83))=0</formula>
    </cfRule>
  </conditionalFormatting>
  <conditionalFormatting sqref="D88 D101:D102">
    <cfRule type="containsBlanks" dxfId="156" priority="2">
      <formula>LEN(TRIM(D88))=0</formula>
    </cfRule>
  </conditionalFormatting>
  <conditionalFormatting sqref="F3">
    <cfRule type="containsBlanks" dxfId="155" priority="12">
      <formula>LEN(TRIM(F3))=0</formula>
    </cfRule>
  </conditionalFormatting>
  <conditionalFormatting sqref="F26">
    <cfRule type="containsBlanks" dxfId="154" priority="9">
      <formula>LEN(TRIM(F26))=0</formula>
    </cfRule>
  </conditionalFormatting>
  <conditionalFormatting sqref="F49">
    <cfRule type="containsBlanks" dxfId="153" priority="6">
      <formula>LEN(TRIM(F49))=0</formula>
    </cfRule>
  </conditionalFormatting>
  <conditionalFormatting sqref="G21:G23">
    <cfRule type="containsBlanks" dxfId="152" priority="10">
      <formula>LEN(TRIM(G21))=0</formula>
    </cfRule>
  </conditionalFormatting>
  <conditionalFormatting sqref="G44:G46">
    <cfRule type="containsBlanks" dxfId="151" priority="7">
      <formula>LEN(TRIM(G44))=0</formula>
    </cfRule>
  </conditionalFormatting>
  <conditionalFormatting sqref="G67:G69">
    <cfRule type="containsBlanks" dxfId="150" priority="4">
      <formula>LEN(TRIM(G67))=0</formula>
    </cfRule>
  </conditionalFormatting>
  <dataValidations disablePrompts="1" count="1">
    <dataValidation type="list" allowBlank="1" showInputMessage="1" showErrorMessage="1" sqref="D88" xr:uid="{875794A3-EF0B-4904-ACB9-96AA187305C9}">
      <formula1>$AB$73:$AB$81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5AF01-7B69-48DF-8C07-20DCBBE72D1A}">
  <sheetPr codeName="Hoja5"/>
  <dimension ref="A1:AL177"/>
  <sheetViews>
    <sheetView workbookViewId="0">
      <selection sqref="A1:T3"/>
    </sheetView>
  </sheetViews>
  <sheetFormatPr baseColWidth="10" defaultColWidth="10.7265625" defaultRowHeight="14.5"/>
  <cols>
    <col min="1" max="1" width="10.7265625" style="4"/>
    <col min="2" max="2" width="13.54296875" style="4" customWidth="1"/>
    <col min="3" max="3" width="13.7265625" style="4" customWidth="1"/>
    <col min="4" max="26" width="10.7265625" style="4"/>
    <col min="27" max="27" width="15.54296875" style="4" customWidth="1"/>
    <col min="28" max="16384" width="10.7265625" style="4"/>
  </cols>
  <sheetData>
    <row r="1" spans="1:33" ht="14.65" customHeight="1">
      <c r="A1" s="1310" t="s">
        <v>539</v>
      </c>
      <c r="B1" s="1311"/>
      <c r="C1" s="1311"/>
      <c r="D1" s="1311"/>
      <c r="E1" s="1311"/>
      <c r="F1" s="1311"/>
      <c r="G1" s="1311"/>
      <c r="H1" s="1311"/>
      <c r="I1" s="1311"/>
      <c r="J1" s="1311"/>
      <c r="K1" s="1311"/>
      <c r="L1" s="1311"/>
      <c r="M1" s="1311"/>
      <c r="N1" s="1311"/>
      <c r="O1" s="1311"/>
      <c r="P1" s="1311"/>
      <c r="Q1" s="1311"/>
      <c r="R1" s="1311"/>
      <c r="S1" s="1311"/>
      <c r="T1" s="1311"/>
    </row>
    <row r="2" spans="1:33" ht="15" customHeight="1" thickBot="1">
      <c r="A2" s="1312"/>
      <c r="B2" s="1313"/>
      <c r="C2" s="1313"/>
      <c r="D2" s="1313"/>
      <c r="E2" s="1313"/>
      <c r="F2" s="1313"/>
      <c r="G2" s="1313"/>
      <c r="H2" s="1313"/>
      <c r="I2" s="1313"/>
      <c r="J2" s="1313"/>
      <c r="K2" s="1313"/>
      <c r="L2" s="1313"/>
      <c r="M2" s="1313"/>
      <c r="N2" s="1313"/>
      <c r="O2" s="1313"/>
      <c r="P2" s="1313"/>
      <c r="Q2" s="1313"/>
      <c r="R2" s="1313"/>
      <c r="S2" s="1313"/>
      <c r="T2" s="1313"/>
    </row>
    <row r="3" spans="1:33" ht="15" customHeight="1" thickBot="1">
      <c r="A3" s="1312"/>
      <c r="B3" s="1313"/>
      <c r="C3" s="1313"/>
      <c r="D3" s="1313"/>
      <c r="E3" s="1313"/>
      <c r="F3" s="1313"/>
      <c r="G3" s="1313"/>
      <c r="H3" s="1313"/>
      <c r="I3" s="1313"/>
      <c r="J3" s="1313"/>
      <c r="K3" s="1313"/>
      <c r="L3" s="1313"/>
      <c r="M3" s="1313"/>
      <c r="N3" s="1313"/>
      <c r="O3" s="1313"/>
      <c r="P3" s="1313"/>
      <c r="Q3" s="1313"/>
      <c r="R3" s="1313"/>
      <c r="S3" s="1313"/>
      <c r="T3" s="1313"/>
      <c r="Y3" s="68"/>
      <c r="Z3" s="68"/>
      <c r="AA3" s="753" t="s">
        <v>20</v>
      </c>
      <c r="AB3" s="753" t="s">
        <v>35</v>
      </c>
      <c r="AC3" s="753" t="s">
        <v>519</v>
      </c>
    </row>
    <row r="4" spans="1:33" ht="15" thickBot="1">
      <c r="Y4" s="1318" t="s">
        <v>704</v>
      </c>
      <c r="Z4" s="1319"/>
      <c r="AA4" s="1330">
        <v>173</v>
      </c>
      <c r="AB4" s="1331">
        <v>10.199999999999999</v>
      </c>
      <c r="AC4" s="1330">
        <v>29.662762781520453</v>
      </c>
    </row>
    <row r="5" spans="1:33" ht="15" thickBot="1">
      <c r="A5" s="68"/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Y5" s="1320"/>
      <c r="Z5" s="1321"/>
      <c r="AA5" s="1330"/>
      <c r="AB5" s="1331"/>
      <c r="AC5" s="1330"/>
    </row>
    <row r="6" spans="1:33" ht="19" thickBot="1">
      <c r="A6" s="68"/>
      <c r="B6" s="1317" t="s">
        <v>538</v>
      </c>
      <c r="C6" s="1317"/>
      <c r="D6" s="1317"/>
      <c r="E6" s="1317"/>
      <c r="F6" s="1317"/>
      <c r="G6" s="1317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Y6" s="1326" t="s">
        <v>705</v>
      </c>
      <c r="Z6" s="1327"/>
      <c r="AA6" s="1330">
        <v>42.927333376021856</v>
      </c>
      <c r="AB6" s="1331">
        <v>11.33</v>
      </c>
      <c r="AC6" s="1330">
        <v>18.991733335893482</v>
      </c>
    </row>
    <row r="7" spans="1:33" ht="15" thickBot="1">
      <c r="A7" s="68"/>
      <c r="B7" s="68"/>
      <c r="C7" s="68"/>
      <c r="D7" s="264" t="s">
        <v>1</v>
      </c>
      <c r="E7" s="264" t="s">
        <v>17</v>
      </c>
      <c r="F7" s="264" t="s">
        <v>52</v>
      </c>
      <c r="G7" s="264" t="s">
        <v>0</v>
      </c>
      <c r="H7" s="68"/>
      <c r="I7" s="264" t="s">
        <v>16</v>
      </c>
      <c r="J7" s="264" t="s">
        <v>516</v>
      </c>
      <c r="K7" s="264" t="s">
        <v>523</v>
      </c>
      <c r="L7" s="264" t="s">
        <v>522</v>
      </c>
      <c r="M7" s="264" t="s">
        <v>521</v>
      </c>
      <c r="N7" s="264" t="s">
        <v>520</v>
      </c>
      <c r="O7" s="68"/>
      <c r="P7" s="68"/>
      <c r="Q7" s="264" t="s">
        <v>20</v>
      </c>
      <c r="R7" s="264" t="s">
        <v>35</v>
      </c>
      <c r="S7" s="264" t="s">
        <v>519</v>
      </c>
      <c r="Y7" s="1328"/>
      <c r="Z7" s="1329"/>
      <c r="AA7" s="1330"/>
      <c r="AB7" s="1331"/>
      <c r="AC7" s="1330"/>
    </row>
    <row r="8" spans="1:33" ht="15" thickBot="1">
      <c r="A8" s="68"/>
      <c r="B8" s="68"/>
      <c r="C8" s="296" t="s">
        <v>532</v>
      </c>
      <c r="D8" s="292">
        <v>0.66</v>
      </c>
      <c r="E8" s="292">
        <v>2.2400000000000002</v>
      </c>
      <c r="F8" s="292">
        <v>2.13</v>
      </c>
      <c r="G8" s="322">
        <v>1.15E-2</v>
      </c>
      <c r="H8" s="68"/>
      <c r="I8" s="264" t="s">
        <v>509</v>
      </c>
      <c r="J8" s="292">
        <v>88.465458854992889</v>
      </c>
      <c r="K8" s="292">
        <v>76.053793988587472</v>
      </c>
      <c r="L8" s="292">
        <v>81.032363282084745</v>
      </c>
      <c r="M8" s="292">
        <v>41.529603343697637</v>
      </c>
      <c r="N8" s="292">
        <v>36.781285217892858</v>
      </c>
      <c r="O8" s="68"/>
      <c r="P8" s="68"/>
      <c r="Q8" s="222">
        <v>173</v>
      </c>
      <c r="R8" s="133">
        <v>10.199999999999999</v>
      </c>
      <c r="S8" s="222">
        <v>29.662762781520453</v>
      </c>
      <c r="Y8" s="1322" t="s">
        <v>706</v>
      </c>
      <c r="Z8" s="1323"/>
      <c r="AA8" s="1330">
        <v>35.829978857293455</v>
      </c>
      <c r="AB8" s="1331">
        <v>11.35</v>
      </c>
      <c r="AC8" s="1330">
        <v>18.788298658322631</v>
      </c>
    </row>
    <row r="9" spans="1:33" ht="15" thickBot="1">
      <c r="A9" s="68"/>
      <c r="B9" s="68"/>
      <c r="C9" s="296" t="s">
        <v>531</v>
      </c>
      <c r="D9" s="292">
        <v>6.56</v>
      </c>
      <c r="E9" s="292">
        <v>14.4</v>
      </c>
      <c r="F9" s="292">
        <v>17.84</v>
      </c>
      <c r="G9" s="322">
        <v>8.3199999999999996E-2</v>
      </c>
      <c r="H9" s="68"/>
      <c r="I9" s="264" t="s">
        <v>508</v>
      </c>
      <c r="J9" s="292">
        <v>1.7377485061090499</v>
      </c>
      <c r="K9" s="292">
        <v>1.2808731320002376</v>
      </c>
      <c r="L9" s="292">
        <v>1.5036262960616507</v>
      </c>
      <c r="M9" s="292">
        <v>6.8883861143593475E-2</v>
      </c>
      <c r="N9" s="292">
        <v>5.2183273907311784E-2</v>
      </c>
      <c r="O9" s="68"/>
      <c r="P9" s="68"/>
      <c r="Q9" s="68"/>
      <c r="R9" s="68"/>
      <c r="S9" s="68"/>
      <c r="Y9" s="1324"/>
      <c r="Z9" s="1325"/>
      <c r="AA9" s="1330"/>
      <c r="AB9" s="1331"/>
      <c r="AC9" s="1330"/>
    </row>
    <row r="10" spans="1:33" ht="15" thickBot="1">
      <c r="A10" s="68"/>
      <c r="B10" s="68"/>
      <c r="C10" s="296" t="s">
        <v>530</v>
      </c>
      <c r="D10" s="292">
        <v>3.11</v>
      </c>
      <c r="E10" s="292">
        <v>9.8000000000000007</v>
      </c>
      <c r="F10" s="292">
        <v>11.42</v>
      </c>
      <c r="G10" s="322">
        <v>6.4500000000000002E-2</v>
      </c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Y10" s="1322" t="s">
        <v>706</v>
      </c>
      <c r="Z10" s="1323"/>
      <c r="AA10" s="1330">
        <v>22.22260663095539</v>
      </c>
      <c r="AB10" s="1331">
        <v>11.35</v>
      </c>
      <c r="AC10" s="1330">
        <v>18.007226961888353</v>
      </c>
    </row>
    <row r="11" spans="1:33" ht="15" thickBot="1">
      <c r="A11" s="68"/>
      <c r="B11" s="68"/>
      <c r="C11" s="296" t="s">
        <v>529</v>
      </c>
      <c r="D11" s="292">
        <v>0.53</v>
      </c>
      <c r="E11" s="292">
        <v>2.64</v>
      </c>
      <c r="F11" s="292">
        <v>2.39</v>
      </c>
      <c r="G11" s="322">
        <v>1.5699999999999999E-2</v>
      </c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Y11" s="1324"/>
      <c r="Z11" s="1325"/>
      <c r="AA11" s="1330"/>
      <c r="AB11" s="1331"/>
      <c r="AC11" s="1330"/>
      <c r="AD11" s="68"/>
      <c r="AE11" s="68"/>
      <c r="AF11" s="68"/>
      <c r="AG11" s="68"/>
    </row>
    <row r="12" spans="1:33">
      <c r="A12" s="68"/>
      <c r="B12" s="68"/>
      <c r="C12" s="296" t="s">
        <v>528</v>
      </c>
      <c r="D12" s="68">
        <v>0.34</v>
      </c>
      <c r="E12" s="68">
        <v>1.42</v>
      </c>
      <c r="F12" s="68">
        <v>0.64</v>
      </c>
      <c r="G12" s="68">
        <v>5.5999999999999999E-3</v>
      </c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AD12" s="68"/>
      <c r="AE12" s="68"/>
      <c r="AF12" s="68"/>
      <c r="AG12" s="68"/>
    </row>
    <row r="13" spans="1:33" ht="15" thickBot="1">
      <c r="A13" s="68"/>
      <c r="B13" s="68"/>
      <c r="C13" s="296" t="s">
        <v>527</v>
      </c>
      <c r="D13" s="68">
        <v>9.6000000000000002E-2</v>
      </c>
      <c r="E13" s="68">
        <v>0.99</v>
      </c>
      <c r="F13" s="68">
        <v>0.45</v>
      </c>
      <c r="G13" s="68">
        <v>3.8E-3</v>
      </c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AD13" s="68"/>
      <c r="AE13" s="68"/>
      <c r="AF13" s="68"/>
      <c r="AG13" s="68"/>
    </row>
    <row r="14" spans="1:33" ht="15" thickBot="1">
      <c r="A14" s="68"/>
      <c r="B14" s="68"/>
      <c r="C14" s="296" t="s">
        <v>526</v>
      </c>
      <c r="D14" s="292">
        <v>91.025484859760681</v>
      </c>
      <c r="E14" s="292">
        <v>72.77451586990513</v>
      </c>
      <c r="F14" s="292">
        <v>86.28222714221431</v>
      </c>
      <c r="G14" s="292">
        <v>79.801195068681338</v>
      </c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AB14" s="754" t="s">
        <v>1</v>
      </c>
      <c r="AC14" s="755" t="s">
        <v>17</v>
      </c>
      <c r="AD14" s="755" t="s">
        <v>52</v>
      </c>
      <c r="AE14" s="756" t="s">
        <v>0</v>
      </c>
      <c r="AG14" s="68"/>
    </row>
    <row r="15" spans="1:33" ht="15" thickBot="1">
      <c r="A15" s="68"/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Y15" s="1318" t="s">
        <v>704</v>
      </c>
      <c r="Z15" s="1319"/>
      <c r="AA15" s="1335" t="s">
        <v>707</v>
      </c>
      <c r="AB15" s="1332">
        <v>91.025484859760681</v>
      </c>
      <c r="AC15" s="1333">
        <v>72.77451586990513</v>
      </c>
      <c r="AD15" s="1333">
        <v>86.28222714221431</v>
      </c>
      <c r="AE15" s="1334">
        <v>79.801195068681338</v>
      </c>
      <c r="AG15" s="68"/>
    </row>
    <row r="16" spans="1:33" ht="15" thickBot="1">
      <c r="A16" s="68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Y16" s="1320"/>
      <c r="Z16" s="1321"/>
      <c r="AA16" s="1335"/>
      <c r="AB16" s="1332"/>
      <c r="AC16" s="1333"/>
      <c r="AD16" s="1333"/>
      <c r="AE16" s="1334"/>
      <c r="AG16" s="68"/>
    </row>
    <row r="17" spans="1:33" ht="15" thickBot="1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Y17" s="1326" t="s">
        <v>705</v>
      </c>
      <c r="Z17" s="1327"/>
      <c r="AA17" s="1335"/>
      <c r="AB17" s="1332">
        <v>93.295887152511241</v>
      </c>
      <c r="AC17" s="1333">
        <v>79.299855682922825</v>
      </c>
      <c r="AD17" s="1333">
        <v>80.610623501291627</v>
      </c>
      <c r="AE17" s="1334">
        <v>63.112639724849544</v>
      </c>
      <c r="AG17" s="68"/>
    </row>
    <row r="18" spans="1:33" ht="15" thickBot="1">
      <c r="A18" s="68"/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Y18" s="1328"/>
      <c r="Z18" s="1329"/>
      <c r="AA18" s="1335"/>
      <c r="AB18" s="1332"/>
      <c r="AC18" s="1333"/>
      <c r="AD18" s="1333"/>
      <c r="AE18" s="1334"/>
      <c r="AG18" s="68"/>
    </row>
    <row r="19" spans="1:33" ht="19" thickBot="1">
      <c r="A19" s="68"/>
      <c r="B19" s="1317" t="s">
        <v>537</v>
      </c>
      <c r="C19" s="1317"/>
      <c r="D19" s="1317"/>
      <c r="E19" s="1317"/>
      <c r="F19" s="1317"/>
      <c r="G19" s="1317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Y19" s="1322" t="s">
        <v>706</v>
      </c>
      <c r="Z19" s="1323"/>
      <c r="AA19" s="1335"/>
      <c r="AB19" s="1332">
        <v>99.087393329221939</v>
      </c>
      <c r="AC19" s="1333">
        <v>80.097395691239981</v>
      </c>
      <c r="AD19" s="1333">
        <v>82.77069464816276</v>
      </c>
      <c r="AE19" s="1334">
        <v>88.984745166766871</v>
      </c>
      <c r="AG19" s="68"/>
    </row>
    <row r="20" spans="1:33" ht="15" thickBot="1">
      <c r="A20" s="68"/>
      <c r="B20" s="68"/>
      <c r="C20" s="68"/>
      <c r="D20" s="264"/>
      <c r="E20" s="264"/>
      <c r="F20" s="264"/>
      <c r="G20" s="264"/>
      <c r="H20" s="68"/>
      <c r="I20" s="264" t="s">
        <v>357</v>
      </c>
      <c r="J20" s="264" t="s">
        <v>516</v>
      </c>
      <c r="K20" s="264" t="s">
        <v>523</v>
      </c>
      <c r="L20" s="264" t="s">
        <v>522</v>
      </c>
      <c r="M20" s="264" t="s">
        <v>521</v>
      </c>
      <c r="N20" s="264" t="s">
        <v>520</v>
      </c>
      <c r="O20" s="68"/>
      <c r="P20" s="68"/>
      <c r="Q20" s="264" t="s">
        <v>20</v>
      </c>
      <c r="R20" s="264" t="s">
        <v>35</v>
      </c>
      <c r="S20" s="264" t="s">
        <v>519</v>
      </c>
      <c r="Y20" s="1324"/>
      <c r="Z20" s="1325"/>
      <c r="AA20" s="1335"/>
      <c r="AB20" s="1332"/>
      <c r="AC20" s="1333"/>
      <c r="AD20" s="1333"/>
      <c r="AE20" s="1334"/>
      <c r="AG20" s="757"/>
    </row>
    <row r="21" spans="1:33" ht="15" thickBot="1">
      <c r="A21" s="68"/>
      <c r="B21" s="68"/>
      <c r="C21" s="296"/>
      <c r="D21" s="292"/>
      <c r="E21" s="292"/>
      <c r="F21" s="292"/>
      <c r="G21" s="322"/>
      <c r="H21" s="68"/>
      <c r="I21" s="264" t="s">
        <v>509</v>
      </c>
      <c r="J21" s="292">
        <v>85.88746474183732</v>
      </c>
      <c r="K21" s="292">
        <v>31.221543188475181</v>
      </c>
      <c r="L21" s="292">
        <v>48.716678599533388</v>
      </c>
      <c r="M21" s="292">
        <v>84.66792831014979</v>
      </c>
      <c r="N21" s="292">
        <v>57.679196744762976</v>
      </c>
      <c r="O21" s="68"/>
      <c r="P21" s="68"/>
      <c r="Q21" s="222">
        <v>42.927333376021856</v>
      </c>
      <c r="R21" s="133">
        <v>11.33</v>
      </c>
      <c r="S21" s="222">
        <v>18.991733335893482</v>
      </c>
      <c r="Y21" s="1322" t="s">
        <v>706</v>
      </c>
      <c r="Z21" s="1323"/>
      <c r="AA21" s="1335"/>
      <c r="AB21" s="1332">
        <v>98.93489098203294</v>
      </c>
      <c r="AC21" s="1333">
        <v>83.128453890724927</v>
      </c>
      <c r="AD21" s="1333">
        <v>84.188527472237539</v>
      </c>
      <c r="AE21" s="1334">
        <v>90.788041242767434</v>
      </c>
      <c r="AG21" s="68"/>
    </row>
    <row r="22" spans="1:33" ht="15" thickBot="1">
      <c r="A22" s="68"/>
      <c r="B22" s="68"/>
      <c r="C22" s="296"/>
      <c r="D22" s="292"/>
      <c r="E22" s="292"/>
      <c r="F22" s="292"/>
      <c r="G22" s="322"/>
      <c r="H22" s="68"/>
      <c r="I22" s="264" t="s">
        <v>508</v>
      </c>
      <c r="J22" s="292">
        <v>3.2105681710821194</v>
      </c>
      <c r="K22" s="292">
        <v>0.43983144624194226</v>
      </c>
      <c r="L22" s="292">
        <v>3.092931263092157</v>
      </c>
      <c r="M22" s="292">
        <v>8.3033720580023909E-2</v>
      </c>
      <c r="N22" s="292">
        <v>1.2019752697294583E-2</v>
      </c>
      <c r="O22" s="68"/>
      <c r="P22" s="68"/>
      <c r="Q22" s="68"/>
      <c r="R22" s="68"/>
      <c r="S22" s="68"/>
      <c r="Y22" s="1324"/>
      <c r="Z22" s="1325"/>
      <c r="AA22" s="1335"/>
      <c r="AB22" s="1332"/>
      <c r="AC22" s="1333"/>
      <c r="AD22" s="1333"/>
      <c r="AE22" s="1334"/>
      <c r="AG22" s="68"/>
    </row>
    <row r="23" spans="1:33">
      <c r="A23" s="68"/>
      <c r="B23" s="68"/>
      <c r="C23" s="296"/>
      <c r="D23" s="292"/>
      <c r="E23" s="292"/>
      <c r="F23" s="292"/>
      <c r="G23" s="322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Y23" s="68"/>
      <c r="Z23" s="68"/>
      <c r="AA23" s="68"/>
      <c r="AG23" s="68"/>
    </row>
    <row r="24" spans="1:33">
      <c r="A24" s="68"/>
      <c r="B24" s="68"/>
      <c r="C24" s="296"/>
      <c r="D24" s="292"/>
      <c r="E24" s="292"/>
      <c r="F24" s="292"/>
      <c r="G24" s="322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Y24" s="68"/>
      <c r="Z24" s="68"/>
      <c r="AA24" s="68"/>
      <c r="AB24" s="68"/>
      <c r="AC24" s="68"/>
      <c r="AD24" s="68"/>
      <c r="AE24" s="68"/>
      <c r="AF24" s="68"/>
      <c r="AG24" s="68"/>
    </row>
    <row r="25" spans="1:33">
      <c r="A25" s="68"/>
      <c r="B25" s="68"/>
      <c r="C25" s="296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Y25" s="68"/>
      <c r="Z25" s="68"/>
      <c r="AA25" s="68"/>
      <c r="AB25" s="68"/>
      <c r="AC25" s="68"/>
      <c r="AD25" s="68"/>
      <c r="AE25" s="68"/>
      <c r="AF25" s="68"/>
      <c r="AG25" s="68"/>
    </row>
    <row r="26" spans="1:33">
      <c r="A26" s="68"/>
      <c r="B26" s="68"/>
      <c r="C26" s="296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AA26" s="68"/>
      <c r="AB26" s="68"/>
      <c r="AC26" s="68"/>
      <c r="AD26" s="68"/>
      <c r="AE26" s="68"/>
      <c r="AF26" s="68"/>
      <c r="AG26" s="68"/>
    </row>
    <row r="27" spans="1:33">
      <c r="A27" s="68"/>
      <c r="B27" s="68"/>
      <c r="C27" s="296" t="str">
        <f>C14</f>
        <v>Rec. Experimental</v>
      </c>
      <c r="D27" s="292">
        <v>93.295887152511241</v>
      </c>
      <c r="E27" s="292">
        <v>79.299855682922825</v>
      </c>
      <c r="F27" s="292">
        <v>80.610623501291627</v>
      </c>
      <c r="G27" s="292">
        <v>63.112639724849544</v>
      </c>
      <c r="H27" s="68"/>
      <c r="I27" s="68"/>
      <c r="J27" s="323"/>
      <c r="K27" s="323"/>
      <c r="L27" s="323"/>
      <c r="M27" s="323"/>
      <c r="N27" s="323"/>
      <c r="O27" s="68"/>
      <c r="P27" s="68"/>
      <c r="Q27" s="68"/>
      <c r="R27" s="68"/>
      <c r="S27" s="68"/>
      <c r="AA27" s="68"/>
      <c r="AB27" s="68"/>
      <c r="AC27" s="68"/>
      <c r="AD27" s="68"/>
      <c r="AE27" s="68"/>
      <c r="AF27" s="68"/>
      <c r="AG27" s="68"/>
    </row>
    <row r="28" spans="1:33">
      <c r="A28" s="68"/>
      <c r="B28" s="68"/>
      <c r="C28" s="68"/>
      <c r="D28" s="68"/>
      <c r="E28" s="68"/>
      <c r="F28" s="68"/>
      <c r="G28" s="68"/>
      <c r="H28" s="68"/>
      <c r="I28" s="68"/>
      <c r="J28" s="323"/>
      <c r="K28" s="323"/>
      <c r="L28" s="323"/>
      <c r="M28" s="323"/>
      <c r="N28" s="323"/>
      <c r="O28" s="68"/>
      <c r="P28" s="68"/>
      <c r="Q28" s="68"/>
      <c r="R28" s="68"/>
      <c r="S28" s="68"/>
      <c r="Y28" s="758"/>
      <c r="Z28" s="758"/>
      <c r="AA28" s="68"/>
      <c r="AB28" s="68"/>
      <c r="AC28" s="68"/>
      <c r="AD28" s="68"/>
      <c r="AE28" s="68"/>
      <c r="AF28" s="68"/>
      <c r="AG28" s="68"/>
    </row>
    <row r="29" spans="1:33" ht="15" thickBot="1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Y29" s="758"/>
      <c r="Z29" s="758"/>
      <c r="AA29" s="68"/>
      <c r="AB29" s="68"/>
      <c r="AC29" s="68"/>
      <c r="AD29" s="68"/>
      <c r="AE29" s="68"/>
      <c r="AF29" s="68"/>
      <c r="AG29" s="68"/>
    </row>
    <row r="30" spans="1:33" ht="15" thickBot="1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Y30" s="759"/>
      <c r="Z30" s="759"/>
      <c r="AA30" s="760" t="s">
        <v>16</v>
      </c>
      <c r="AB30" s="761" t="s">
        <v>516</v>
      </c>
      <c r="AC30" s="761" t="s">
        <v>523</v>
      </c>
      <c r="AD30" s="761" t="s">
        <v>522</v>
      </c>
      <c r="AE30" s="761" t="s">
        <v>521</v>
      </c>
      <c r="AF30" s="762" t="s">
        <v>708</v>
      </c>
      <c r="AG30" s="68"/>
    </row>
    <row r="31" spans="1:33">
      <c r="A31" s="68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X31" s="148"/>
      <c r="Y31" s="1318" t="s">
        <v>704</v>
      </c>
      <c r="Z31" s="1336"/>
      <c r="AA31" s="763" t="s">
        <v>509</v>
      </c>
      <c r="AB31" s="764">
        <v>88.465458854992889</v>
      </c>
      <c r="AC31" s="764">
        <v>76.053793988587472</v>
      </c>
      <c r="AD31" s="764">
        <v>81.032363282084745</v>
      </c>
      <c r="AE31" s="764">
        <v>41.529603343697637</v>
      </c>
      <c r="AF31" s="765">
        <v>36.781285217892858</v>
      </c>
      <c r="AG31" s="68"/>
    </row>
    <row r="32" spans="1:33" ht="19" thickBot="1">
      <c r="A32" s="68"/>
      <c r="B32" s="1317" t="s">
        <v>536</v>
      </c>
      <c r="C32" s="1317"/>
      <c r="D32" s="1317"/>
      <c r="E32" s="1317"/>
      <c r="F32" s="1317"/>
      <c r="G32" s="1317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X32" s="148"/>
      <c r="Y32" s="1320"/>
      <c r="Z32" s="1337"/>
      <c r="AA32" s="766" t="s">
        <v>508</v>
      </c>
      <c r="AB32" s="767">
        <v>1.7377485061090499</v>
      </c>
      <c r="AC32" s="767">
        <v>1.2808731320002376</v>
      </c>
      <c r="AD32" s="767">
        <v>1.5036262960616507</v>
      </c>
      <c r="AE32" s="767">
        <v>6.8883861143593475E-2</v>
      </c>
      <c r="AF32" s="768">
        <v>5.2183273907311784E-2</v>
      </c>
      <c r="AG32" s="68"/>
    </row>
    <row r="33" spans="1:33">
      <c r="A33" s="68"/>
      <c r="B33" s="68"/>
      <c r="C33" s="68"/>
      <c r="D33" s="264"/>
      <c r="E33" s="264"/>
      <c r="F33" s="264"/>
      <c r="G33" s="264"/>
      <c r="H33" s="68"/>
      <c r="I33" s="68"/>
      <c r="J33" s="264" t="s">
        <v>516</v>
      </c>
      <c r="K33" s="264" t="s">
        <v>523</v>
      </c>
      <c r="L33" s="264" t="s">
        <v>522</v>
      </c>
      <c r="M33" s="264" t="s">
        <v>521</v>
      </c>
      <c r="N33" s="264" t="s">
        <v>520</v>
      </c>
      <c r="O33" s="68"/>
      <c r="P33" s="68"/>
      <c r="Q33" s="264" t="s">
        <v>20</v>
      </c>
      <c r="R33" s="264" t="s">
        <v>35</v>
      </c>
      <c r="S33" s="264" t="s">
        <v>519</v>
      </c>
      <c r="X33" s="148"/>
      <c r="Y33" s="1326" t="s">
        <v>705</v>
      </c>
      <c r="Z33" s="1338"/>
      <c r="AA33" s="763" t="s">
        <v>509</v>
      </c>
      <c r="AB33" s="764">
        <v>85.88746474183732</v>
      </c>
      <c r="AC33" s="764">
        <v>31.221543188475181</v>
      </c>
      <c r="AD33" s="764">
        <v>48.716678599533388</v>
      </c>
      <c r="AE33" s="764">
        <v>84.66792831014979</v>
      </c>
      <c r="AF33" s="769">
        <v>57.679196744762976</v>
      </c>
      <c r="AG33" s="68"/>
    </row>
    <row r="34" spans="1:33" ht="15" thickBot="1">
      <c r="A34" s="68"/>
      <c r="B34" s="68"/>
      <c r="C34" s="296"/>
      <c r="D34" s="292"/>
      <c r="E34" s="292"/>
      <c r="F34" s="292"/>
      <c r="G34" s="322"/>
      <c r="H34" s="68"/>
      <c r="I34" s="264" t="s">
        <v>509</v>
      </c>
      <c r="J34" s="292">
        <v>96.26766999221438</v>
      </c>
      <c r="K34" s="292">
        <v>78.563573889299263</v>
      </c>
      <c r="L34" s="292">
        <v>52.070457790235523</v>
      </c>
      <c r="M34" s="292">
        <v>76.385565775888665</v>
      </c>
      <c r="N34" s="292">
        <v>37.078972481435521</v>
      </c>
      <c r="O34" s="68"/>
      <c r="P34" s="68"/>
      <c r="Q34" s="222">
        <v>35.829978857293455</v>
      </c>
      <c r="R34" s="133">
        <v>11.35</v>
      </c>
      <c r="S34" s="222">
        <v>18.788298658322631</v>
      </c>
      <c r="X34" s="148"/>
      <c r="Y34" s="1328"/>
      <c r="Z34" s="1339"/>
      <c r="AA34" s="770" t="s">
        <v>508</v>
      </c>
      <c r="AB34" s="771">
        <v>3.2105681710821194</v>
      </c>
      <c r="AC34" s="771">
        <v>0.43983144624194226</v>
      </c>
      <c r="AD34" s="771">
        <v>3.092931263092157</v>
      </c>
      <c r="AE34" s="771">
        <v>8.3033720580023909E-2</v>
      </c>
      <c r="AF34" s="768">
        <v>1.2019752697294583E-2</v>
      </c>
      <c r="AG34" s="68"/>
    </row>
    <row r="35" spans="1:33">
      <c r="A35" s="68"/>
      <c r="B35" s="68"/>
      <c r="C35" s="296"/>
      <c r="D35" s="292"/>
      <c r="E35" s="292"/>
      <c r="F35" s="292"/>
      <c r="G35" s="322"/>
      <c r="H35" s="68"/>
      <c r="I35" s="264" t="s">
        <v>508</v>
      </c>
      <c r="J35" s="292">
        <v>2.499176432564004</v>
      </c>
      <c r="K35" s="292">
        <v>1.393955233601885</v>
      </c>
      <c r="L35" s="292">
        <v>1.6839815716494209</v>
      </c>
      <c r="M35" s="292">
        <v>8.5135532075630807E-2</v>
      </c>
      <c r="N35" s="292">
        <v>0.43715987314164051</v>
      </c>
      <c r="O35" s="68"/>
      <c r="P35" s="68"/>
      <c r="Q35" s="68"/>
      <c r="R35" s="68"/>
      <c r="S35" s="68"/>
      <c r="Y35" s="1322" t="s">
        <v>706</v>
      </c>
      <c r="Z35" s="1340"/>
      <c r="AA35" s="772" t="s">
        <v>509</v>
      </c>
      <c r="AB35" s="773">
        <v>96.26766999221438</v>
      </c>
      <c r="AC35" s="773">
        <v>78.563573889299263</v>
      </c>
      <c r="AD35" s="773">
        <v>52.070457790235523</v>
      </c>
      <c r="AE35" s="773">
        <v>76.385565775888665</v>
      </c>
      <c r="AF35" s="765">
        <v>37.078972481435521</v>
      </c>
      <c r="AG35" s="68"/>
    </row>
    <row r="36" spans="1:33" ht="15" thickBot="1">
      <c r="A36" s="68"/>
      <c r="B36" s="68"/>
      <c r="C36" s="296"/>
      <c r="D36" s="292"/>
      <c r="E36" s="292"/>
      <c r="F36" s="292"/>
      <c r="G36" s="322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Y36" s="1324"/>
      <c r="Z36" s="1341"/>
      <c r="AA36" s="766" t="s">
        <v>508</v>
      </c>
      <c r="AB36" s="767">
        <v>2.499176432564004</v>
      </c>
      <c r="AC36" s="767">
        <v>1.393955233601885</v>
      </c>
      <c r="AD36" s="767">
        <v>1.6839815716494209</v>
      </c>
      <c r="AE36" s="767">
        <v>8.5135532075630807E-2</v>
      </c>
      <c r="AF36" s="768">
        <v>0.43715987314164051</v>
      </c>
      <c r="AG36" s="68"/>
    </row>
    <row r="37" spans="1:33">
      <c r="A37" s="68"/>
      <c r="B37" s="68"/>
      <c r="C37" s="296"/>
      <c r="D37" s="292"/>
      <c r="E37" s="292"/>
      <c r="F37" s="292"/>
      <c r="G37" s="322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Y37" s="1322" t="s">
        <v>706</v>
      </c>
      <c r="Z37" s="1340"/>
      <c r="AA37" s="772" t="s">
        <v>509</v>
      </c>
      <c r="AB37" s="773">
        <v>95.92863014631007</v>
      </c>
      <c r="AC37" s="773">
        <v>80.255318481584254</v>
      </c>
      <c r="AD37" s="773">
        <v>48.808362456406414</v>
      </c>
      <c r="AE37" s="773">
        <v>92.677137690233678</v>
      </c>
      <c r="AF37" s="765">
        <v>62.905469822444573</v>
      </c>
      <c r="AG37" s="68"/>
    </row>
    <row r="38" spans="1:33" ht="15" thickBot="1">
      <c r="A38" s="68"/>
      <c r="B38" s="68"/>
      <c r="C38" s="296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Y38" s="1324"/>
      <c r="Z38" s="1341"/>
      <c r="AA38" s="766" t="s">
        <v>508</v>
      </c>
      <c r="AB38" s="767">
        <v>2.1056917079795414</v>
      </c>
      <c r="AC38" s="767">
        <v>0.4784078399439769</v>
      </c>
      <c r="AD38" s="767">
        <v>1.5826905494221946</v>
      </c>
      <c r="AE38" s="767">
        <v>6.0908405467846878E-2</v>
      </c>
      <c r="AF38" s="768">
        <v>6.212873445498316E-3</v>
      </c>
      <c r="AG38" s="68"/>
    </row>
    <row r="39" spans="1:33">
      <c r="A39" s="68"/>
      <c r="B39" s="68"/>
      <c r="C39" s="296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Y39" s="758"/>
      <c r="Z39" s="758"/>
      <c r="AA39" s="68"/>
      <c r="AB39" s="68"/>
      <c r="AC39" s="68"/>
      <c r="AD39" s="68"/>
      <c r="AE39" s="68"/>
      <c r="AF39" s="68"/>
      <c r="AG39" s="68"/>
    </row>
    <row r="40" spans="1:33">
      <c r="A40" s="68"/>
      <c r="B40" s="68"/>
      <c r="C40" s="296" t="str">
        <f>C27</f>
        <v>Rec. Experimental</v>
      </c>
      <c r="D40" s="292">
        <v>99.087393329221939</v>
      </c>
      <c r="E40" s="292">
        <v>80.097395691239981</v>
      </c>
      <c r="F40" s="292">
        <v>82.77069464816276</v>
      </c>
      <c r="G40" s="292">
        <v>88.984745166766871</v>
      </c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</row>
    <row r="41" spans="1:33" ht="15" thickBot="1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</row>
    <row r="42" spans="1:33" ht="15" thickBot="1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Y42" s="68"/>
      <c r="Z42" s="68"/>
      <c r="AA42" s="774" t="s">
        <v>709</v>
      </c>
      <c r="AB42" s="775" t="s">
        <v>1</v>
      </c>
      <c r="AC42" s="775" t="s">
        <v>17</v>
      </c>
      <c r="AD42" s="775" t="s">
        <v>52</v>
      </c>
      <c r="AE42" s="776" t="s">
        <v>0</v>
      </c>
    </row>
    <row r="43" spans="1:33" ht="15" thickBot="1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Y43" s="1342" t="s">
        <v>704</v>
      </c>
      <c r="Z43" s="1343"/>
      <c r="AA43" s="269" t="s">
        <v>532</v>
      </c>
      <c r="AB43" s="777">
        <v>0.66</v>
      </c>
      <c r="AC43" s="777">
        <v>2.2400000000000002</v>
      </c>
      <c r="AD43" s="777">
        <v>2.13</v>
      </c>
      <c r="AE43" s="268">
        <v>1.15E-2</v>
      </c>
    </row>
    <row r="44" spans="1:33" ht="15" thickBot="1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Y44" s="1342"/>
      <c r="Z44" s="1343"/>
      <c r="AA44" s="778" t="s">
        <v>531</v>
      </c>
      <c r="AB44" s="779">
        <v>6.56</v>
      </c>
      <c r="AC44" s="779">
        <v>14.4</v>
      </c>
      <c r="AD44" s="779">
        <v>17.84</v>
      </c>
      <c r="AE44" s="780">
        <v>8.3199999999999996E-2</v>
      </c>
    </row>
    <row r="45" spans="1:33" ht="19" thickBot="1">
      <c r="A45" s="68"/>
      <c r="B45" s="1317" t="s">
        <v>535</v>
      </c>
      <c r="C45" s="1317"/>
      <c r="D45" s="1317"/>
      <c r="E45" s="1317"/>
      <c r="F45" s="1317"/>
      <c r="G45" s="1317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Y45" s="1342"/>
      <c r="Z45" s="1343"/>
      <c r="AA45" s="778" t="s">
        <v>530</v>
      </c>
      <c r="AB45" s="779">
        <v>3.11</v>
      </c>
      <c r="AC45" s="779">
        <v>9.8000000000000007</v>
      </c>
      <c r="AD45" s="779">
        <v>11.42</v>
      </c>
      <c r="AE45" s="780">
        <v>6.4500000000000002E-2</v>
      </c>
    </row>
    <row r="46" spans="1:33" ht="15" thickBot="1">
      <c r="A46" s="68"/>
      <c r="B46" s="68"/>
      <c r="C46" s="68"/>
      <c r="D46" s="264"/>
      <c r="E46" s="264"/>
      <c r="F46" s="264"/>
      <c r="G46" s="264"/>
      <c r="H46" s="68"/>
      <c r="I46" s="68"/>
      <c r="J46" s="264" t="s">
        <v>516</v>
      </c>
      <c r="K46" s="264" t="s">
        <v>523</v>
      </c>
      <c r="L46" s="264" t="s">
        <v>522</v>
      </c>
      <c r="M46" s="264" t="s">
        <v>521</v>
      </c>
      <c r="N46" s="264" t="s">
        <v>520</v>
      </c>
      <c r="O46" s="68"/>
      <c r="P46" s="68"/>
      <c r="Q46" s="264" t="s">
        <v>20</v>
      </c>
      <c r="R46" s="264" t="s">
        <v>35</v>
      </c>
      <c r="S46" s="264" t="s">
        <v>519</v>
      </c>
      <c r="Y46" s="1342"/>
      <c r="Z46" s="1343"/>
      <c r="AA46" s="778" t="s">
        <v>529</v>
      </c>
      <c r="AB46" s="779">
        <v>0.53</v>
      </c>
      <c r="AC46" s="779">
        <v>2.64</v>
      </c>
      <c r="AD46" s="779">
        <v>2.39</v>
      </c>
      <c r="AE46" s="780">
        <v>1.5699999999999999E-2</v>
      </c>
    </row>
    <row r="47" spans="1:33" ht="15" thickBot="1">
      <c r="A47" s="68"/>
      <c r="B47" s="68"/>
      <c r="C47" s="296"/>
      <c r="D47" s="292"/>
      <c r="E47" s="292"/>
      <c r="F47" s="292"/>
      <c r="G47" s="322"/>
      <c r="H47" s="68"/>
      <c r="I47" s="264" t="s">
        <v>509</v>
      </c>
      <c r="J47" s="292">
        <v>95.92863014631007</v>
      </c>
      <c r="K47" s="292">
        <v>80.255318481584254</v>
      </c>
      <c r="L47" s="292">
        <v>48.808362456406414</v>
      </c>
      <c r="M47" s="292">
        <v>92.677137690233678</v>
      </c>
      <c r="N47" s="292">
        <v>62.905469822444573</v>
      </c>
      <c r="O47" s="68"/>
      <c r="P47" s="68"/>
      <c r="Q47" s="222">
        <v>22.22260663095539</v>
      </c>
      <c r="R47" s="133">
        <v>11.35</v>
      </c>
      <c r="S47" s="222">
        <v>18.007226961888353</v>
      </c>
      <c r="Y47" s="1342"/>
      <c r="Z47" s="1343"/>
      <c r="AA47" s="778" t="s">
        <v>528</v>
      </c>
      <c r="AB47" s="757">
        <v>0.34</v>
      </c>
      <c r="AC47" s="757">
        <v>1.42</v>
      </c>
      <c r="AD47" s="757">
        <v>0.64</v>
      </c>
      <c r="AE47" s="781">
        <v>5.5999999999999999E-3</v>
      </c>
    </row>
    <row r="48" spans="1:33" ht="15" thickBot="1">
      <c r="A48" s="68"/>
      <c r="B48" s="68"/>
      <c r="C48" s="296"/>
      <c r="D48" s="292"/>
      <c r="E48" s="292"/>
      <c r="F48" s="292"/>
      <c r="G48" s="322"/>
      <c r="H48" s="68"/>
      <c r="I48" s="264" t="s">
        <v>508</v>
      </c>
      <c r="J48" s="292">
        <v>2.1056917079795414</v>
      </c>
      <c r="K48" s="292">
        <v>0.4784078399439769</v>
      </c>
      <c r="L48" s="292">
        <v>1.5826905494221946</v>
      </c>
      <c r="M48" s="292">
        <v>6.0908405467846878E-2</v>
      </c>
      <c r="N48" s="292">
        <v>6.212873445498316E-3</v>
      </c>
      <c r="O48" s="68"/>
      <c r="P48" s="68"/>
      <c r="Q48" s="68"/>
      <c r="R48" s="68"/>
      <c r="S48" s="68"/>
      <c r="Y48" s="1342"/>
      <c r="Z48" s="1343"/>
      <c r="AA48" s="278" t="s">
        <v>527</v>
      </c>
      <c r="AB48" s="782">
        <v>9.6000000000000002E-2</v>
      </c>
      <c r="AC48" s="782">
        <v>0.99</v>
      </c>
      <c r="AD48" s="782">
        <v>0.45</v>
      </c>
      <c r="AE48" s="279">
        <v>3.8E-3</v>
      </c>
    </row>
    <row r="49" spans="1:31" ht="15" thickBot="1">
      <c r="A49" s="68"/>
      <c r="B49" s="68"/>
      <c r="C49" s="296"/>
      <c r="D49" s="292"/>
      <c r="E49" s="292"/>
      <c r="F49" s="292"/>
      <c r="G49" s="322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Y49" s="1342"/>
      <c r="Z49" s="1343"/>
      <c r="AA49" s="783" t="s">
        <v>526</v>
      </c>
      <c r="AB49" s="784">
        <v>91.025484859760681</v>
      </c>
      <c r="AC49" s="784">
        <v>72.77451586990513</v>
      </c>
      <c r="AD49" s="784">
        <v>86.28222714221431</v>
      </c>
      <c r="AE49" s="785">
        <v>79.801195068681338</v>
      </c>
    </row>
    <row r="50" spans="1:31">
      <c r="A50" s="68"/>
      <c r="B50" s="68"/>
      <c r="C50" s="296"/>
      <c r="D50" s="292"/>
      <c r="E50" s="292"/>
      <c r="F50" s="292"/>
      <c r="G50" s="322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Y50" s="786"/>
      <c r="Z50" s="786"/>
    </row>
    <row r="51" spans="1:31">
      <c r="A51" s="68"/>
      <c r="B51" s="68"/>
      <c r="C51" s="296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</row>
    <row r="52" spans="1:31">
      <c r="A52" s="68"/>
      <c r="B52" s="68"/>
      <c r="C52" s="296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</row>
    <row r="53" spans="1:31">
      <c r="A53" s="68"/>
      <c r="B53" s="68"/>
      <c r="C53" s="296" t="str">
        <f>C40</f>
        <v>Rec. Experimental</v>
      </c>
      <c r="D53" s="292">
        <v>98.93489098203294</v>
      </c>
      <c r="E53" s="292">
        <v>83.128453890724927</v>
      </c>
      <c r="F53" s="292">
        <v>84.188527472237539</v>
      </c>
      <c r="G53" s="292">
        <v>90.788041242767434</v>
      </c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</row>
    <row r="54" spans="1:31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</row>
    <row r="55" spans="1:31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</row>
    <row r="60" spans="1:31" ht="14.65" customHeight="1">
      <c r="A60" s="1310" t="s">
        <v>534</v>
      </c>
      <c r="B60" s="1311"/>
      <c r="C60" s="1311"/>
      <c r="D60" s="1311"/>
      <c r="E60" s="1311"/>
      <c r="F60" s="1311"/>
      <c r="G60" s="1311"/>
      <c r="H60" s="1311"/>
      <c r="I60" s="1311"/>
      <c r="J60" s="1311"/>
      <c r="K60" s="1311"/>
      <c r="L60" s="1311"/>
      <c r="M60" s="1311"/>
      <c r="N60" s="1311"/>
      <c r="O60" s="1311"/>
      <c r="P60" s="1311"/>
      <c r="Q60" s="1311"/>
      <c r="R60" s="1311"/>
      <c r="S60" s="1311"/>
      <c r="T60" s="1311"/>
    </row>
    <row r="61" spans="1:31" ht="14.65" customHeight="1">
      <c r="A61" s="1312"/>
      <c r="B61" s="1313"/>
      <c r="C61" s="1313"/>
      <c r="D61" s="1313"/>
      <c r="E61" s="1313"/>
      <c r="F61" s="1313"/>
      <c r="G61" s="1313"/>
      <c r="H61" s="1313"/>
      <c r="I61" s="1313"/>
      <c r="J61" s="1313"/>
      <c r="K61" s="1313"/>
      <c r="L61" s="1313"/>
      <c r="M61" s="1313"/>
      <c r="N61" s="1313"/>
      <c r="O61" s="1313"/>
      <c r="P61" s="1313"/>
      <c r="Q61" s="1313"/>
      <c r="R61" s="1313"/>
      <c r="S61" s="1313"/>
      <c r="T61" s="1313"/>
    </row>
    <row r="62" spans="1:31" ht="15" customHeight="1" thickBot="1">
      <c r="A62" s="1312"/>
      <c r="B62" s="1313"/>
      <c r="C62" s="1313"/>
      <c r="D62" s="1313"/>
      <c r="E62" s="1313"/>
      <c r="F62" s="1313"/>
      <c r="G62" s="1313"/>
      <c r="H62" s="1313"/>
      <c r="I62" s="1313"/>
      <c r="J62" s="1313"/>
      <c r="K62" s="1313"/>
      <c r="L62" s="1313"/>
      <c r="M62" s="1313"/>
      <c r="N62" s="1313"/>
      <c r="O62" s="1313"/>
      <c r="P62" s="1313"/>
      <c r="Q62" s="1313"/>
      <c r="R62" s="1313"/>
      <c r="S62" s="1313"/>
      <c r="T62" s="1313"/>
    </row>
    <row r="63" spans="1:31" ht="15" thickBot="1">
      <c r="Y63" s="68"/>
      <c r="Z63" s="68"/>
      <c r="AA63" s="753" t="s">
        <v>20</v>
      </c>
      <c r="AB63" s="753" t="s">
        <v>35</v>
      </c>
      <c r="AC63" s="753" t="s">
        <v>519</v>
      </c>
    </row>
    <row r="64" spans="1:3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Y64" s="1318" t="s">
        <v>704</v>
      </c>
      <c r="Z64" s="1319"/>
      <c r="AA64" s="1344">
        <v>138.83779608652631</v>
      </c>
      <c r="AB64" s="1346">
        <v>10.24</v>
      </c>
      <c r="AC64" s="1344">
        <v>28.688897033638291</v>
      </c>
    </row>
    <row r="65" spans="1:32" ht="15" thickBo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Y65" s="1320"/>
      <c r="Z65" s="1321"/>
      <c r="AA65" s="1345"/>
      <c r="AB65" s="1347"/>
      <c r="AC65" s="1345"/>
    </row>
    <row r="66" spans="1:32" ht="19" thickBot="1">
      <c r="A66" s="68"/>
      <c r="B66" s="1317" t="s">
        <v>533</v>
      </c>
      <c r="C66" s="1317"/>
      <c r="D66" s="1317"/>
      <c r="E66" s="1317"/>
      <c r="F66" s="1317"/>
      <c r="G66" s="1317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Y66" s="1326" t="s">
        <v>710</v>
      </c>
      <c r="Z66" s="1327"/>
      <c r="AA66" s="1330">
        <v>81.599417533005621</v>
      </c>
      <c r="AB66" s="1331">
        <v>12.11</v>
      </c>
      <c r="AC66" s="1330">
        <v>23.938910041467903</v>
      </c>
    </row>
    <row r="67" spans="1:32" ht="15" thickBot="1">
      <c r="A67" s="68"/>
      <c r="B67" s="68"/>
      <c r="C67" s="68"/>
      <c r="D67" s="264" t="s">
        <v>1</v>
      </c>
      <c r="E67" s="264" t="s">
        <v>17</v>
      </c>
      <c r="F67" s="264" t="s">
        <v>52</v>
      </c>
      <c r="G67" s="264" t="s">
        <v>0</v>
      </c>
      <c r="H67" s="68"/>
      <c r="I67" s="68"/>
      <c r="J67" s="264" t="s">
        <v>516</v>
      </c>
      <c r="K67" s="264" t="s">
        <v>523</v>
      </c>
      <c r="L67" s="264" t="s">
        <v>522</v>
      </c>
      <c r="M67" s="264" t="s">
        <v>521</v>
      </c>
      <c r="N67" s="264" t="s">
        <v>520</v>
      </c>
      <c r="O67" s="68"/>
      <c r="P67" s="68"/>
      <c r="Q67" s="264" t="s">
        <v>20</v>
      </c>
      <c r="R67" s="264" t="s">
        <v>35</v>
      </c>
      <c r="S67" s="264" t="s">
        <v>519</v>
      </c>
      <c r="Y67" s="1328"/>
      <c r="Z67" s="1329"/>
      <c r="AA67" s="1330"/>
      <c r="AB67" s="1331"/>
      <c r="AC67" s="1330"/>
    </row>
    <row r="68" spans="1:32" ht="15" thickBot="1">
      <c r="A68" s="68"/>
      <c r="B68" s="68"/>
      <c r="C68" s="296" t="s">
        <v>532</v>
      </c>
      <c r="D68" s="292">
        <v>0.48</v>
      </c>
      <c r="E68" s="292">
        <v>2.44</v>
      </c>
      <c r="F68" s="292">
        <v>2.33</v>
      </c>
      <c r="G68" s="322">
        <v>2.18E-2</v>
      </c>
      <c r="H68" s="68"/>
      <c r="I68" s="264" t="s">
        <v>509</v>
      </c>
      <c r="J68" s="292">
        <v>92.185475808852729</v>
      </c>
      <c r="K68" s="292">
        <v>89.770394979205591</v>
      </c>
      <c r="L68" s="292">
        <v>89.729065995969506</v>
      </c>
      <c r="M68" s="292">
        <v>35.408598672663125</v>
      </c>
      <c r="N68" s="292">
        <v>40.145638446317875</v>
      </c>
      <c r="O68" s="68"/>
      <c r="P68" s="68"/>
      <c r="Q68" s="222">
        <v>138.83779608652631</v>
      </c>
      <c r="R68" s="133">
        <v>10.24</v>
      </c>
      <c r="S68" s="222">
        <v>28.688897033638291</v>
      </c>
      <c r="Y68" s="1322" t="s">
        <v>711</v>
      </c>
      <c r="Z68" s="1323"/>
      <c r="AA68" s="1330">
        <v>68.977201736649107</v>
      </c>
      <c r="AB68" s="1331">
        <v>12.01</v>
      </c>
      <c r="AC68" s="1330">
        <v>22.863422348761254</v>
      </c>
    </row>
    <row r="69" spans="1:32" ht="15" thickBot="1">
      <c r="A69" s="68"/>
      <c r="B69" s="68"/>
      <c r="C69" s="296" t="s">
        <v>531</v>
      </c>
      <c r="D69" s="292">
        <v>3.83</v>
      </c>
      <c r="E69" s="292">
        <v>23.4</v>
      </c>
      <c r="F69" s="292">
        <v>25.28</v>
      </c>
      <c r="G69" s="322">
        <v>8.9300000000000004E-2</v>
      </c>
      <c r="H69" s="68"/>
      <c r="I69" s="264" t="s">
        <v>508</v>
      </c>
      <c r="J69" s="292">
        <v>1.1439698867849231</v>
      </c>
      <c r="K69" s="292">
        <v>0.46761731225833342</v>
      </c>
      <c r="L69" s="292">
        <v>1.9270483349969887</v>
      </c>
      <c r="M69" s="292">
        <v>1.4157880060614811</v>
      </c>
      <c r="N69" s="292">
        <v>2.9689288942213881E-2</v>
      </c>
      <c r="O69" s="68"/>
      <c r="P69" s="68"/>
      <c r="Q69" s="68"/>
      <c r="R69" s="68"/>
      <c r="S69" s="68"/>
      <c r="Y69" s="1324"/>
      <c r="Z69" s="1325"/>
      <c r="AA69" s="1330"/>
      <c r="AB69" s="1331"/>
      <c r="AC69" s="1330"/>
    </row>
    <row r="70" spans="1:32">
      <c r="A70" s="68"/>
      <c r="B70" s="68"/>
      <c r="C70" s="296" t="s">
        <v>530</v>
      </c>
      <c r="D70" s="292">
        <v>2.3199999999999998</v>
      </c>
      <c r="E70" s="292">
        <v>7.62</v>
      </c>
      <c r="F70" s="292">
        <v>8.86</v>
      </c>
      <c r="G70" s="322">
        <v>0.1198</v>
      </c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Y70" s="1348"/>
      <c r="Z70" s="1348"/>
      <c r="AA70" s="1349"/>
      <c r="AB70" s="1350"/>
      <c r="AC70" s="1349"/>
    </row>
    <row r="71" spans="1:32">
      <c r="A71" s="68"/>
      <c r="B71" s="68"/>
      <c r="C71" s="296" t="s">
        <v>529</v>
      </c>
      <c r="D71" s="292">
        <v>0.74</v>
      </c>
      <c r="E71" s="292">
        <v>1.81</v>
      </c>
      <c r="F71" s="292">
        <v>1.79</v>
      </c>
      <c r="G71" s="322">
        <v>6.83E-2</v>
      </c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Y71" s="1348"/>
      <c r="Z71" s="1348"/>
      <c r="AA71" s="1349"/>
      <c r="AB71" s="1350"/>
      <c r="AC71" s="1349"/>
      <c r="AD71" s="68"/>
      <c r="AE71" s="68"/>
      <c r="AF71" s="68"/>
    </row>
    <row r="72" spans="1:32">
      <c r="A72" s="68"/>
      <c r="B72" s="68"/>
      <c r="C72" s="296" t="s">
        <v>528</v>
      </c>
      <c r="D72" s="68">
        <v>0.08</v>
      </c>
      <c r="E72" s="68">
        <v>0.7</v>
      </c>
      <c r="F72" s="68">
        <v>0.42</v>
      </c>
      <c r="G72" s="68">
        <v>6.7000000000000002E-3</v>
      </c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AD72" s="68"/>
      <c r="AE72" s="68"/>
      <c r="AF72" s="68"/>
    </row>
    <row r="73" spans="1:32" ht="15" thickBot="1">
      <c r="A73" s="68"/>
      <c r="B73" s="68"/>
      <c r="C73" s="296" t="s">
        <v>527</v>
      </c>
      <c r="D73" s="68">
        <v>0.04</v>
      </c>
      <c r="E73" s="68">
        <v>0.67</v>
      </c>
      <c r="F73" s="68">
        <v>0.28000000000000003</v>
      </c>
      <c r="G73" s="68">
        <v>2.5000000000000001E-3</v>
      </c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AD73" s="68"/>
      <c r="AE73" s="68"/>
      <c r="AF73" s="68"/>
    </row>
    <row r="74" spans="1:32" ht="15" thickBot="1">
      <c r="A74" s="68"/>
      <c r="B74" s="68"/>
      <c r="C74" s="296" t="s">
        <v>526</v>
      </c>
      <c r="D74" s="292">
        <v>94.715847559548735</v>
      </c>
      <c r="E74" s="292">
        <v>84.008166879253636</v>
      </c>
      <c r="F74" s="292">
        <v>92.957715469221867</v>
      </c>
      <c r="G74" s="292">
        <v>92.755632178899916</v>
      </c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AB74" s="754" t="s">
        <v>1</v>
      </c>
      <c r="AC74" s="755" t="s">
        <v>17</v>
      </c>
      <c r="AD74" s="755" t="s">
        <v>52</v>
      </c>
      <c r="AE74" s="756" t="s">
        <v>0</v>
      </c>
    </row>
    <row r="75" spans="1:32" ht="15" thickBo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Y75" s="1318" t="s">
        <v>704</v>
      </c>
      <c r="Z75" s="1319"/>
      <c r="AA75" s="1351" t="s">
        <v>707</v>
      </c>
      <c r="AB75" s="1332">
        <v>94.715847559548735</v>
      </c>
      <c r="AC75" s="1333">
        <v>84.008166879253636</v>
      </c>
      <c r="AD75" s="1333">
        <v>92.957715469221867</v>
      </c>
      <c r="AE75" s="1334">
        <v>92.755632178899916</v>
      </c>
    </row>
    <row r="76" spans="1:32" ht="15" thickBo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Y76" s="1320"/>
      <c r="Z76" s="1321"/>
      <c r="AA76" s="1352"/>
      <c r="AB76" s="1332"/>
      <c r="AC76" s="1333"/>
      <c r="AD76" s="1333"/>
      <c r="AE76" s="1334"/>
    </row>
    <row r="77" spans="1:32" ht="15" thickBo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Y77" s="1326" t="s">
        <v>710</v>
      </c>
      <c r="Z77" s="1327"/>
      <c r="AA77" s="1352"/>
      <c r="AB77" s="1332">
        <v>99.31054792019161</v>
      </c>
      <c r="AC77" s="1333">
        <v>87.060555253892232</v>
      </c>
      <c r="AD77" s="1333">
        <v>87.543881011642441</v>
      </c>
      <c r="AE77" s="1334">
        <v>93.073200389565116</v>
      </c>
    </row>
    <row r="78" spans="1:32" ht="15" thickBo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Y78" s="1328"/>
      <c r="Z78" s="1329"/>
      <c r="AA78" s="1352"/>
      <c r="AB78" s="1332"/>
      <c r="AC78" s="1333"/>
      <c r="AD78" s="1333"/>
      <c r="AE78" s="1334"/>
    </row>
    <row r="79" spans="1:32" ht="19" thickBot="1">
      <c r="A79" s="68"/>
      <c r="B79" s="1317" t="s">
        <v>525</v>
      </c>
      <c r="C79" s="1317"/>
      <c r="D79" s="1317"/>
      <c r="E79" s="1317"/>
      <c r="F79" s="1317"/>
      <c r="G79" s="1317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Y79" s="1322" t="s">
        <v>711</v>
      </c>
      <c r="Z79" s="1323"/>
      <c r="AA79" s="1352"/>
      <c r="AB79" s="1332">
        <v>99.458051718699679</v>
      </c>
      <c r="AC79" s="1333">
        <v>89.595593273334018</v>
      </c>
      <c r="AD79" s="1333">
        <v>90.586176555492742</v>
      </c>
      <c r="AE79" s="1334">
        <v>90.787905203362257</v>
      </c>
    </row>
    <row r="80" spans="1:32" ht="15" thickBot="1">
      <c r="A80" s="68"/>
      <c r="B80" s="68"/>
      <c r="C80" s="68"/>
      <c r="D80" s="264"/>
      <c r="E80" s="264"/>
      <c r="F80" s="264"/>
      <c r="G80" s="264"/>
      <c r="H80" s="68"/>
      <c r="I80" s="68"/>
      <c r="J80" s="264" t="s">
        <v>516</v>
      </c>
      <c r="K80" s="264" t="s">
        <v>523</v>
      </c>
      <c r="L80" s="264" t="s">
        <v>522</v>
      </c>
      <c r="M80" s="264" t="s">
        <v>521</v>
      </c>
      <c r="N80" s="264" t="s">
        <v>520</v>
      </c>
      <c r="O80" s="68"/>
      <c r="P80" s="68"/>
      <c r="Q80" s="264" t="s">
        <v>20</v>
      </c>
      <c r="R80" s="264" t="s">
        <v>35</v>
      </c>
      <c r="S80" s="264" t="s">
        <v>519</v>
      </c>
      <c r="Y80" s="1324"/>
      <c r="Z80" s="1325"/>
      <c r="AA80" s="1353"/>
      <c r="AB80" s="1332"/>
      <c r="AC80" s="1333"/>
      <c r="AD80" s="1333"/>
      <c r="AE80" s="1334"/>
    </row>
    <row r="81" spans="1:32" ht="15" thickBot="1">
      <c r="A81" s="68"/>
      <c r="B81" s="68"/>
      <c r="C81" s="296"/>
      <c r="D81" s="292"/>
      <c r="E81" s="292"/>
      <c r="F81" s="292"/>
      <c r="G81" s="322"/>
      <c r="H81" s="68"/>
      <c r="I81" s="264" t="s">
        <v>509</v>
      </c>
      <c r="J81" s="292">
        <v>97.780972956710315</v>
      </c>
      <c r="K81" s="292">
        <v>89.640164847942557</v>
      </c>
      <c r="L81" s="292">
        <v>79.329619730453359</v>
      </c>
      <c r="M81" s="292">
        <v>99.99</v>
      </c>
      <c r="N81" s="292">
        <v>53.746115973128489</v>
      </c>
      <c r="O81" s="68"/>
      <c r="P81" s="68"/>
      <c r="Q81" s="222">
        <v>81.599417533005621</v>
      </c>
      <c r="R81" s="133">
        <v>12.11</v>
      </c>
      <c r="S81" s="222">
        <v>23.938910041467903</v>
      </c>
      <c r="Y81" s="1354"/>
      <c r="Z81" s="1323"/>
      <c r="AA81" s="787"/>
      <c r="AB81" s="1356"/>
      <c r="AC81" s="1356"/>
      <c r="AD81" s="1356"/>
      <c r="AE81" s="1356"/>
    </row>
    <row r="82" spans="1:32">
      <c r="A82" s="68"/>
      <c r="B82" s="68"/>
      <c r="C82" s="296"/>
      <c r="D82" s="292"/>
      <c r="E82" s="292"/>
      <c r="F82" s="292"/>
      <c r="G82" s="322"/>
      <c r="H82" s="68"/>
      <c r="I82" s="264" t="s">
        <v>508</v>
      </c>
      <c r="J82" s="292">
        <v>1.165546860108009</v>
      </c>
      <c r="K82" s="292">
        <v>0.49519834471161545</v>
      </c>
      <c r="L82" s="292">
        <v>0.40764993651627912</v>
      </c>
      <c r="M82" s="292">
        <v>0.17523330647699609</v>
      </c>
      <c r="N82" s="292">
        <v>0.40419138074664723</v>
      </c>
      <c r="O82" s="68"/>
      <c r="P82" s="68"/>
      <c r="Q82" s="68"/>
      <c r="R82" s="68"/>
      <c r="S82" s="68"/>
      <c r="Y82" s="1355"/>
      <c r="Z82" s="1329"/>
      <c r="AA82" s="788"/>
      <c r="AB82" s="1357"/>
      <c r="AC82" s="1357"/>
      <c r="AD82" s="1357"/>
      <c r="AE82" s="1357"/>
    </row>
    <row r="83" spans="1:32">
      <c r="A83" s="68"/>
      <c r="B83" s="68"/>
      <c r="C83" s="296"/>
      <c r="D83" s="292"/>
      <c r="E83" s="292"/>
      <c r="F83" s="292"/>
      <c r="G83" s="322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Y83" s="68"/>
      <c r="Z83" s="68"/>
      <c r="AA83" s="68"/>
    </row>
    <row r="84" spans="1:32">
      <c r="A84" s="68"/>
      <c r="B84" s="68"/>
      <c r="C84" s="296"/>
      <c r="D84" s="292"/>
      <c r="E84" s="292"/>
      <c r="F84" s="292"/>
      <c r="G84" s="322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Y84" s="68"/>
      <c r="Z84" s="68"/>
      <c r="AA84" s="68"/>
      <c r="AB84" s="68"/>
      <c r="AC84" s="68"/>
      <c r="AD84" s="68"/>
      <c r="AE84" s="68"/>
      <c r="AF84" s="68"/>
    </row>
    <row r="85" spans="1:32" ht="15" thickBot="1">
      <c r="A85" s="68"/>
      <c r="B85" s="68"/>
      <c r="C85" s="296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Y85" s="758"/>
      <c r="Z85" s="758"/>
      <c r="AA85" s="68"/>
      <c r="AB85" s="68"/>
      <c r="AC85" s="68"/>
      <c r="AD85" s="68"/>
      <c r="AE85" s="68"/>
      <c r="AF85" s="68"/>
    </row>
    <row r="86" spans="1:32" ht="15" thickBot="1">
      <c r="A86" s="68"/>
      <c r="B86" s="68"/>
      <c r="C86" s="296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Y86" s="759"/>
      <c r="Z86" s="759"/>
      <c r="AA86" s="760" t="s">
        <v>16</v>
      </c>
      <c r="AB86" s="761" t="s">
        <v>516</v>
      </c>
      <c r="AC86" s="761" t="s">
        <v>523</v>
      </c>
      <c r="AD86" s="761" t="s">
        <v>522</v>
      </c>
      <c r="AE86" s="761" t="s">
        <v>521</v>
      </c>
      <c r="AF86" s="762" t="s">
        <v>708</v>
      </c>
    </row>
    <row r="87" spans="1:32">
      <c r="A87" s="68"/>
      <c r="B87" s="68"/>
      <c r="C87" s="296" t="str">
        <f>C74</f>
        <v>Rec. Experimental</v>
      </c>
      <c r="D87" s="292">
        <v>99.31054792019161</v>
      </c>
      <c r="E87" s="292">
        <v>87.060555253892232</v>
      </c>
      <c r="F87" s="292">
        <v>87.543881011642441</v>
      </c>
      <c r="G87" s="292">
        <v>93.073200389565116</v>
      </c>
      <c r="H87" s="68"/>
      <c r="I87" s="68"/>
      <c r="J87" s="323"/>
      <c r="K87" s="323"/>
      <c r="L87" s="323"/>
      <c r="M87" s="323"/>
      <c r="N87" s="323"/>
      <c r="O87" s="68"/>
      <c r="P87" s="68"/>
      <c r="Q87" s="68"/>
      <c r="R87" s="68"/>
      <c r="S87" s="68"/>
      <c r="Y87" s="1318" t="s">
        <v>704</v>
      </c>
      <c r="Z87" s="1336"/>
      <c r="AA87" s="763" t="s">
        <v>509</v>
      </c>
      <c r="AB87" s="773">
        <v>92.185475808852729</v>
      </c>
      <c r="AC87" s="773">
        <v>89.770394979205591</v>
      </c>
      <c r="AD87" s="773">
        <v>89.729065995969506</v>
      </c>
      <c r="AE87" s="773">
        <v>35.408598672663125</v>
      </c>
      <c r="AF87" s="765">
        <v>40.145638446317875</v>
      </c>
    </row>
    <row r="88" spans="1:32" ht="15" thickBot="1">
      <c r="A88" s="68"/>
      <c r="B88" s="68"/>
      <c r="C88" s="68"/>
      <c r="D88" s="68"/>
      <c r="E88" s="68"/>
      <c r="F88" s="68"/>
      <c r="G88" s="68"/>
      <c r="H88" s="68"/>
      <c r="I88" s="68"/>
      <c r="J88" s="323"/>
      <c r="K88" s="323"/>
      <c r="L88" s="323"/>
      <c r="M88" s="323"/>
      <c r="N88" s="323"/>
      <c r="O88" s="68"/>
      <c r="P88" s="68"/>
      <c r="Q88" s="68"/>
      <c r="R88" s="68"/>
      <c r="S88" s="68"/>
      <c r="Y88" s="1320"/>
      <c r="Z88" s="1337"/>
      <c r="AA88" s="766" t="s">
        <v>508</v>
      </c>
      <c r="AB88" s="767">
        <v>1.1439698867849231</v>
      </c>
      <c r="AC88" s="767">
        <v>0.46761731225833342</v>
      </c>
      <c r="AD88" s="767">
        <v>1.9270483349969887</v>
      </c>
      <c r="AE88" s="767">
        <v>1.4157880060614811</v>
      </c>
      <c r="AF88" s="768">
        <v>2.9689288942213881E-2</v>
      </c>
    </row>
    <row r="89" spans="1:32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Y89" s="1326" t="s">
        <v>710</v>
      </c>
      <c r="Z89" s="1338"/>
      <c r="AA89" s="763" t="s">
        <v>509</v>
      </c>
      <c r="AB89" s="773">
        <v>97.780972956710315</v>
      </c>
      <c r="AC89" s="773">
        <v>89.640164847942557</v>
      </c>
      <c r="AD89" s="773">
        <v>79.329619730453359</v>
      </c>
      <c r="AE89" s="773">
        <v>99.99</v>
      </c>
      <c r="AF89" s="765">
        <v>53.746115973128489</v>
      </c>
    </row>
    <row r="90" spans="1:32" ht="15" thickBo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Y90" s="1328"/>
      <c r="Z90" s="1339"/>
      <c r="AA90" s="770" t="s">
        <v>508</v>
      </c>
      <c r="AB90" s="767">
        <v>1.165546860108009</v>
      </c>
      <c r="AC90" s="767">
        <v>0.49519834471161545</v>
      </c>
      <c r="AD90" s="767">
        <v>0.40764993651627912</v>
      </c>
      <c r="AE90" s="767">
        <v>0.17523330647699609</v>
      </c>
      <c r="AF90" s="768">
        <v>0.40419138074664723</v>
      </c>
    </row>
    <row r="91" spans="1:32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Y91" s="1322" t="s">
        <v>711</v>
      </c>
      <c r="Z91" s="1340"/>
      <c r="AA91" s="772" t="s">
        <v>509</v>
      </c>
      <c r="AB91" s="773">
        <v>99.99</v>
      </c>
      <c r="AC91" s="773">
        <v>86.640000164838938</v>
      </c>
      <c r="AD91" s="773">
        <v>83.747781472468873</v>
      </c>
      <c r="AE91" s="773">
        <v>99.375716154547547</v>
      </c>
      <c r="AF91" s="765">
        <v>51.633962136851807</v>
      </c>
    </row>
    <row r="92" spans="1:32" ht="19" thickBot="1">
      <c r="A92" s="68"/>
      <c r="B92" s="1317" t="s">
        <v>524</v>
      </c>
      <c r="C92" s="1317"/>
      <c r="D92" s="1317"/>
      <c r="E92" s="1317"/>
      <c r="F92" s="1317"/>
      <c r="G92" s="1317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Y92" s="1324"/>
      <c r="Z92" s="1341"/>
      <c r="AA92" s="766" t="s">
        <v>508</v>
      </c>
      <c r="AB92" s="767">
        <v>1.3012425493794957</v>
      </c>
      <c r="AC92" s="767">
        <v>0.41542457505627117</v>
      </c>
      <c r="AD92" s="767">
        <v>0.46139913410766464</v>
      </c>
      <c r="AE92" s="767">
        <v>0.13430964796436459</v>
      </c>
      <c r="AF92" s="768">
        <v>0.33462162795988859</v>
      </c>
    </row>
    <row r="93" spans="1:32">
      <c r="A93" s="68"/>
      <c r="B93" s="68"/>
      <c r="C93" s="68"/>
      <c r="D93" s="264"/>
      <c r="E93" s="264"/>
      <c r="F93" s="264"/>
      <c r="G93" s="264"/>
      <c r="H93" s="68"/>
      <c r="I93" s="68"/>
      <c r="J93" s="264" t="s">
        <v>516</v>
      </c>
      <c r="K93" s="264" t="s">
        <v>523</v>
      </c>
      <c r="L93" s="264" t="s">
        <v>522</v>
      </c>
      <c r="M93" s="264" t="s">
        <v>521</v>
      </c>
      <c r="N93" s="264" t="s">
        <v>520</v>
      </c>
      <c r="O93" s="68"/>
      <c r="P93" s="68"/>
      <c r="Q93" s="264" t="s">
        <v>20</v>
      </c>
      <c r="R93" s="264" t="s">
        <v>35</v>
      </c>
      <c r="S93" s="264" t="s">
        <v>519</v>
      </c>
      <c r="Y93" s="1354"/>
      <c r="Z93" s="1323"/>
      <c r="AA93" s="789"/>
      <c r="AB93" s="790"/>
      <c r="AC93" s="790"/>
      <c r="AD93" s="790"/>
      <c r="AE93" s="790"/>
      <c r="AF93" s="790"/>
    </row>
    <row r="94" spans="1:32">
      <c r="A94" s="68"/>
      <c r="B94" s="68"/>
      <c r="C94" s="296"/>
      <c r="D94" s="292"/>
      <c r="E94" s="292"/>
      <c r="F94" s="292"/>
      <c r="G94" s="322"/>
      <c r="H94" s="68"/>
      <c r="I94" s="264" t="s">
        <v>509</v>
      </c>
      <c r="J94" s="292">
        <v>99.99</v>
      </c>
      <c r="K94" s="292">
        <v>86.640000164838938</v>
      </c>
      <c r="L94" s="292">
        <v>83.747781472468873</v>
      </c>
      <c r="M94" s="292">
        <v>99.375716154547547</v>
      </c>
      <c r="N94" s="292">
        <v>51.633962136851807</v>
      </c>
      <c r="O94" s="68"/>
      <c r="P94" s="68"/>
      <c r="Q94" s="222">
        <v>68.977201736649107</v>
      </c>
      <c r="R94" s="133">
        <v>12.01</v>
      </c>
      <c r="S94" s="222">
        <v>22.863422348761254</v>
      </c>
      <c r="Y94" s="1355"/>
      <c r="Z94" s="1329"/>
      <c r="AA94" s="791"/>
      <c r="AB94" s="792"/>
      <c r="AC94" s="792"/>
      <c r="AD94" s="792"/>
      <c r="AE94" s="792"/>
      <c r="AF94" s="792"/>
    </row>
    <row r="95" spans="1:32" ht="15" thickBot="1">
      <c r="A95" s="68"/>
      <c r="B95" s="68"/>
      <c r="C95" s="296"/>
      <c r="D95" s="292"/>
      <c r="E95" s="292"/>
      <c r="F95" s="292"/>
      <c r="G95" s="322"/>
      <c r="H95" s="68"/>
      <c r="I95" s="264" t="s">
        <v>508</v>
      </c>
      <c r="J95" s="292">
        <v>1.3012425493794957</v>
      </c>
      <c r="K95" s="292">
        <v>0.41542457505627117</v>
      </c>
      <c r="L95" s="292">
        <v>0.46139913410766464</v>
      </c>
      <c r="M95" s="292">
        <v>0.13430964796436459</v>
      </c>
      <c r="N95" s="292">
        <v>0.33462162795988859</v>
      </c>
      <c r="O95" s="68"/>
      <c r="P95" s="68"/>
      <c r="Q95" s="68"/>
      <c r="R95" s="68"/>
      <c r="S95" s="68"/>
      <c r="AF95" s="68"/>
    </row>
    <row r="96" spans="1:32" ht="15" thickBot="1">
      <c r="A96" s="68"/>
      <c r="B96" s="68"/>
      <c r="C96" s="296"/>
      <c r="D96" s="292"/>
      <c r="E96" s="292"/>
      <c r="F96" s="292"/>
      <c r="G96" s="322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Y96" s="68"/>
      <c r="Z96" s="68"/>
      <c r="AA96" s="793" t="s">
        <v>709</v>
      </c>
      <c r="AB96" s="794" t="s">
        <v>1</v>
      </c>
      <c r="AC96" s="794" t="s">
        <v>17</v>
      </c>
      <c r="AD96" s="794" t="s">
        <v>52</v>
      </c>
      <c r="AE96" s="795" t="s">
        <v>0</v>
      </c>
    </row>
    <row r="97" spans="1:38" ht="15" thickBot="1">
      <c r="A97" s="68"/>
      <c r="B97" s="68"/>
      <c r="C97" s="296"/>
      <c r="D97" s="292"/>
      <c r="E97" s="292"/>
      <c r="F97" s="292"/>
      <c r="G97" s="322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Y97" s="1342" t="s">
        <v>704</v>
      </c>
      <c r="Z97" s="1343"/>
      <c r="AA97" s="778" t="s">
        <v>532</v>
      </c>
      <c r="AB97" s="779">
        <v>0.48</v>
      </c>
      <c r="AC97" s="779">
        <v>2.44</v>
      </c>
      <c r="AD97" s="779">
        <v>2.33</v>
      </c>
      <c r="AE97" s="780">
        <v>2.18E-2</v>
      </c>
    </row>
    <row r="98" spans="1:38" ht="15" thickBot="1">
      <c r="A98" s="68"/>
      <c r="B98" s="68"/>
      <c r="C98" s="296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Y98" s="1342"/>
      <c r="Z98" s="1343"/>
      <c r="AA98" s="778" t="s">
        <v>531</v>
      </c>
      <c r="AB98" s="779">
        <v>3.83</v>
      </c>
      <c r="AC98" s="779">
        <v>23.4</v>
      </c>
      <c r="AD98" s="779">
        <v>25.28</v>
      </c>
      <c r="AE98" s="780">
        <v>8.9300000000000004E-2</v>
      </c>
    </row>
    <row r="99" spans="1:38" ht="15" thickBot="1">
      <c r="A99" s="68"/>
      <c r="B99" s="68"/>
      <c r="C99" s="296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Y99" s="1342"/>
      <c r="Z99" s="1343"/>
      <c r="AA99" s="778" t="s">
        <v>530</v>
      </c>
      <c r="AB99" s="779">
        <v>2.3199999999999998</v>
      </c>
      <c r="AC99" s="779">
        <v>7.62</v>
      </c>
      <c r="AD99" s="779">
        <v>8.86</v>
      </c>
      <c r="AE99" s="780">
        <v>0.1198</v>
      </c>
    </row>
    <row r="100" spans="1:38" ht="15" thickBot="1">
      <c r="A100" s="68"/>
      <c r="B100" s="68"/>
      <c r="C100" s="296" t="str">
        <f>C87</f>
        <v>Rec. Experimental</v>
      </c>
      <c r="D100" s="292">
        <v>99.458051718699679</v>
      </c>
      <c r="E100" s="292">
        <v>89.595593273334018</v>
      </c>
      <c r="F100" s="292">
        <v>90.586176555492742</v>
      </c>
      <c r="G100" s="292">
        <v>90.787905203362257</v>
      </c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Y100" s="1342"/>
      <c r="Z100" s="1343"/>
      <c r="AA100" s="778" t="s">
        <v>529</v>
      </c>
      <c r="AB100" s="779">
        <v>0.74</v>
      </c>
      <c r="AC100" s="779">
        <v>1.81</v>
      </c>
      <c r="AD100" s="779">
        <v>1.79</v>
      </c>
      <c r="AE100" s="780">
        <v>6.83E-2</v>
      </c>
    </row>
    <row r="101" spans="1:38" ht="15" thickBot="1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Y101" s="1342"/>
      <c r="Z101" s="1343"/>
      <c r="AA101" s="778" t="s">
        <v>528</v>
      </c>
      <c r="AB101" s="757">
        <v>0.08</v>
      </c>
      <c r="AC101" s="757">
        <v>0.7</v>
      </c>
      <c r="AD101" s="757">
        <v>0.42</v>
      </c>
      <c r="AE101" s="781">
        <v>6.7000000000000002E-3</v>
      </c>
    </row>
    <row r="102" spans="1:38" ht="15" thickBot="1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Y102" s="1342"/>
      <c r="Z102" s="1343"/>
      <c r="AA102" s="778" t="s">
        <v>527</v>
      </c>
      <c r="AB102" s="757">
        <v>0.04</v>
      </c>
      <c r="AC102" s="757">
        <v>0.67</v>
      </c>
      <c r="AD102" s="757">
        <v>0.28000000000000003</v>
      </c>
      <c r="AE102" s="781">
        <v>2.5000000000000001E-3</v>
      </c>
    </row>
    <row r="103" spans="1:38" ht="15" thickBot="1">
      <c r="Y103" s="1342"/>
      <c r="Z103" s="1343"/>
      <c r="AA103" s="278" t="s">
        <v>526</v>
      </c>
      <c r="AB103" s="796">
        <v>94.715847559548735</v>
      </c>
      <c r="AC103" s="796">
        <v>84.008166879253636</v>
      </c>
      <c r="AD103" s="796">
        <v>92.957715469221867</v>
      </c>
      <c r="AE103" s="290">
        <v>92.755632178899916</v>
      </c>
    </row>
    <row r="105" spans="1:38">
      <c r="AG105" s="68"/>
    </row>
    <row r="106" spans="1:38" ht="14.65" customHeight="1">
      <c r="A106" s="1310" t="s">
        <v>518</v>
      </c>
      <c r="B106" s="1311"/>
      <c r="C106" s="1311"/>
      <c r="D106" s="1311"/>
      <c r="E106" s="1311"/>
      <c r="F106" s="1311"/>
      <c r="G106" s="1311"/>
      <c r="H106" s="1311"/>
      <c r="I106" s="1311"/>
      <c r="J106" s="1311"/>
      <c r="K106" s="1311"/>
      <c r="L106" s="1311"/>
      <c r="M106" s="1311"/>
      <c r="N106" s="1311"/>
      <c r="O106" s="1311"/>
      <c r="P106" s="1311"/>
      <c r="Q106" s="1311"/>
      <c r="R106" s="1311"/>
      <c r="S106" s="1311"/>
      <c r="T106" s="1311"/>
    </row>
    <row r="107" spans="1:38" ht="14.65" customHeight="1">
      <c r="A107" s="1312"/>
      <c r="B107" s="1313"/>
      <c r="C107" s="1313"/>
      <c r="D107" s="1313"/>
      <c r="E107" s="1313"/>
      <c r="F107" s="1313"/>
      <c r="G107" s="1313"/>
      <c r="H107" s="1313"/>
      <c r="I107" s="1313"/>
      <c r="J107" s="1313"/>
      <c r="K107" s="1313"/>
      <c r="L107" s="1313"/>
      <c r="M107" s="1313"/>
      <c r="N107" s="1313"/>
      <c r="O107" s="1313"/>
      <c r="P107" s="1313"/>
      <c r="Q107" s="1313"/>
      <c r="R107" s="1313"/>
      <c r="S107" s="1313"/>
      <c r="T107" s="1313"/>
    </row>
    <row r="108" spans="1:38" ht="14.65" customHeight="1">
      <c r="A108" s="1312"/>
      <c r="B108" s="1313"/>
      <c r="C108" s="1313"/>
      <c r="D108" s="1313"/>
      <c r="E108" s="1313"/>
      <c r="F108" s="1313"/>
      <c r="G108" s="1313"/>
      <c r="H108" s="1313"/>
      <c r="I108" s="1313"/>
      <c r="J108" s="1313"/>
      <c r="K108" s="1313"/>
      <c r="L108" s="1313"/>
      <c r="M108" s="1313"/>
      <c r="N108" s="1313"/>
      <c r="O108" s="1313"/>
      <c r="P108" s="1313"/>
      <c r="Q108" s="1313"/>
      <c r="R108" s="1313"/>
      <c r="S108" s="1313"/>
      <c r="T108" s="1313"/>
    </row>
    <row r="109" spans="1:38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/>
      <c r="AG109" s="68"/>
      <c r="AH109" s="68"/>
      <c r="AI109" s="68"/>
      <c r="AJ109" s="68"/>
      <c r="AK109" s="68"/>
      <c r="AL109" s="68"/>
    </row>
    <row r="110" spans="1:38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  <c r="AB110" s="68"/>
      <c r="AC110" s="68"/>
      <c r="AD110" s="68"/>
      <c r="AE110" s="68"/>
      <c r="AF110" s="68"/>
      <c r="AG110" s="68"/>
      <c r="AH110" s="68"/>
      <c r="AI110" s="68"/>
      <c r="AJ110" s="68"/>
      <c r="AK110" s="68"/>
      <c r="AL110" s="68"/>
    </row>
    <row r="111" spans="1:38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  <c r="AH111" s="68"/>
      <c r="AI111" s="68"/>
      <c r="AJ111" s="68"/>
      <c r="AK111" s="68"/>
      <c r="AL111" s="68"/>
    </row>
    <row r="112" spans="1:38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1314" t="s">
        <v>517</v>
      </c>
      <c r="U112" s="1315"/>
      <c r="V112" s="1315"/>
      <c r="W112" s="1315"/>
      <c r="X112" s="321" t="s">
        <v>20</v>
      </c>
      <c r="Y112" s="320" t="s">
        <v>516</v>
      </c>
      <c r="Z112" s="319" t="s">
        <v>516</v>
      </c>
      <c r="AA112" s="318" t="s">
        <v>514</v>
      </c>
      <c r="AB112" s="68"/>
      <c r="AC112" s="68"/>
      <c r="AD112" s="68"/>
      <c r="AE112" s="68"/>
      <c r="AF112" s="68"/>
      <c r="AG112" s="68"/>
      <c r="AH112" s="68"/>
      <c r="AI112" s="68"/>
      <c r="AJ112" s="68"/>
      <c r="AK112" s="68"/>
      <c r="AL112" s="68"/>
    </row>
    <row r="113" spans="1:38" ht="29">
      <c r="A113" s="68"/>
      <c r="B113" s="317" t="s">
        <v>515</v>
      </c>
      <c r="C113" s="264" t="s">
        <v>514</v>
      </c>
      <c r="D113" s="264" t="s">
        <v>513</v>
      </c>
      <c r="E113" s="264" t="s">
        <v>513</v>
      </c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316" t="s">
        <v>1</v>
      </c>
      <c r="U113" s="315" t="s">
        <v>17</v>
      </c>
      <c r="V113" s="315" t="s">
        <v>52</v>
      </c>
      <c r="W113" s="315" t="s">
        <v>0</v>
      </c>
      <c r="X113" s="314" t="s">
        <v>512</v>
      </c>
      <c r="Y113" s="313" t="s">
        <v>509</v>
      </c>
      <c r="Z113" s="312" t="s">
        <v>508</v>
      </c>
      <c r="AA113" s="311" t="s">
        <v>510</v>
      </c>
      <c r="AB113" s="68"/>
      <c r="AC113" s="68"/>
      <c r="AD113" s="68"/>
      <c r="AE113" s="68"/>
      <c r="AF113" s="68"/>
      <c r="AG113" s="68"/>
      <c r="AH113" s="68"/>
      <c r="AI113" s="68"/>
      <c r="AJ113" s="68"/>
      <c r="AK113" s="68"/>
      <c r="AL113" s="68"/>
    </row>
    <row r="114" spans="1:38">
      <c r="A114" s="68"/>
      <c r="B114" s="310" t="s">
        <v>511</v>
      </c>
      <c r="C114" s="309" t="s">
        <v>510</v>
      </c>
      <c r="D114" s="309" t="s">
        <v>509</v>
      </c>
      <c r="E114" s="308" t="s">
        <v>508</v>
      </c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78"/>
      <c r="R114" s="221"/>
      <c r="S114" s="307" t="str">
        <f>+B6</f>
        <v>SKT Rougher - Muestra Futuro</v>
      </c>
      <c r="T114" s="304">
        <f>+D8</f>
        <v>0.66</v>
      </c>
      <c r="U114" s="304">
        <v>0</v>
      </c>
      <c r="V114" s="304">
        <f>+F8</f>
        <v>2.13</v>
      </c>
      <c r="W114" s="306">
        <f>+G8</f>
        <v>1.15E-2</v>
      </c>
      <c r="X114" s="305">
        <f>+Q8</f>
        <v>173</v>
      </c>
      <c r="Y114" s="304">
        <f>+J8</f>
        <v>88.465458854992889</v>
      </c>
      <c r="Z114" s="304">
        <f>+J9</f>
        <v>1.7377485061090499</v>
      </c>
      <c r="AA114" s="303">
        <f>+D14</f>
        <v>91.025484859760681</v>
      </c>
      <c r="AB114" s="68"/>
      <c r="AC114" s="68"/>
      <c r="AD114" s="68"/>
      <c r="AE114" s="68"/>
      <c r="AF114" s="68"/>
      <c r="AG114" s="68"/>
      <c r="AH114" s="68"/>
      <c r="AI114" s="68"/>
      <c r="AJ114" s="68"/>
      <c r="AK114" s="68"/>
      <c r="AL114" s="68"/>
    </row>
    <row r="115" spans="1:38">
      <c r="A115" s="68"/>
      <c r="B115" s="80">
        <v>45</v>
      </c>
      <c r="C115" s="292">
        <f>+D27</f>
        <v>93.295887152511241</v>
      </c>
      <c r="D115" s="292">
        <f>+J21</f>
        <v>85.88746474183732</v>
      </c>
      <c r="E115" s="299">
        <f>+J22</f>
        <v>3.2105681710821194</v>
      </c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82"/>
      <c r="R115" s="169"/>
      <c r="S115" s="302" t="str">
        <f>+B66</f>
        <v>SKT Rougher - Muestra Actual</v>
      </c>
      <c r="T115" s="298">
        <f>+D68</f>
        <v>0.48</v>
      </c>
      <c r="U115" s="298">
        <v>0</v>
      </c>
      <c r="V115" s="298">
        <f>+F68</f>
        <v>2.33</v>
      </c>
      <c r="W115" s="301">
        <f>+G68</f>
        <v>2.18E-2</v>
      </c>
      <c r="X115" s="300">
        <f>+Q68</f>
        <v>138.83779608652631</v>
      </c>
      <c r="Y115" s="298">
        <f>+J68</f>
        <v>92.185475808852729</v>
      </c>
      <c r="Z115" s="298">
        <f>+J69</f>
        <v>1.1439698867849231</v>
      </c>
      <c r="AA115" s="297">
        <f>+D74</f>
        <v>94.715847559548735</v>
      </c>
      <c r="AB115" s="68"/>
      <c r="AC115" s="68"/>
      <c r="AD115" s="68"/>
      <c r="AE115" s="68"/>
      <c r="AF115" s="68"/>
      <c r="AG115" s="68"/>
      <c r="AH115" s="68"/>
      <c r="AI115" s="68"/>
      <c r="AJ115" s="68"/>
      <c r="AK115" s="68"/>
      <c r="AL115" s="68"/>
    </row>
    <row r="116" spans="1:38">
      <c r="A116" s="68"/>
      <c r="B116" s="80">
        <v>35</v>
      </c>
      <c r="C116" s="292">
        <f>+D40</f>
        <v>99.087393329221939</v>
      </c>
      <c r="D116" s="292">
        <f>+J34</f>
        <v>96.26766999221438</v>
      </c>
      <c r="E116" s="299">
        <f>+J35</f>
        <v>2.499176432564004</v>
      </c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8"/>
      <c r="AB116" s="68"/>
      <c r="AC116" s="68"/>
      <c r="AD116" s="68"/>
      <c r="AE116" s="68"/>
      <c r="AF116" s="68"/>
      <c r="AG116" s="68"/>
      <c r="AH116" s="68"/>
      <c r="AI116" s="68"/>
      <c r="AJ116" s="68"/>
      <c r="AK116" s="68"/>
      <c r="AL116" s="68"/>
    </row>
    <row r="117" spans="1:38">
      <c r="A117" s="68"/>
      <c r="B117" s="82">
        <v>25</v>
      </c>
      <c r="C117" s="298">
        <f>+D53</f>
        <v>98.93489098203294</v>
      </c>
      <c r="D117" s="298">
        <f>+J47</f>
        <v>95.92863014631007</v>
      </c>
      <c r="E117" s="297">
        <f>+J48</f>
        <v>2.1056917079795414</v>
      </c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68"/>
      <c r="AK117" s="68"/>
      <c r="AL117" s="68"/>
    </row>
    <row r="118" spans="1:38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  <c r="AB118" s="68"/>
      <c r="AC118" s="68"/>
      <c r="AD118" s="68"/>
      <c r="AE118" s="68"/>
      <c r="AF118" s="68"/>
      <c r="AG118" s="68"/>
      <c r="AH118" s="68"/>
      <c r="AI118" s="68"/>
      <c r="AJ118" s="68"/>
      <c r="AK118" s="68"/>
      <c r="AL118" s="68"/>
    </row>
    <row r="119" spans="1:38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  <c r="AB119" s="68"/>
      <c r="AC119" s="68"/>
      <c r="AD119" s="68"/>
      <c r="AE119" s="68"/>
      <c r="AF119" s="68"/>
      <c r="AG119" s="68"/>
      <c r="AH119" s="68"/>
      <c r="AI119" s="68"/>
      <c r="AJ119" s="68"/>
      <c r="AK119" s="68"/>
      <c r="AL119" s="68"/>
    </row>
    <row r="120" spans="1:38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296" t="s">
        <v>507</v>
      </c>
      <c r="S120" s="293" t="s">
        <v>505</v>
      </c>
      <c r="T120" s="292">
        <v>49.782475782667277</v>
      </c>
      <c r="U120" s="292">
        <v>74.28277814496829</v>
      </c>
      <c r="V120" s="292">
        <v>83.905819257399926</v>
      </c>
      <c r="W120" s="292">
        <v>87.61639532378625</v>
      </c>
      <c r="X120" s="292">
        <v>88.652192596160901</v>
      </c>
      <c r="Y120" s="68"/>
      <c r="Z120" s="68"/>
      <c r="AA120" s="68"/>
      <c r="AB120" s="68"/>
      <c r="AC120" s="68"/>
      <c r="AD120" s="68"/>
      <c r="AE120" s="68"/>
      <c r="AF120" s="68"/>
      <c r="AG120" s="68"/>
      <c r="AH120" s="68"/>
      <c r="AI120" s="68"/>
      <c r="AJ120" s="68"/>
      <c r="AK120" s="68"/>
      <c r="AL120" s="68"/>
    </row>
    <row r="121" spans="1:38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295" t="s">
        <v>16</v>
      </c>
      <c r="S121" s="293" t="s">
        <v>504</v>
      </c>
      <c r="T121" s="292">
        <v>10.70588549996965</v>
      </c>
      <c r="U121" s="292">
        <v>8.8740701834190947</v>
      </c>
      <c r="V121" s="292">
        <v>7.1944425950077724</v>
      </c>
      <c r="W121" s="292">
        <v>5.4481610267702623</v>
      </c>
      <c r="X121" s="292">
        <v>3.5089494351063832</v>
      </c>
      <c r="Y121" s="68"/>
      <c r="Z121" s="68"/>
      <c r="AA121" s="68"/>
      <c r="AB121" s="68"/>
      <c r="AC121" s="68"/>
      <c r="AD121" s="68"/>
      <c r="AE121" s="68"/>
      <c r="AF121" s="68"/>
      <c r="AG121" s="68"/>
      <c r="AH121" s="68"/>
      <c r="AI121" s="68"/>
      <c r="AJ121" s="68"/>
      <c r="AK121" s="68"/>
      <c r="AL121" s="68"/>
    </row>
    <row r="122" spans="1:38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294"/>
      <c r="S122" s="293" t="s">
        <v>503</v>
      </c>
      <c r="T122" s="292">
        <v>3.069006670831063</v>
      </c>
      <c r="U122" s="292">
        <v>5.5247065396534385</v>
      </c>
      <c r="V122" s="292">
        <v>7.6973080233221483</v>
      </c>
      <c r="W122" s="292">
        <v>10.614007300731229</v>
      </c>
      <c r="X122" s="292">
        <v>16.674633874196108</v>
      </c>
      <c r="Y122" s="68"/>
      <c r="Z122" s="68"/>
      <c r="AA122" s="68"/>
      <c r="AB122" s="68"/>
      <c r="AC122" s="68"/>
      <c r="AD122" s="68"/>
      <c r="AE122" s="68"/>
      <c r="AF122" s="68"/>
      <c r="AG122" s="68"/>
      <c r="AH122" s="68"/>
      <c r="AI122" s="68"/>
      <c r="AJ122" s="68"/>
      <c r="AK122" s="68"/>
      <c r="AL122" s="68"/>
    </row>
    <row r="123" spans="1:38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  <c r="AB123" s="68"/>
      <c r="AC123" s="68"/>
      <c r="AD123" s="68"/>
      <c r="AE123" s="68"/>
      <c r="AF123" s="68"/>
      <c r="AG123" s="68"/>
      <c r="AH123" s="68"/>
      <c r="AI123" s="68"/>
      <c r="AJ123" s="68"/>
      <c r="AK123" s="68"/>
      <c r="AL123" s="68"/>
    </row>
    <row r="124" spans="1:38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  <c r="AB124" s="68"/>
      <c r="AC124" s="68"/>
      <c r="AD124" s="68"/>
      <c r="AE124" s="68"/>
      <c r="AF124" s="68"/>
      <c r="AG124" s="68"/>
      <c r="AH124" s="68"/>
      <c r="AI124" s="68"/>
      <c r="AJ124" s="68"/>
      <c r="AK124" s="68"/>
      <c r="AL124" s="68"/>
    </row>
    <row r="125" spans="1:38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  <c r="AB125" s="68"/>
      <c r="AC125" s="68"/>
      <c r="AD125" s="68"/>
      <c r="AE125" s="68"/>
      <c r="AF125" s="68"/>
      <c r="AG125" s="68"/>
      <c r="AH125" s="68"/>
      <c r="AI125" s="68"/>
      <c r="AJ125" s="68"/>
      <c r="AK125" s="68"/>
      <c r="AL125" s="68"/>
    </row>
    <row r="126" spans="1:38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  <c r="AA126" s="68"/>
      <c r="AB126" s="68"/>
      <c r="AC126" s="68"/>
      <c r="AD126" s="68"/>
      <c r="AE126" s="68"/>
      <c r="AF126" s="68"/>
      <c r="AG126" s="68"/>
      <c r="AH126" s="68"/>
      <c r="AI126" s="68"/>
      <c r="AJ126" s="68"/>
      <c r="AK126" s="68"/>
      <c r="AL126" s="68"/>
    </row>
    <row r="127" spans="1:38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296" t="s">
        <v>506</v>
      </c>
      <c r="S127" s="293" t="s">
        <v>505</v>
      </c>
      <c r="T127" s="292">
        <v>60.801308110634032</v>
      </c>
      <c r="U127" s="292">
        <v>78.339213433824298</v>
      </c>
      <c r="V127" s="292">
        <v>86.598307732386843</v>
      </c>
      <c r="W127" s="292">
        <v>90.36383085712086</v>
      </c>
      <c r="X127" s="292">
        <v>91.91455677063577</v>
      </c>
      <c r="Y127" s="68"/>
      <c r="Z127" s="68"/>
      <c r="AA127" s="68"/>
      <c r="AB127" s="68"/>
      <c r="AC127" s="68"/>
      <c r="AD127" s="68"/>
      <c r="AE127" s="68"/>
      <c r="AF127" s="68"/>
      <c r="AG127" s="68"/>
      <c r="AH127" s="68"/>
      <c r="AI127" s="68"/>
      <c r="AJ127" s="68"/>
      <c r="AK127" s="68"/>
      <c r="AL127" s="68"/>
    </row>
    <row r="128" spans="1:38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295" t="s">
        <v>16</v>
      </c>
      <c r="S128" s="293" t="s">
        <v>504</v>
      </c>
      <c r="T128" s="292">
        <v>6.0625684594797455</v>
      </c>
      <c r="U128" s="292">
        <v>5.7691589076616934</v>
      </c>
      <c r="V128" s="292">
        <v>5.174932550894356</v>
      </c>
      <c r="W128" s="292">
        <v>4.4037438763153309</v>
      </c>
      <c r="X128" s="292">
        <v>3.3856363029669212</v>
      </c>
      <c r="Y128" s="68"/>
      <c r="Z128" s="68"/>
      <c r="AA128" s="68"/>
      <c r="AB128" s="68"/>
      <c r="AC128" s="68"/>
      <c r="AD128" s="68"/>
      <c r="AE128" s="68"/>
      <c r="AF128" s="68"/>
      <c r="AG128" s="68"/>
      <c r="AH128" s="68"/>
      <c r="AI128" s="68"/>
      <c r="AJ128" s="68"/>
      <c r="AK128" s="68"/>
      <c r="AL128" s="68"/>
    </row>
    <row r="129" spans="1:38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294"/>
      <c r="S129" s="293" t="s">
        <v>503</v>
      </c>
      <c r="T129" s="292">
        <v>4.8139048801122808</v>
      </c>
      <c r="U129" s="292">
        <v>6.5179037447378132</v>
      </c>
      <c r="V129" s="292">
        <v>8.0324114957521235</v>
      </c>
      <c r="W129" s="292">
        <v>9.8494917119726164</v>
      </c>
      <c r="X129" s="292">
        <v>13.031224650811593</v>
      </c>
      <c r="Y129" s="68"/>
      <c r="Z129" s="68"/>
      <c r="AA129" s="68"/>
      <c r="AB129" s="68"/>
      <c r="AC129" s="68"/>
      <c r="AD129" s="68"/>
      <c r="AE129" s="68"/>
      <c r="AF129" s="68"/>
      <c r="AG129" s="68"/>
      <c r="AH129" s="68"/>
      <c r="AI129" s="68"/>
      <c r="AJ129" s="68"/>
      <c r="AK129" s="68"/>
      <c r="AL129" s="68"/>
    </row>
    <row r="130" spans="1:38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68"/>
      <c r="AB130" s="68"/>
      <c r="AC130" s="68"/>
      <c r="AD130" s="68"/>
      <c r="AE130" s="68"/>
      <c r="AF130" s="68"/>
      <c r="AG130" s="68"/>
      <c r="AH130" s="68"/>
      <c r="AI130" s="68"/>
      <c r="AJ130" s="68"/>
      <c r="AK130" s="68"/>
      <c r="AL130" s="68"/>
    </row>
    <row r="131" spans="1:38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68"/>
      <c r="AB131" s="68"/>
      <c r="AC131" s="68"/>
      <c r="AD131" s="68"/>
      <c r="AE131" s="68"/>
      <c r="AF131" s="68"/>
      <c r="AG131" s="68"/>
      <c r="AH131" s="68"/>
      <c r="AI131" s="68"/>
      <c r="AJ131" s="68"/>
      <c r="AK131" s="68"/>
      <c r="AL131" s="68"/>
    </row>
    <row r="132" spans="1:38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68"/>
      <c r="AB132" s="68"/>
      <c r="AC132" s="68"/>
      <c r="AD132" s="68"/>
      <c r="AE132" s="68"/>
      <c r="AF132" s="68"/>
      <c r="AG132" s="68"/>
      <c r="AH132" s="68"/>
      <c r="AI132" s="68"/>
      <c r="AJ132" s="68"/>
      <c r="AK132" s="68"/>
      <c r="AL132" s="68"/>
    </row>
    <row r="133" spans="1:38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68"/>
      <c r="AB133" s="68"/>
      <c r="AC133" s="68"/>
      <c r="AD133" s="68"/>
      <c r="AE133" s="68"/>
      <c r="AF133" s="68"/>
      <c r="AG133" s="68"/>
      <c r="AH133" s="68"/>
      <c r="AI133" s="68"/>
      <c r="AJ133" s="68"/>
      <c r="AK133" s="68"/>
      <c r="AL133" s="68"/>
    </row>
    <row r="134" spans="1:38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  <c r="AH134" s="68"/>
      <c r="AI134" s="68"/>
      <c r="AJ134" s="68"/>
      <c r="AK134" s="68"/>
      <c r="AL134" s="68"/>
    </row>
    <row r="135" spans="1:38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  <c r="AH135" s="68"/>
      <c r="AI135" s="68"/>
      <c r="AJ135" s="68"/>
      <c r="AK135" s="68"/>
      <c r="AL135" s="68"/>
    </row>
    <row r="136" spans="1:38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  <c r="AH136" s="68"/>
      <c r="AI136" s="68"/>
      <c r="AJ136" s="68"/>
      <c r="AK136" s="68"/>
      <c r="AL136" s="68"/>
    </row>
    <row r="137" spans="1:38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68"/>
      <c r="AB137" s="68"/>
      <c r="AC137" s="68"/>
      <c r="AD137" s="68"/>
      <c r="AE137" s="68"/>
      <c r="AF137" s="68"/>
      <c r="AG137" s="68"/>
      <c r="AH137" s="68"/>
      <c r="AI137" s="68"/>
      <c r="AJ137" s="68"/>
      <c r="AK137" s="68"/>
      <c r="AL137" s="68"/>
    </row>
    <row r="138" spans="1:38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1316" t="s">
        <v>502</v>
      </c>
      <c r="T138" s="1316"/>
      <c r="U138" s="1316"/>
      <c r="V138" s="1316"/>
      <c r="W138" s="1316"/>
      <c r="X138" s="1316"/>
      <c r="Y138" s="1316"/>
      <c r="Z138" s="1316"/>
      <c r="AA138" s="68"/>
      <c r="AB138" s="68"/>
      <c r="AC138" s="68"/>
      <c r="AD138" s="68"/>
      <c r="AE138" s="68"/>
      <c r="AF138" s="68"/>
      <c r="AG138" s="68"/>
      <c r="AH138" s="68"/>
      <c r="AI138" s="68"/>
      <c r="AJ138" s="68"/>
      <c r="AK138" s="68"/>
      <c r="AL138" s="68"/>
    </row>
    <row r="139" spans="1:38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  <c r="AB139" s="68"/>
      <c r="AC139" s="68"/>
      <c r="AD139" s="68"/>
      <c r="AE139" s="68"/>
      <c r="AF139" s="68"/>
      <c r="AG139" s="68"/>
      <c r="AH139" s="68"/>
      <c r="AI139" s="68"/>
      <c r="AJ139" s="68"/>
      <c r="AK139" s="68"/>
      <c r="AL139" s="68"/>
    </row>
    <row r="140" spans="1:38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  <c r="AB140" s="68"/>
      <c r="AC140" s="68"/>
      <c r="AD140" s="68"/>
      <c r="AE140" s="68"/>
      <c r="AF140" s="68"/>
      <c r="AG140" s="68"/>
      <c r="AH140" s="68"/>
      <c r="AI140" s="68"/>
      <c r="AJ140" s="68"/>
      <c r="AK140" s="68"/>
      <c r="AL140" s="68"/>
    </row>
    <row r="141" spans="1:38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8"/>
      <c r="AB141" s="68"/>
      <c r="AC141" s="68"/>
      <c r="AD141" s="68"/>
      <c r="AE141" s="68"/>
      <c r="AF141" s="68"/>
      <c r="AG141" s="68"/>
      <c r="AH141" s="68"/>
      <c r="AI141" s="68"/>
      <c r="AJ141" s="68"/>
      <c r="AK141" s="68"/>
      <c r="AL141" s="68"/>
    </row>
    <row r="142" spans="1:38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  <c r="AB142" s="68"/>
      <c r="AC142" s="68"/>
      <c r="AD142" s="68"/>
      <c r="AE142" s="68"/>
      <c r="AF142" s="68"/>
      <c r="AG142" s="68"/>
      <c r="AH142" s="68"/>
      <c r="AI142" s="68"/>
      <c r="AJ142" s="68"/>
      <c r="AK142" s="68"/>
      <c r="AL142" s="68"/>
    </row>
    <row r="143" spans="1:38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  <c r="AB143" s="68"/>
      <c r="AC143" s="68"/>
      <c r="AD143" s="68"/>
      <c r="AE143" s="68"/>
      <c r="AF143" s="68"/>
      <c r="AG143" s="68"/>
      <c r="AH143" s="68"/>
      <c r="AI143" s="68"/>
      <c r="AJ143" s="68"/>
      <c r="AK143" s="68"/>
      <c r="AL143" s="68"/>
    </row>
    <row r="144" spans="1:38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68"/>
      <c r="AB144" s="68"/>
      <c r="AC144" s="68"/>
      <c r="AD144" s="68"/>
      <c r="AE144" s="68"/>
      <c r="AF144" s="68"/>
      <c r="AG144" s="68"/>
      <c r="AH144" s="68"/>
      <c r="AI144" s="68"/>
      <c r="AJ144" s="68"/>
      <c r="AK144" s="68"/>
      <c r="AL144" s="68"/>
    </row>
    <row r="145" spans="1:38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68"/>
      <c r="AB145" s="68"/>
      <c r="AC145" s="68"/>
      <c r="AD145" s="68"/>
      <c r="AE145" s="68"/>
      <c r="AF145" s="68"/>
      <c r="AG145" s="68"/>
      <c r="AH145" s="68"/>
      <c r="AI145" s="68"/>
      <c r="AJ145" s="68"/>
      <c r="AK145" s="68"/>
      <c r="AL145" s="68"/>
    </row>
    <row r="146" spans="1:38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8"/>
      <c r="AB146" s="68"/>
      <c r="AC146" s="68"/>
      <c r="AD146" s="68"/>
      <c r="AE146" s="68"/>
      <c r="AF146" s="68"/>
      <c r="AG146" s="68"/>
      <c r="AH146" s="68"/>
      <c r="AI146" s="68"/>
      <c r="AJ146" s="68"/>
      <c r="AK146" s="68"/>
      <c r="AL146" s="68"/>
    </row>
    <row r="147" spans="1:38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  <c r="AH147" s="68"/>
      <c r="AI147" s="68"/>
      <c r="AJ147" s="68"/>
      <c r="AK147" s="68"/>
      <c r="AL147" s="68"/>
    </row>
    <row r="148" spans="1:38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68"/>
      <c r="AB148" s="68"/>
      <c r="AC148" s="68"/>
      <c r="AD148" s="68"/>
      <c r="AE148" s="68"/>
      <c r="AF148" s="68"/>
      <c r="AG148" s="68"/>
      <c r="AH148" s="68"/>
      <c r="AI148" s="68"/>
      <c r="AJ148" s="68"/>
      <c r="AK148" s="68"/>
      <c r="AL148" s="68"/>
    </row>
    <row r="149" spans="1:38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68"/>
      <c r="AB149" s="68"/>
      <c r="AC149" s="68"/>
      <c r="AD149" s="68"/>
      <c r="AE149" s="68"/>
      <c r="AF149" s="68"/>
      <c r="AG149" s="68"/>
      <c r="AH149" s="68"/>
      <c r="AI149" s="68"/>
      <c r="AJ149" s="68"/>
      <c r="AK149" s="68"/>
      <c r="AL149" s="68"/>
    </row>
    <row r="150" spans="1:38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68"/>
      <c r="AB150" s="68"/>
      <c r="AC150" s="68"/>
      <c r="AD150" s="68"/>
      <c r="AE150" s="68"/>
      <c r="AF150" s="68"/>
      <c r="AG150" s="68"/>
      <c r="AH150" s="68"/>
      <c r="AI150" s="68"/>
      <c r="AJ150" s="68"/>
      <c r="AK150" s="68"/>
      <c r="AL150" s="68"/>
    </row>
    <row r="151" spans="1:38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68"/>
      <c r="AB151" s="68"/>
      <c r="AC151" s="68"/>
      <c r="AD151" s="68"/>
      <c r="AE151" s="68"/>
      <c r="AF151" s="68"/>
      <c r="AG151" s="68"/>
      <c r="AH151" s="68"/>
      <c r="AI151" s="68"/>
      <c r="AJ151" s="68"/>
      <c r="AK151" s="68"/>
      <c r="AL151" s="68"/>
    </row>
    <row r="152" spans="1:38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68"/>
      <c r="AB152" s="68"/>
      <c r="AC152" s="68"/>
      <c r="AD152" s="68"/>
      <c r="AE152" s="68"/>
      <c r="AF152" s="68"/>
      <c r="AG152" s="68"/>
      <c r="AH152" s="68"/>
      <c r="AI152" s="68"/>
      <c r="AJ152" s="68"/>
      <c r="AK152" s="68"/>
      <c r="AL152" s="68"/>
    </row>
    <row r="153" spans="1:38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68"/>
      <c r="AB153" s="68"/>
      <c r="AC153" s="68"/>
      <c r="AD153" s="68"/>
      <c r="AE153" s="68"/>
      <c r="AF153" s="68"/>
      <c r="AG153" s="68"/>
      <c r="AH153" s="68"/>
      <c r="AI153" s="68"/>
      <c r="AJ153" s="68"/>
      <c r="AK153" s="68"/>
      <c r="AL153" s="68"/>
    </row>
    <row r="154" spans="1:38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8"/>
      <c r="AB154" s="68"/>
      <c r="AC154" s="68"/>
      <c r="AD154" s="68"/>
      <c r="AE154" s="68"/>
      <c r="AF154" s="68"/>
      <c r="AG154" s="68"/>
      <c r="AH154" s="68"/>
      <c r="AI154" s="68"/>
      <c r="AJ154" s="68"/>
      <c r="AK154" s="68"/>
      <c r="AL154" s="68"/>
    </row>
    <row r="155" spans="1:38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  <c r="AJ155" s="68"/>
      <c r="AK155" s="68"/>
      <c r="AL155" s="68"/>
    </row>
    <row r="156" spans="1:38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8"/>
      <c r="AB156" s="68"/>
      <c r="AC156" s="68"/>
      <c r="AD156" s="68"/>
      <c r="AE156" s="68"/>
      <c r="AF156" s="68"/>
      <c r="AG156" s="68"/>
      <c r="AH156" s="68"/>
      <c r="AI156" s="68"/>
      <c r="AJ156" s="68"/>
      <c r="AK156" s="68"/>
      <c r="AL156" s="68"/>
    </row>
    <row r="157" spans="1:38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8"/>
      <c r="AB157" s="68"/>
      <c r="AC157" s="68"/>
      <c r="AD157" s="68"/>
      <c r="AE157" s="68"/>
      <c r="AF157" s="68"/>
      <c r="AG157" s="68"/>
      <c r="AH157" s="68"/>
      <c r="AI157" s="68"/>
      <c r="AJ157" s="68"/>
      <c r="AK157" s="68"/>
      <c r="AL157" s="68"/>
    </row>
    <row r="158" spans="1:38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  <c r="AH158" s="68"/>
      <c r="AI158" s="68"/>
      <c r="AJ158" s="68"/>
      <c r="AK158" s="68"/>
      <c r="AL158" s="68"/>
    </row>
    <row r="159" spans="1:38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68"/>
      <c r="AB159" s="68"/>
      <c r="AC159" s="68"/>
      <c r="AD159" s="68"/>
      <c r="AE159" s="68"/>
      <c r="AF159" s="68"/>
      <c r="AG159" s="68"/>
      <c r="AH159" s="68"/>
      <c r="AI159" s="68"/>
      <c r="AJ159" s="68"/>
      <c r="AK159" s="68"/>
      <c r="AL159" s="68"/>
    </row>
    <row r="160" spans="1:38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68"/>
      <c r="AB160" s="68"/>
      <c r="AC160" s="68"/>
      <c r="AD160" s="68"/>
      <c r="AE160" s="68"/>
      <c r="AF160" s="68"/>
      <c r="AG160" s="68"/>
      <c r="AH160" s="68"/>
      <c r="AI160" s="68"/>
      <c r="AJ160" s="68"/>
      <c r="AK160" s="68"/>
      <c r="AL160" s="68"/>
    </row>
    <row r="161" spans="1:38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68"/>
      <c r="AB161" s="68"/>
      <c r="AC161" s="68"/>
      <c r="AD161" s="68"/>
      <c r="AE161" s="68"/>
      <c r="AF161" s="68"/>
      <c r="AG161" s="68"/>
      <c r="AH161" s="68"/>
      <c r="AI161" s="68"/>
      <c r="AJ161" s="68"/>
      <c r="AK161" s="68"/>
      <c r="AL161" s="68"/>
    </row>
    <row r="162" spans="1:38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68"/>
      <c r="AB162" s="68"/>
      <c r="AC162" s="68"/>
      <c r="AD162" s="68"/>
      <c r="AE162" s="68"/>
      <c r="AF162" s="68"/>
      <c r="AG162" s="68"/>
      <c r="AH162" s="68"/>
      <c r="AI162" s="68"/>
      <c r="AJ162" s="68"/>
      <c r="AK162" s="68"/>
      <c r="AL162" s="68"/>
    </row>
    <row r="163" spans="1:38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68"/>
      <c r="AB163" s="68"/>
      <c r="AC163" s="68"/>
      <c r="AD163" s="68"/>
      <c r="AE163" s="68"/>
      <c r="AF163" s="68"/>
      <c r="AG163" s="68"/>
      <c r="AH163" s="68"/>
      <c r="AI163" s="68"/>
      <c r="AJ163" s="68"/>
      <c r="AK163" s="68"/>
      <c r="AL163" s="68"/>
    </row>
    <row r="164" spans="1:38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  <c r="AA164" s="68"/>
      <c r="AB164" s="68"/>
      <c r="AC164" s="68"/>
      <c r="AD164" s="68"/>
      <c r="AE164" s="68"/>
      <c r="AF164" s="68"/>
      <c r="AG164" s="68"/>
      <c r="AH164" s="68"/>
      <c r="AI164" s="68"/>
      <c r="AJ164" s="68"/>
      <c r="AK164" s="68"/>
      <c r="AL164" s="68"/>
    </row>
    <row r="165" spans="1:38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  <c r="AA165" s="68"/>
      <c r="AB165" s="68"/>
      <c r="AC165" s="68"/>
      <c r="AD165" s="68"/>
      <c r="AE165" s="68"/>
      <c r="AF165" s="68"/>
      <c r="AG165" s="68"/>
      <c r="AH165" s="68"/>
      <c r="AI165" s="68"/>
      <c r="AJ165" s="68"/>
      <c r="AK165" s="68"/>
      <c r="AL165" s="68"/>
    </row>
    <row r="166" spans="1:38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68"/>
      <c r="AB166" s="68"/>
      <c r="AC166" s="68"/>
      <c r="AD166" s="68"/>
      <c r="AE166" s="68"/>
      <c r="AF166" s="68"/>
      <c r="AG166" s="68"/>
      <c r="AH166" s="68"/>
      <c r="AI166" s="68"/>
      <c r="AJ166" s="68"/>
      <c r="AK166" s="68"/>
      <c r="AL166" s="68"/>
    </row>
    <row r="167" spans="1:38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68"/>
      <c r="AB167" s="68"/>
      <c r="AC167" s="68"/>
      <c r="AD167" s="68"/>
      <c r="AE167" s="68"/>
      <c r="AF167" s="68"/>
      <c r="AG167" s="68"/>
      <c r="AH167" s="68"/>
      <c r="AI167" s="68"/>
      <c r="AJ167" s="68"/>
      <c r="AK167" s="68"/>
      <c r="AL167" s="68"/>
    </row>
    <row r="168" spans="1:38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68"/>
      <c r="AB168" s="68"/>
      <c r="AC168" s="68"/>
      <c r="AD168" s="68"/>
      <c r="AE168" s="68"/>
      <c r="AF168" s="68"/>
      <c r="AG168" s="68"/>
      <c r="AH168" s="68"/>
      <c r="AI168" s="68"/>
      <c r="AJ168" s="68"/>
      <c r="AK168" s="68"/>
      <c r="AL168" s="68"/>
    </row>
    <row r="169" spans="1:38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68"/>
      <c r="AB169" s="68"/>
      <c r="AC169" s="68"/>
      <c r="AD169" s="68"/>
      <c r="AE169" s="68"/>
      <c r="AF169" s="68"/>
      <c r="AG169" s="68"/>
      <c r="AH169" s="68"/>
      <c r="AI169" s="68"/>
      <c r="AJ169" s="68"/>
      <c r="AK169" s="68"/>
      <c r="AL169" s="68"/>
    </row>
    <row r="170" spans="1:38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  <c r="AH170" s="68"/>
      <c r="AI170" s="68"/>
      <c r="AJ170" s="68"/>
      <c r="AK170" s="68"/>
      <c r="AL170" s="68"/>
    </row>
    <row r="171" spans="1:38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  <c r="AH171" s="68"/>
      <c r="AI171" s="68"/>
      <c r="AJ171" s="68"/>
      <c r="AK171" s="68"/>
      <c r="AL171" s="68"/>
    </row>
    <row r="172" spans="1:38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  <c r="AH172" s="68"/>
      <c r="AI172" s="68"/>
      <c r="AJ172" s="68"/>
      <c r="AK172" s="68"/>
      <c r="AL172" s="68"/>
    </row>
    <row r="173" spans="1:38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  <c r="AH173" s="68"/>
      <c r="AI173" s="68"/>
      <c r="AJ173" s="68"/>
      <c r="AK173" s="68"/>
      <c r="AL173" s="68"/>
    </row>
    <row r="174" spans="1:38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  <c r="AH174" s="68"/>
      <c r="AI174" s="68"/>
      <c r="AJ174" s="68"/>
      <c r="AK174" s="68"/>
      <c r="AL174" s="68"/>
    </row>
    <row r="175" spans="1:38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68"/>
      <c r="AB175" s="68"/>
      <c r="AC175" s="68"/>
      <c r="AD175" s="68"/>
      <c r="AE175" s="68"/>
      <c r="AF175" s="68"/>
      <c r="AG175" s="68"/>
      <c r="AH175" s="68"/>
      <c r="AI175" s="68"/>
      <c r="AJ175" s="68"/>
      <c r="AK175" s="68"/>
      <c r="AL175" s="68"/>
    </row>
    <row r="176" spans="1:38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  <c r="AA176" s="68"/>
      <c r="AB176" s="68"/>
      <c r="AC176" s="68"/>
      <c r="AD176" s="68"/>
      <c r="AE176" s="68"/>
      <c r="AF176" s="68"/>
      <c r="AG176" s="68"/>
      <c r="AH176" s="68"/>
      <c r="AI176" s="68"/>
      <c r="AJ176" s="68"/>
      <c r="AK176" s="68"/>
      <c r="AL176" s="68"/>
    </row>
    <row r="177" spans="1:38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  <c r="AA177" s="68"/>
      <c r="AB177" s="68"/>
      <c r="AC177" s="68"/>
      <c r="AD177" s="68"/>
      <c r="AE177" s="68"/>
      <c r="AF177" s="68"/>
      <c r="AG177" s="68"/>
      <c r="AH177" s="68"/>
      <c r="AI177" s="68"/>
      <c r="AJ177" s="68"/>
      <c r="AK177" s="68"/>
      <c r="AL177" s="68"/>
    </row>
  </sheetData>
  <mergeCells count="96">
    <mergeCell ref="Y87:Z88"/>
    <mergeCell ref="Y89:Z90"/>
    <mergeCell ref="Y91:Z92"/>
    <mergeCell ref="Y93:Z94"/>
    <mergeCell ref="Y97:Z103"/>
    <mergeCell ref="Y81:Z82"/>
    <mergeCell ref="AB81:AB82"/>
    <mergeCell ref="AC81:AC82"/>
    <mergeCell ref="AD81:AD82"/>
    <mergeCell ref="AE81:AE82"/>
    <mergeCell ref="AE75:AE76"/>
    <mergeCell ref="Y77:Z78"/>
    <mergeCell ref="AB77:AB78"/>
    <mergeCell ref="AC77:AC78"/>
    <mergeCell ref="AD77:AD78"/>
    <mergeCell ref="AE77:AE78"/>
    <mergeCell ref="Y75:Z76"/>
    <mergeCell ref="AA75:AA80"/>
    <mergeCell ref="AB75:AB76"/>
    <mergeCell ref="AC75:AC76"/>
    <mergeCell ref="AD75:AD76"/>
    <mergeCell ref="Y79:Z80"/>
    <mergeCell ref="AB79:AB80"/>
    <mergeCell ref="AC79:AC80"/>
    <mergeCell ref="AD79:AD80"/>
    <mergeCell ref="AE79:AE80"/>
    <mergeCell ref="Y68:Z69"/>
    <mergeCell ref="AA68:AA69"/>
    <mergeCell ref="AB68:AB69"/>
    <mergeCell ref="AC68:AC69"/>
    <mergeCell ref="Y70:Z71"/>
    <mergeCell ref="AA70:AA71"/>
    <mergeCell ref="AB70:AB71"/>
    <mergeCell ref="AC70:AC71"/>
    <mergeCell ref="AB64:AB65"/>
    <mergeCell ref="AC64:AC65"/>
    <mergeCell ref="Y66:Z67"/>
    <mergeCell ref="AA66:AA67"/>
    <mergeCell ref="AB66:AB67"/>
    <mergeCell ref="AC66:AC67"/>
    <mergeCell ref="Y35:Z36"/>
    <mergeCell ref="Y37:Z38"/>
    <mergeCell ref="Y43:Z49"/>
    <mergeCell ref="Y64:Z65"/>
    <mergeCell ref="AA64:AA65"/>
    <mergeCell ref="AC21:AC22"/>
    <mergeCell ref="AD21:AD22"/>
    <mergeCell ref="AE21:AE22"/>
    <mergeCell ref="Y31:Z32"/>
    <mergeCell ref="Y33:Z34"/>
    <mergeCell ref="Y19:Z20"/>
    <mergeCell ref="AB19:AB20"/>
    <mergeCell ref="AC19:AC20"/>
    <mergeCell ref="AD19:AD20"/>
    <mergeCell ref="AE19:AE20"/>
    <mergeCell ref="AA15:AA22"/>
    <mergeCell ref="AB15:AB16"/>
    <mergeCell ref="AC15:AC16"/>
    <mergeCell ref="AD15:AD16"/>
    <mergeCell ref="AE15:AE16"/>
    <mergeCell ref="AB17:AB18"/>
    <mergeCell ref="AC17:AC18"/>
    <mergeCell ref="AD17:AD18"/>
    <mergeCell ref="AE17:AE18"/>
    <mergeCell ref="Y21:Z22"/>
    <mergeCell ref="AB21:AB22"/>
    <mergeCell ref="AA8:AA9"/>
    <mergeCell ref="AB8:AB9"/>
    <mergeCell ref="AC8:AC9"/>
    <mergeCell ref="Y10:Z11"/>
    <mergeCell ref="AA10:AA11"/>
    <mergeCell ref="AB10:AB11"/>
    <mergeCell ref="AC10:AC11"/>
    <mergeCell ref="AA4:AA5"/>
    <mergeCell ref="AB4:AB5"/>
    <mergeCell ref="AC4:AC5"/>
    <mergeCell ref="Y6:Z7"/>
    <mergeCell ref="AA6:AA7"/>
    <mergeCell ref="AB6:AB7"/>
    <mergeCell ref="AC6:AC7"/>
    <mergeCell ref="A106:T108"/>
    <mergeCell ref="T112:W112"/>
    <mergeCell ref="S138:Z138"/>
    <mergeCell ref="A1:T3"/>
    <mergeCell ref="B6:G6"/>
    <mergeCell ref="B19:G19"/>
    <mergeCell ref="B32:G32"/>
    <mergeCell ref="B45:G45"/>
    <mergeCell ref="A60:T62"/>
    <mergeCell ref="B66:G66"/>
    <mergeCell ref="B79:G79"/>
    <mergeCell ref="B92:G92"/>
    <mergeCell ref="Y4:Z5"/>
    <mergeCell ref="Y8:Z9"/>
    <mergeCell ref="Y15:Z16"/>
    <mergeCell ref="Y17:Z18"/>
  </mergeCells>
  <conditionalFormatting sqref="A1">
    <cfRule type="expression" dxfId="149" priority="5">
      <formula>#REF!=0</formula>
    </cfRule>
    <cfRule type="cellIs" dxfId="148" priority="6" operator="equal">
      <formula>0</formula>
    </cfRule>
  </conditionalFormatting>
  <conditionalFormatting sqref="A60">
    <cfRule type="expression" dxfId="147" priority="3">
      <formula>#REF!=0</formula>
    </cfRule>
    <cfRule type="cellIs" dxfId="146" priority="4" operator="equal">
      <formula>0</formula>
    </cfRule>
  </conditionalFormatting>
  <conditionalFormatting sqref="A106">
    <cfRule type="expression" dxfId="145" priority="1">
      <formula>#REF!=0</formula>
    </cfRule>
    <cfRule type="cellIs" dxfId="144" priority="2" operator="equal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02428-200C-480B-874A-2CEAB9DB4D67}">
  <sheetPr codeName="Hoja6"/>
  <dimension ref="A1:BZ125"/>
  <sheetViews>
    <sheetView workbookViewId="0"/>
  </sheetViews>
  <sheetFormatPr baseColWidth="10" defaultColWidth="10.7265625" defaultRowHeight="14.5"/>
  <cols>
    <col min="1" max="1" width="17.26953125" style="4" customWidth="1"/>
    <col min="2" max="14" width="10.7265625" style="4"/>
    <col min="15" max="15" width="13.26953125" style="4" customWidth="1"/>
    <col min="16" max="19" width="10.7265625" style="4"/>
    <col min="20" max="31" width="0" style="4" hidden="1" customWidth="1"/>
    <col min="32" max="37" width="10.7265625" style="4"/>
    <col min="38" max="61" width="0" style="4" hidden="1" customWidth="1"/>
    <col min="62" max="68" width="10.7265625" style="4"/>
    <col min="69" max="69" width="18.26953125" style="4" customWidth="1"/>
    <col min="70" max="70" width="10.7265625" style="4" customWidth="1"/>
    <col min="71" max="16384" width="10.7265625" style="4"/>
  </cols>
  <sheetData>
    <row r="1" spans="1:78">
      <c r="BN1" s="324"/>
      <c r="BO1" s="324"/>
      <c r="BP1" s="324"/>
      <c r="BQ1" s="324"/>
      <c r="BR1" s="324"/>
      <c r="BS1" s="324"/>
      <c r="BT1" s="324"/>
      <c r="BU1" s="324"/>
      <c r="BV1" s="324"/>
      <c r="BW1" s="324"/>
      <c r="BX1" s="324"/>
      <c r="BY1" s="324"/>
      <c r="BZ1" s="324"/>
    </row>
    <row r="2" spans="1:78" ht="14.65" customHeight="1">
      <c r="A2" s="1310" t="s">
        <v>647</v>
      </c>
      <c r="B2" s="1311"/>
      <c r="C2" s="1311"/>
      <c r="D2" s="1311"/>
      <c r="E2" s="1311"/>
      <c r="F2" s="1311"/>
      <c r="G2" s="1311"/>
      <c r="H2" s="1311"/>
      <c r="I2" s="1311"/>
      <c r="J2" s="1311"/>
      <c r="K2" s="1311"/>
      <c r="L2" s="1311"/>
      <c r="M2" s="1311"/>
      <c r="N2" s="1311"/>
      <c r="O2" s="1311"/>
      <c r="P2" s="1311"/>
      <c r="Q2" s="1311"/>
      <c r="R2" s="1311"/>
      <c r="S2" s="1311"/>
      <c r="T2" s="1311"/>
      <c r="U2" s="1311"/>
      <c r="V2" s="1311"/>
      <c r="W2" s="1311"/>
      <c r="X2" s="1311"/>
      <c r="Y2" s="1311"/>
      <c r="Z2" s="1311"/>
      <c r="AA2" s="1311"/>
      <c r="AB2" s="1311"/>
      <c r="AC2" s="1311"/>
      <c r="AD2" s="1311"/>
      <c r="AE2" s="1311"/>
      <c r="AF2" s="1311"/>
      <c r="AG2" s="1311"/>
      <c r="AH2" s="1311"/>
      <c r="AI2" s="1311"/>
      <c r="AJ2" s="1311"/>
      <c r="AK2" s="1311"/>
      <c r="AL2" s="1311"/>
      <c r="AM2" s="1311"/>
      <c r="AN2" s="1311"/>
      <c r="AO2" s="1311"/>
      <c r="AP2" s="1311"/>
      <c r="AQ2" s="1311"/>
      <c r="AR2" s="1311"/>
      <c r="AS2" s="1311"/>
      <c r="AT2" s="1311"/>
      <c r="AU2" s="1311"/>
      <c r="AV2" s="1311"/>
      <c r="AW2" s="1311"/>
      <c r="AX2" s="1311"/>
      <c r="AY2" s="1311"/>
      <c r="AZ2" s="1311"/>
      <c r="BA2" s="1311"/>
      <c r="BB2" s="1311"/>
      <c r="BC2" s="1311"/>
      <c r="BD2" s="1311"/>
      <c r="BE2" s="1311"/>
      <c r="BF2" s="1311"/>
      <c r="BG2" s="1311"/>
      <c r="BH2" s="1311"/>
      <c r="BI2" s="1311"/>
      <c r="BJ2" s="1311"/>
      <c r="BK2" s="1311"/>
      <c r="BL2" s="1311"/>
      <c r="BM2" s="1311"/>
      <c r="BN2" s="324"/>
      <c r="BO2" s="324"/>
      <c r="BP2" s="324"/>
      <c r="BQ2" s="325" t="s">
        <v>637</v>
      </c>
      <c r="BR2" s="324"/>
      <c r="BS2" s="324"/>
      <c r="BT2" s="324"/>
      <c r="BU2" s="324"/>
      <c r="BV2" s="324"/>
      <c r="BW2" s="324"/>
      <c r="BX2" s="324"/>
      <c r="BY2" s="324"/>
      <c r="BZ2" s="324"/>
    </row>
    <row r="3" spans="1:78" ht="14.65" customHeight="1">
      <c r="A3" s="1312"/>
      <c r="B3" s="1313"/>
      <c r="C3" s="1313"/>
      <c r="D3" s="1313"/>
      <c r="E3" s="1313"/>
      <c r="F3" s="1313"/>
      <c r="G3" s="1313"/>
      <c r="H3" s="1313"/>
      <c r="I3" s="1313"/>
      <c r="J3" s="1313"/>
      <c r="K3" s="1313"/>
      <c r="L3" s="1313"/>
      <c r="M3" s="1313"/>
      <c r="N3" s="1313"/>
      <c r="O3" s="1313"/>
      <c r="P3" s="1313"/>
      <c r="Q3" s="1313"/>
      <c r="R3" s="1313"/>
      <c r="S3" s="1313"/>
      <c r="T3" s="1313"/>
      <c r="U3" s="1313"/>
      <c r="V3" s="1313"/>
      <c r="W3" s="1313"/>
      <c r="X3" s="1313"/>
      <c r="Y3" s="1313"/>
      <c r="Z3" s="1313"/>
      <c r="AA3" s="1313"/>
      <c r="AB3" s="1313"/>
      <c r="AC3" s="1313"/>
      <c r="AD3" s="1313"/>
      <c r="AE3" s="1313"/>
      <c r="AF3" s="1313"/>
      <c r="AG3" s="1313"/>
      <c r="AH3" s="1313"/>
      <c r="AI3" s="1313"/>
      <c r="AJ3" s="1313"/>
      <c r="AK3" s="1313"/>
      <c r="AL3" s="1313"/>
      <c r="AM3" s="1313"/>
      <c r="AN3" s="1313"/>
      <c r="AO3" s="1313"/>
      <c r="AP3" s="1313"/>
      <c r="AQ3" s="1313"/>
      <c r="AR3" s="1313"/>
      <c r="AS3" s="1313"/>
      <c r="AT3" s="1313"/>
      <c r="AU3" s="1313"/>
      <c r="AV3" s="1313"/>
      <c r="AW3" s="1313"/>
      <c r="AX3" s="1313"/>
      <c r="AY3" s="1313"/>
      <c r="AZ3" s="1313"/>
      <c r="BA3" s="1313"/>
      <c r="BB3" s="1313"/>
      <c r="BC3" s="1313"/>
      <c r="BD3" s="1313"/>
      <c r="BE3" s="1313"/>
      <c r="BF3" s="1313"/>
      <c r="BG3" s="1313"/>
      <c r="BH3" s="1313"/>
      <c r="BI3" s="1313"/>
      <c r="BJ3" s="1313"/>
      <c r="BK3" s="1313"/>
      <c r="BL3" s="1313"/>
      <c r="BM3" s="1313"/>
      <c r="BN3" s="324"/>
      <c r="BO3" s="324"/>
      <c r="BP3" s="324"/>
      <c r="BQ3" s="326" t="s">
        <v>636</v>
      </c>
      <c r="BR3" s="326" t="s">
        <v>512</v>
      </c>
      <c r="BS3" s="326" t="s">
        <v>205</v>
      </c>
      <c r="BT3" s="326" t="s">
        <v>635</v>
      </c>
      <c r="BU3" s="326" t="s">
        <v>634</v>
      </c>
      <c r="BV3" s="326" t="s">
        <v>417</v>
      </c>
      <c r="BW3" s="324"/>
      <c r="BX3" s="324"/>
      <c r="BY3" s="324"/>
      <c r="BZ3" s="324"/>
    </row>
    <row r="4" spans="1:78" ht="14.65" customHeight="1">
      <c r="A4" s="1312"/>
      <c r="B4" s="1313"/>
      <c r="C4" s="1313"/>
      <c r="D4" s="1313"/>
      <c r="E4" s="1313"/>
      <c r="F4" s="1313"/>
      <c r="G4" s="1313"/>
      <c r="H4" s="1313"/>
      <c r="I4" s="1313"/>
      <c r="J4" s="1313"/>
      <c r="K4" s="1313"/>
      <c r="L4" s="1313"/>
      <c r="M4" s="1313"/>
      <c r="N4" s="1313"/>
      <c r="O4" s="1313"/>
      <c r="P4" s="1313"/>
      <c r="Q4" s="1313"/>
      <c r="R4" s="1313"/>
      <c r="S4" s="1313"/>
      <c r="T4" s="1313"/>
      <c r="U4" s="1313"/>
      <c r="V4" s="1313"/>
      <c r="W4" s="1313"/>
      <c r="X4" s="1313"/>
      <c r="Y4" s="1313"/>
      <c r="Z4" s="1313"/>
      <c r="AA4" s="1313"/>
      <c r="AB4" s="1313"/>
      <c r="AC4" s="1313"/>
      <c r="AD4" s="1313"/>
      <c r="AE4" s="1313"/>
      <c r="AF4" s="1313"/>
      <c r="AG4" s="1313"/>
      <c r="AH4" s="1313"/>
      <c r="AI4" s="1313"/>
      <c r="AJ4" s="1313"/>
      <c r="AK4" s="1313"/>
      <c r="AL4" s="1313"/>
      <c r="AM4" s="1313"/>
      <c r="AN4" s="1313"/>
      <c r="AO4" s="1313"/>
      <c r="AP4" s="1313"/>
      <c r="AQ4" s="1313"/>
      <c r="AR4" s="1313"/>
      <c r="AS4" s="1313"/>
      <c r="AT4" s="1313"/>
      <c r="AU4" s="1313"/>
      <c r="AV4" s="1313"/>
      <c r="AW4" s="1313"/>
      <c r="AX4" s="1313"/>
      <c r="AY4" s="1313"/>
      <c r="AZ4" s="1313"/>
      <c r="BA4" s="1313"/>
      <c r="BB4" s="1313"/>
      <c r="BC4" s="1313"/>
      <c r="BD4" s="1313"/>
      <c r="BE4" s="1313"/>
      <c r="BF4" s="1313"/>
      <c r="BG4" s="1313"/>
      <c r="BH4" s="1313"/>
      <c r="BI4" s="1313"/>
      <c r="BJ4" s="1313"/>
      <c r="BK4" s="1313"/>
      <c r="BL4" s="1313"/>
      <c r="BM4" s="1313"/>
      <c r="BN4" s="324"/>
      <c r="BO4" s="324"/>
      <c r="BP4" s="324"/>
      <c r="BQ4" s="327">
        <v>50</v>
      </c>
      <c r="BR4" s="327">
        <v>300</v>
      </c>
      <c r="BS4" s="328">
        <v>5.5</v>
      </c>
      <c r="BT4" s="329">
        <f t="shared" ref="BT4:BT13" si="0">BS4/$BS$14*100</f>
        <v>2.2764900662251657</v>
      </c>
      <c r="BU4" s="329">
        <f>BT4</f>
        <v>2.2764900662251657</v>
      </c>
      <c r="BV4" s="329">
        <f t="shared" ref="BV4:BV13" si="1">100-BU4</f>
        <v>97.723509933774835</v>
      </c>
      <c r="BW4" s="324"/>
      <c r="BX4" s="330">
        <f t="shared" ref="BX4:BX13" si="2">IF(BV4=80,$BR4,IF(BV4&gt;80,IF(BV5&lt;80,$BR5*10^(LOG(80/BV5)*LOG($BR4/$BR5)/LOG(BV4/BV5)),0),0))</f>
        <v>0</v>
      </c>
      <c r="BY4" s="330">
        <f t="shared" ref="BY4:BY13" si="3">IF(BV4=50,$BR4,IF(BV4&gt;50,IF(BV5&lt;50,$BR5*10^(LOG(50/BV5)*LOG($BR4/$BR5)/LOG(BV4/BV5)),0),0))</f>
        <v>0</v>
      </c>
      <c r="BZ4" s="324"/>
    </row>
    <row r="5" spans="1:78">
      <c r="BN5" s="324"/>
      <c r="BO5" s="324"/>
      <c r="BP5" s="324"/>
      <c r="BQ5" s="327">
        <v>70</v>
      </c>
      <c r="BR5" s="327">
        <v>212</v>
      </c>
      <c r="BS5" s="328">
        <v>13.8</v>
      </c>
      <c r="BT5" s="329">
        <f t="shared" si="0"/>
        <v>5.7119205298013256</v>
      </c>
      <c r="BU5" s="329">
        <f t="shared" ref="BU5:BU13" si="4">BU4+BT5</f>
        <v>7.9884105960264913</v>
      </c>
      <c r="BV5" s="329">
        <f t="shared" si="1"/>
        <v>92.011589403973502</v>
      </c>
      <c r="BW5" s="324"/>
      <c r="BX5" s="330">
        <f t="shared" si="2"/>
        <v>159.96876201700329</v>
      </c>
      <c r="BY5" s="330">
        <f t="shared" si="3"/>
        <v>0</v>
      </c>
      <c r="BZ5" s="324"/>
    </row>
    <row r="6" spans="1:78">
      <c r="BN6" s="324"/>
      <c r="BO6" s="324"/>
      <c r="BP6" s="324"/>
      <c r="BQ6" s="327">
        <v>100</v>
      </c>
      <c r="BR6" s="327">
        <v>150</v>
      </c>
      <c r="BS6" s="328">
        <v>35.1</v>
      </c>
      <c r="BT6" s="329">
        <f t="shared" si="0"/>
        <v>14.528145695364239</v>
      </c>
      <c r="BU6" s="329">
        <f t="shared" si="4"/>
        <v>22.516556291390732</v>
      </c>
      <c r="BV6" s="329">
        <f t="shared" si="1"/>
        <v>77.483443708609272</v>
      </c>
      <c r="BW6" s="324"/>
      <c r="BX6" s="330">
        <f t="shared" si="2"/>
        <v>0</v>
      </c>
      <c r="BY6" s="330">
        <f t="shared" si="3"/>
        <v>0</v>
      </c>
      <c r="BZ6" s="324"/>
    </row>
    <row r="7" spans="1:78">
      <c r="BN7" s="324"/>
      <c r="BO7" s="324"/>
      <c r="BP7" s="324"/>
      <c r="BQ7" s="327">
        <v>140</v>
      </c>
      <c r="BR7" s="327">
        <v>106</v>
      </c>
      <c r="BS7" s="328">
        <v>34.200000000000003</v>
      </c>
      <c r="BT7" s="329">
        <f t="shared" si="0"/>
        <v>14.155629139072849</v>
      </c>
      <c r="BU7" s="329">
        <f t="shared" si="4"/>
        <v>36.672185430463578</v>
      </c>
      <c r="BV7" s="329">
        <f t="shared" si="1"/>
        <v>63.327814569536422</v>
      </c>
      <c r="BW7" s="324"/>
      <c r="BX7" s="330">
        <f t="shared" si="2"/>
        <v>0</v>
      </c>
      <c r="BY7" s="330">
        <f t="shared" si="3"/>
        <v>0</v>
      </c>
      <c r="BZ7" s="324"/>
    </row>
    <row r="8" spans="1:78" ht="16">
      <c r="A8" s="324"/>
      <c r="B8" s="331"/>
      <c r="C8" s="324"/>
      <c r="D8" s="332"/>
      <c r="E8" s="333"/>
      <c r="F8" s="333"/>
      <c r="G8" s="324"/>
      <c r="H8" s="324"/>
      <c r="I8" s="324"/>
      <c r="J8" s="324"/>
      <c r="K8" s="324"/>
      <c r="L8" s="324"/>
      <c r="M8" s="324"/>
      <c r="N8" s="334"/>
      <c r="O8" s="324"/>
      <c r="P8" s="324"/>
      <c r="Q8" s="324"/>
      <c r="R8" s="324"/>
      <c r="S8" s="324"/>
      <c r="T8" s="324"/>
      <c r="U8" s="324"/>
      <c r="V8" s="324"/>
      <c r="W8" s="324"/>
      <c r="X8" s="324"/>
      <c r="Y8" s="324"/>
      <c r="Z8" s="324"/>
      <c r="AA8" s="324"/>
      <c r="AB8" s="324"/>
      <c r="AC8" s="324"/>
      <c r="AD8" s="324"/>
      <c r="AE8" s="324"/>
      <c r="AF8" s="324"/>
      <c r="AG8" s="324"/>
      <c r="AH8" s="324"/>
      <c r="AI8" s="324"/>
      <c r="AJ8" s="324"/>
      <c r="AK8" s="324"/>
      <c r="AL8" s="324"/>
      <c r="AM8" s="324"/>
      <c r="AN8" s="324"/>
      <c r="AO8" s="324"/>
      <c r="AP8" s="324"/>
      <c r="AQ8" s="324"/>
      <c r="AR8" s="324"/>
      <c r="AS8" s="324"/>
      <c r="AT8" s="324"/>
      <c r="AU8" s="324"/>
      <c r="AV8" s="324"/>
      <c r="AW8" s="324"/>
      <c r="AX8" s="324"/>
      <c r="AY8" s="324"/>
      <c r="AZ8" s="324"/>
      <c r="BA8" s="324"/>
      <c r="BB8" s="324"/>
      <c r="BC8" s="324"/>
      <c r="BD8" s="324"/>
      <c r="BE8" s="324"/>
      <c r="BF8" s="324"/>
      <c r="BG8" s="324"/>
      <c r="BH8" s="324"/>
      <c r="BI8" s="324"/>
      <c r="BJ8" s="324"/>
      <c r="BK8" s="324"/>
      <c r="BL8" s="324"/>
      <c r="BN8" s="324"/>
      <c r="BO8" s="324"/>
      <c r="BP8" s="324"/>
      <c r="BQ8" s="327">
        <v>200</v>
      </c>
      <c r="BR8" s="327">
        <v>75</v>
      </c>
      <c r="BS8" s="328">
        <v>12.4</v>
      </c>
      <c r="BT8" s="329">
        <f t="shared" si="0"/>
        <v>5.1324503311258285</v>
      </c>
      <c r="BU8" s="329">
        <f t="shared" si="4"/>
        <v>41.80463576158941</v>
      </c>
      <c r="BV8" s="329">
        <f t="shared" si="1"/>
        <v>58.19536423841059</v>
      </c>
      <c r="BW8" s="324"/>
      <c r="BX8" s="330">
        <f t="shared" si="2"/>
        <v>0</v>
      </c>
      <c r="BY8" s="330">
        <f t="shared" si="3"/>
        <v>0</v>
      </c>
      <c r="BZ8" s="324"/>
    </row>
    <row r="9" spans="1:78" ht="16">
      <c r="A9" s="324"/>
      <c r="B9" s="324"/>
      <c r="C9" s="324"/>
      <c r="D9" s="324"/>
      <c r="E9" s="335" t="s">
        <v>633</v>
      </c>
      <c r="F9" s="336"/>
      <c r="G9" s="336"/>
      <c r="H9" s="336"/>
      <c r="I9" s="336"/>
      <c r="J9" s="336"/>
      <c r="K9" s="336"/>
      <c r="L9" s="336"/>
      <c r="M9" s="337"/>
      <c r="N9" s="324"/>
      <c r="O9" s="324"/>
      <c r="P9" s="324"/>
      <c r="Q9" s="324"/>
      <c r="R9" s="324"/>
      <c r="S9" s="324"/>
      <c r="T9" s="324"/>
      <c r="U9" s="338"/>
      <c r="V9" s="338"/>
      <c r="W9" s="338"/>
      <c r="X9" s="338"/>
      <c r="Y9" s="338"/>
      <c r="Z9" s="338"/>
      <c r="AA9" s="338"/>
      <c r="AB9" s="338"/>
      <c r="AC9" s="338"/>
      <c r="AD9" s="338"/>
      <c r="AE9" s="338"/>
      <c r="AF9" s="338"/>
      <c r="AG9" s="338"/>
      <c r="AH9" s="324"/>
      <c r="AI9" s="324"/>
      <c r="AJ9" s="324"/>
      <c r="AK9" s="324"/>
      <c r="AL9" s="324"/>
      <c r="AM9" s="324"/>
      <c r="AN9" s="324"/>
      <c r="AO9" s="324"/>
      <c r="AP9" s="324"/>
      <c r="AQ9" s="324"/>
      <c r="AR9" s="324"/>
      <c r="AS9" s="324"/>
      <c r="AT9" s="324"/>
      <c r="AU9" s="324"/>
      <c r="AV9" s="324"/>
      <c r="AW9" s="324"/>
      <c r="AX9" s="324"/>
      <c r="AY9" s="324"/>
      <c r="AZ9" s="324"/>
      <c r="BA9" s="324"/>
      <c r="BB9" s="324"/>
      <c r="BC9" s="324"/>
      <c r="BD9" s="324"/>
      <c r="BE9" s="324"/>
      <c r="BF9" s="324"/>
      <c r="BG9" s="324"/>
      <c r="BH9" s="324"/>
      <c r="BI9" s="324"/>
      <c r="BJ9" s="324"/>
      <c r="BK9" s="324"/>
      <c r="BL9" s="324"/>
      <c r="BN9" s="324"/>
      <c r="BO9" s="324"/>
      <c r="BP9" s="324"/>
      <c r="BQ9" s="327">
        <v>270</v>
      </c>
      <c r="BR9" s="327">
        <v>53</v>
      </c>
      <c r="BS9" s="328">
        <v>15.8</v>
      </c>
      <c r="BT9" s="329">
        <f t="shared" si="0"/>
        <v>6.5397350993377481</v>
      </c>
      <c r="BU9" s="329">
        <f t="shared" si="4"/>
        <v>48.344370860927157</v>
      </c>
      <c r="BV9" s="329">
        <f t="shared" si="1"/>
        <v>51.655629139072843</v>
      </c>
      <c r="BW9" s="324"/>
      <c r="BX9" s="330">
        <f t="shared" si="2"/>
        <v>0</v>
      </c>
      <c r="BY9" s="330">
        <f t="shared" si="3"/>
        <v>49.396908874050403</v>
      </c>
      <c r="BZ9" s="324"/>
    </row>
    <row r="10" spans="1:78">
      <c r="A10" s="324"/>
      <c r="B10" s="339" t="s">
        <v>632</v>
      </c>
      <c r="C10" s="339" t="s">
        <v>631</v>
      </c>
      <c r="D10" s="339" t="s">
        <v>35</v>
      </c>
      <c r="E10" s="339" t="s">
        <v>630</v>
      </c>
      <c r="F10" s="339" t="s">
        <v>629</v>
      </c>
      <c r="G10" s="340" t="str">
        <f>G14</f>
        <v>Matcol 715</v>
      </c>
      <c r="H10" s="340" t="str">
        <f>G15</f>
        <v>FP 650</v>
      </c>
      <c r="I10" s="339">
        <f>G16</f>
        <v>0</v>
      </c>
      <c r="J10" s="339">
        <f>G17</f>
        <v>0</v>
      </c>
      <c r="K10" s="339">
        <f>G18</f>
        <v>0</v>
      </c>
      <c r="L10" s="339">
        <f>G19</f>
        <v>0</v>
      </c>
      <c r="M10" s="339"/>
      <c r="N10" s="341" t="s">
        <v>628</v>
      </c>
      <c r="O10" s="341" t="s">
        <v>627</v>
      </c>
      <c r="P10" s="341" t="s">
        <v>626</v>
      </c>
      <c r="Q10" s="324"/>
      <c r="R10" s="324"/>
      <c r="S10" s="324"/>
      <c r="T10" s="324"/>
      <c r="U10" s="324"/>
      <c r="V10" s="324"/>
      <c r="W10" s="338"/>
      <c r="X10" s="338"/>
      <c r="Y10" s="338"/>
      <c r="Z10" s="338"/>
      <c r="AA10" s="338"/>
      <c r="AB10" s="338"/>
      <c r="AC10" s="338"/>
      <c r="AD10" s="338"/>
      <c r="AE10" s="338"/>
      <c r="AF10" s="338"/>
      <c r="AG10" s="338"/>
      <c r="AH10" s="324"/>
      <c r="AI10" s="324"/>
      <c r="AJ10" s="324"/>
      <c r="AK10" s="324"/>
      <c r="AL10" s="324"/>
      <c r="AM10" s="324"/>
      <c r="AN10" s="324"/>
      <c r="AO10" s="324"/>
      <c r="AP10" s="324"/>
      <c r="AQ10" s="324"/>
      <c r="AR10" s="324"/>
      <c r="AS10" s="324"/>
      <c r="AT10" s="324"/>
      <c r="AU10" s="324"/>
      <c r="AV10" s="324"/>
      <c r="AW10" s="324"/>
      <c r="AX10" s="324"/>
      <c r="AY10" s="324"/>
      <c r="AZ10" s="324"/>
      <c r="BA10" s="324"/>
      <c r="BB10" s="324"/>
      <c r="BC10" s="324"/>
      <c r="BD10" s="324"/>
      <c r="BE10" s="324"/>
      <c r="BF10" s="324"/>
      <c r="BG10" s="324"/>
      <c r="BH10" s="324"/>
      <c r="BI10" s="324"/>
      <c r="BJ10" s="324"/>
      <c r="BK10" s="324"/>
      <c r="BL10" s="324"/>
      <c r="BN10" s="324"/>
      <c r="BO10" s="324"/>
      <c r="BP10" s="324"/>
      <c r="BQ10" s="327">
        <v>325</v>
      </c>
      <c r="BR10" s="327">
        <v>45</v>
      </c>
      <c r="BS10" s="328">
        <v>9.1</v>
      </c>
      <c r="BT10" s="329">
        <f t="shared" si="0"/>
        <v>3.7665562913907285</v>
      </c>
      <c r="BU10" s="329">
        <f t="shared" si="4"/>
        <v>52.110927152317885</v>
      </c>
      <c r="BV10" s="329">
        <f t="shared" si="1"/>
        <v>47.889072847682115</v>
      </c>
      <c r="BW10" s="324"/>
      <c r="BX10" s="330">
        <f t="shared" si="2"/>
        <v>0</v>
      </c>
      <c r="BY10" s="330">
        <f t="shared" si="3"/>
        <v>0</v>
      </c>
      <c r="BZ10" s="324"/>
    </row>
    <row r="11" spans="1:78">
      <c r="A11" s="324"/>
      <c r="B11" s="339" t="s">
        <v>454</v>
      </c>
      <c r="C11" s="342" t="s">
        <v>646</v>
      </c>
      <c r="D11" s="343">
        <v>8.4700000000000006</v>
      </c>
      <c r="E11" s="343">
        <v>141.1</v>
      </c>
      <c r="F11" s="344">
        <v>300</v>
      </c>
      <c r="G11" s="345">
        <v>28</v>
      </c>
      <c r="H11" s="345">
        <v>0</v>
      </c>
      <c r="I11" s="345"/>
      <c r="J11" s="345"/>
      <c r="K11" s="345"/>
      <c r="L11" s="345"/>
      <c r="M11" s="345"/>
      <c r="N11" s="346">
        <f>O11/P11</f>
        <v>2573.5294117647059</v>
      </c>
      <c r="O11" s="346">
        <v>1750</v>
      </c>
      <c r="P11" s="347">
        <v>0.68</v>
      </c>
      <c r="Q11" s="324"/>
      <c r="R11" s="334"/>
      <c r="S11" s="334"/>
      <c r="T11" s="334"/>
      <c r="U11" s="334"/>
      <c r="V11" s="334"/>
      <c r="W11" s="338"/>
      <c r="X11" s="338"/>
      <c r="Y11" s="338"/>
      <c r="Z11" s="338"/>
      <c r="AA11" s="338"/>
      <c r="AB11" s="338"/>
      <c r="AC11" s="338"/>
      <c r="AD11" s="338"/>
      <c r="AE11" s="338"/>
      <c r="AF11" s="338"/>
      <c r="AG11" s="338"/>
      <c r="AH11" s="324"/>
      <c r="AI11" s="324"/>
      <c r="AJ11" s="324"/>
      <c r="AK11" s="324"/>
      <c r="AL11" s="324"/>
      <c r="AM11" s="324"/>
      <c r="AN11" s="324"/>
      <c r="AO11" s="324"/>
      <c r="AP11" s="324"/>
      <c r="AQ11" s="324"/>
      <c r="AR11" s="324"/>
      <c r="AS11" s="324"/>
      <c r="AT11" s="324"/>
      <c r="AU11" s="324"/>
      <c r="AV11" s="324"/>
      <c r="AW11" s="324"/>
      <c r="AX11" s="324"/>
      <c r="AY11" s="324"/>
      <c r="AZ11" s="324"/>
      <c r="BA11" s="324"/>
      <c r="BB11" s="324"/>
      <c r="BC11" s="324"/>
      <c r="BD11" s="324"/>
      <c r="BE11" s="324"/>
      <c r="BF11" s="324"/>
      <c r="BG11" s="324"/>
      <c r="BH11" s="324"/>
      <c r="BI11" s="324"/>
      <c r="BJ11" s="324"/>
      <c r="BK11" s="324"/>
      <c r="BL11" s="324"/>
      <c r="BN11" s="324"/>
      <c r="BO11" s="324"/>
      <c r="BP11" s="324"/>
      <c r="BQ11" s="327">
        <v>400</v>
      </c>
      <c r="BR11" s="327">
        <v>38</v>
      </c>
      <c r="BS11" s="328">
        <v>7.6</v>
      </c>
      <c r="BT11" s="329">
        <f t="shared" si="0"/>
        <v>3.1456953642384109</v>
      </c>
      <c r="BU11" s="329">
        <f t="shared" si="4"/>
        <v>55.256622516556298</v>
      </c>
      <c r="BV11" s="329">
        <f t="shared" si="1"/>
        <v>44.743377483443702</v>
      </c>
      <c r="BW11" s="324"/>
      <c r="BX11" s="330">
        <f t="shared" si="2"/>
        <v>0</v>
      </c>
      <c r="BY11" s="330">
        <f t="shared" si="3"/>
        <v>0</v>
      </c>
      <c r="BZ11" s="324"/>
    </row>
    <row r="12" spans="1:78">
      <c r="A12" s="324"/>
      <c r="B12" s="324"/>
      <c r="C12" s="348"/>
      <c r="D12" s="324"/>
      <c r="E12" s="324"/>
      <c r="F12" s="324"/>
      <c r="G12" s="324"/>
      <c r="H12" s="324"/>
      <c r="I12" s="324"/>
      <c r="J12" s="324"/>
      <c r="K12" s="324"/>
      <c r="L12" s="324"/>
      <c r="M12" s="324"/>
      <c r="N12" s="324"/>
      <c r="O12" s="324"/>
      <c r="P12" s="324"/>
      <c r="Q12" s="324"/>
      <c r="R12" s="324"/>
      <c r="S12" s="324"/>
      <c r="T12" s="324"/>
      <c r="U12" s="324"/>
      <c r="V12" s="324"/>
      <c r="W12" s="324"/>
      <c r="X12" s="324"/>
      <c r="Y12" s="324"/>
      <c r="Z12" s="324"/>
      <c r="AA12" s="324"/>
      <c r="AB12" s="324"/>
      <c r="AC12" s="324"/>
      <c r="AD12" s="324"/>
      <c r="AE12" s="324"/>
      <c r="AF12" s="324"/>
      <c r="AG12" s="324"/>
      <c r="AH12" s="324"/>
      <c r="AI12" s="324"/>
      <c r="AJ12" s="324"/>
      <c r="AK12" s="324"/>
      <c r="AL12" s="324"/>
      <c r="AM12" s="324"/>
      <c r="AN12" s="324"/>
      <c r="AO12" s="324"/>
      <c r="AP12" s="324"/>
      <c r="AQ12" s="324"/>
      <c r="AR12" s="324"/>
      <c r="AS12" s="324"/>
      <c r="AT12" s="324"/>
      <c r="AU12" s="324"/>
      <c r="AV12" s="324"/>
      <c r="AW12" s="324"/>
      <c r="AX12" s="324"/>
      <c r="AY12" s="324"/>
      <c r="AZ12" s="324"/>
      <c r="BA12" s="324"/>
      <c r="BB12" s="324"/>
      <c r="BC12" s="324"/>
      <c r="BD12" s="324"/>
      <c r="BE12" s="324"/>
      <c r="BF12" s="324"/>
      <c r="BG12" s="324"/>
      <c r="BH12" s="324"/>
      <c r="BI12" s="324"/>
      <c r="BJ12" s="324"/>
      <c r="BK12" s="324"/>
      <c r="BL12" s="324"/>
      <c r="BN12" s="324"/>
      <c r="BO12" s="324"/>
      <c r="BP12" s="324"/>
      <c r="BQ12" s="327">
        <v>500</v>
      </c>
      <c r="BR12" s="327">
        <v>25</v>
      </c>
      <c r="BS12" s="328">
        <v>12.1</v>
      </c>
      <c r="BT12" s="329">
        <f t="shared" si="0"/>
        <v>5.008278145695364</v>
      </c>
      <c r="BU12" s="329">
        <f t="shared" si="4"/>
        <v>60.264900662251662</v>
      </c>
      <c r="BV12" s="329">
        <f t="shared" si="1"/>
        <v>39.735099337748338</v>
      </c>
      <c r="BW12" s="324"/>
      <c r="BX12" s="330">
        <f t="shared" si="2"/>
        <v>0</v>
      </c>
      <c r="BY12" s="330">
        <f t="shared" si="3"/>
        <v>0</v>
      </c>
      <c r="BZ12" s="324"/>
    </row>
    <row r="13" spans="1:78" ht="16">
      <c r="A13" s="324"/>
      <c r="B13" s="335" t="s">
        <v>624</v>
      </c>
      <c r="C13" s="349"/>
      <c r="D13" s="350"/>
      <c r="E13" s="324"/>
      <c r="F13" s="351" t="s">
        <v>623</v>
      </c>
      <c r="G13" s="352"/>
      <c r="H13" s="353"/>
      <c r="I13" s="354"/>
      <c r="J13" s="324"/>
      <c r="K13" s="324"/>
      <c r="L13" s="324"/>
      <c r="M13" s="324"/>
      <c r="N13" s="324"/>
      <c r="O13" s="324"/>
      <c r="P13" s="324"/>
      <c r="Q13" s="324"/>
      <c r="R13" s="324"/>
      <c r="S13" s="324"/>
      <c r="T13" s="324"/>
      <c r="U13" s="324"/>
      <c r="V13" s="324"/>
      <c r="W13" s="324"/>
      <c r="X13" s="324"/>
      <c r="Y13" s="324"/>
      <c r="Z13" s="324"/>
      <c r="AA13" s="324"/>
      <c r="AB13" s="324"/>
      <c r="AC13" s="324"/>
      <c r="AD13" s="324"/>
      <c r="AE13" s="324"/>
      <c r="AF13" s="324"/>
      <c r="AG13" s="324"/>
      <c r="AH13" s="324"/>
      <c r="AI13" s="324"/>
      <c r="AJ13" s="324"/>
      <c r="AK13" s="324"/>
      <c r="AL13" s="324"/>
      <c r="AM13" s="324"/>
      <c r="AN13" s="324"/>
      <c r="AO13" s="324"/>
      <c r="AP13" s="324"/>
      <c r="AQ13" s="324"/>
      <c r="AR13" s="324"/>
      <c r="AS13" s="324"/>
      <c r="AT13" s="324"/>
      <c r="AU13" s="324"/>
      <c r="AV13" s="324"/>
      <c r="AW13" s="324"/>
      <c r="AX13" s="324"/>
      <c r="AY13" s="324"/>
      <c r="AZ13" s="324"/>
      <c r="BA13" s="324"/>
      <c r="BB13" s="324"/>
      <c r="BC13" s="324"/>
      <c r="BD13" s="324"/>
      <c r="BE13" s="324"/>
      <c r="BF13" s="324"/>
      <c r="BG13" s="324"/>
      <c r="BH13" s="324"/>
      <c r="BI13" s="324"/>
      <c r="BJ13" s="324"/>
      <c r="BK13" s="324"/>
      <c r="BL13" s="324"/>
      <c r="BN13" s="324"/>
      <c r="BO13" s="324"/>
      <c r="BP13" s="324"/>
      <c r="BQ13" s="355" t="s">
        <v>645</v>
      </c>
      <c r="BR13" s="329">
        <v>0</v>
      </c>
      <c r="BS13" s="328">
        <v>96</v>
      </c>
      <c r="BT13" s="329">
        <f t="shared" si="0"/>
        <v>39.735099337748345</v>
      </c>
      <c r="BU13" s="329">
        <f t="shared" si="4"/>
        <v>100</v>
      </c>
      <c r="BV13" s="329">
        <f t="shared" si="1"/>
        <v>0</v>
      </c>
      <c r="BW13" s="324"/>
      <c r="BX13" s="330">
        <f t="shared" si="2"/>
        <v>0</v>
      </c>
      <c r="BY13" s="330">
        <f t="shared" si="3"/>
        <v>0</v>
      </c>
      <c r="BZ13" s="324"/>
    </row>
    <row r="14" spans="1:78">
      <c r="A14" s="324"/>
      <c r="B14" s="356"/>
      <c r="C14" s="357" t="s">
        <v>621</v>
      </c>
      <c r="D14" s="358">
        <v>17.399999999999999</v>
      </c>
      <c r="E14" s="324"/>
      <c r="F14" s="359" t="s">
        <v>620</v>
      </c>
      <c r="G14" s="360" t="s">
        <v>446</v>
      </c>
      <c r="H14" s="361">
        <f>G30</f>
        <v>28</v>
      </c>
      <c r="I14" s="362"/>
      <c r="J14" s="324"/>
      <c r="K14" s="324"/>
      <c r="L14" s="324"/>
      <c r="M14" s="324"/>
      <c r="N14" s="324"/>
      <c r="O14" s="324"/>
      <c r="P14" s="363">
        <f>P20-BS14</f>
        <v>0</v>
      </c>
      <c r="Q14" s="324"/>
      <c r="R14" s="324"/>
      <c r="S14" s="324"/>
      <c r="T14" s="324"/>
      <c r="U14" s="324"/>
      <c r="V14" s="324"/>
      <c r="W14" s="324"/>
      <c r="X14" s="324"/>
      <c r="Y14" s="324"/>
      <c r="Z14" s="324"/>
      <c r="AA14" s="324"/>
      <c r="AB14" s="324"/>
      <c r="AC14" s="324"/>
      <c r="AD14" s="324"/>
      <c r="AE14" s="324"/>
      <c r="AF14" s="324"/>
      <c r="AG14" s="324"/>
      <c r="AH14" s="324"/>
      <c r="AI14" s="324"/>
      <c r="AJ14" s="324"/>
      <c r="AK14" s="324"/>
      <c r="AL14" s="324"/>
      <c r="AM14" s="324"/>
      <c r="AN14" s="324"/>
      <c r="AO14" s="324"/>
      <c r="AP14" s="324"/>
      <c r="AQ14" s="324"/>
      <c r="AR14" s="324"/>
      <c r="AS14" s="324"/>
      <c r="AT14" s="324"/>
      <c r="AU14" s="324"/>
      <c r="AV14" s="324"/>
      <c r="AW14" s="324"/>
      <c r="AX14" s="324"/>
      <c r="AY14" s="324"/>
      <c r="AZ14" s="324"/>
      <c r="BA14" s="324"/>
      <c r="BB14" s="324"/>
      <c r="BC14" s="324"/>
      <c r="BD14" s="324"/>
      <c r="BE14" s="324"/>
      <c r="BF14" s="324"/>
      <c r="BG14" s="324"/>
      <c r="BH14" s="324"/>
      <c r="BI14" s="324"/>
      <c r="BJ14" s="324"/>
      <c r="BK14" s="324"/>
      <c r="BL14" s="324"/>
      <c r="BN14" s="324"/>
      <c r="BO14" s="324"/>
      <c r="BP14" s="324"/>
      <c r="BQ14" s="329"/>
      <c r="BR14" s="329"/>
      <c r="BS14" s="364">
        <f>SUM(BS4:BS13)</f>
        <v>241.6</v>
      </c>
      <c r="BT14" s="364">
        <f>SUM(BT4:BT13)</f>
        <v>100</v>
      </c>
      <c r="BU14" s="329"/>
      <c r="BV14" s="329"/>
      <c r="BW14" s="324"/>
      <c r="BX14" s="365">
        <f>SUM(BX4:BX13)</f>
        <v>159.96876201700329</v>
      </c>
      <c r="BY14" s="365">
        <f>SUM(BY4:BY13)</f>
        <v>49.396908874050403</v>
      </c>
      <c r="BZ14" s="324"/>
    </row>
    <row r="15" spans="1:78" ht="16">
      <c r="A15" s="324"/>
      <c r="B15" s="359"/>
      <c r="C15" s="366" t="s">
        <v>619</v>
      </c>
      <c r="D15" s="358">
        <v>22.3</v>
      </c>
      <c r="E15" s="324"/>
      <c r="F15" s="359" t="s">
        <v>618</v>
      </c>
      <c r="G15" s="360" t="s">
        <v>617</v>
      </c>
      <c r="H15" s="367">
        <f>H30</f>
        <v>32</v>
      </c>
      <c r="I15" s="362"/>
      <c r="J15" s="324"/>
      <c r="K15" s="324"/>
      <c r="L15" s="324"/>
      <c r="M15" s="368"/>
      <c r="N15" s="369" t="s">
        <v>159</v>
      </c>
      <c r="O15" s="370" t="s">
        <v>512</v>
      </c>
      <c r="P15" s="341" t="s">
        <v>616</v>
      </c>
      <c r="Q15" s="371" t="s">
        <v>615</v>
      </c>
      <c r="R15" s="324"/>
      <c r="Y15" s="324"/>
      <c r="Z15" s="324"/>
      <c r="AA15" s="324"/>
      <c r="AB15" s="324"/>
      <c r="AC15" s="324"/>
      <c r="AD15" s="324"/>
      <c r="AE15" s="324"/>
      <c r="AF15" s="324"/>
      <c r="AG15" s="324"/>
      <c r="AH15" s="324"/>
      <c r="AI15" s="324"/>
      <c r="AJ15" s="324"/>
      <c r="AK15" s="324"/>
      <c r="AL15" s="324"/>
      <c r="AM15" s="324"/>
      <c r="AN15" s="324"/>
      <c r="AO15" s="324"/>
      <c r="AP15" s="324"/>
      <c r="AQ15" s="324"/>
      <c r="AR15" s="324"/>
      <c r="AS15" s="324"/>
      <c r="AT15" s="324"/>
      <c r="AU15" s="324"/>
      <c r="AV15" s="324"/>
      <c r="AW15" s="324"/>
      <c r="AX15" s="324"/>
      <c r="AY15" s="324"/>
      <c r="AZ15" s="324"/>
      <c r="BA15" s="324"/>
      <c r="BB15" s="324"/>
      <c r="BC15" s="324"/>
      <c r="BD15" s="324"/>
      <c r="BE15" s="324"/>
      <c r="BF15" s="324"/>
      <c r="BG15" s="324"/>
      <c r="BH15" s="324"/>
      <c r="BI15" s="324"/>
      <c r="BJ15" s="324"/>
      <c r="BK15" s="324"/>
      <c r="BL15" s="324"/>
      <c r="BN15" s="324"/>
      <c r="BO15" s="324"/>
      <c r="BP15" s="324"/>
      <c r="BQ15" s="324"/>
      <c r="BR15" s="324"/>
      <c r="BS15" s="324"/>
      <c r="BT15" s="324"/>
      <c r="BU15" s="324"/>
      <c r="BV15" s="324"/>
      <c r="BW15" s="324"/>
      <c r="BX15" s="324"/>
      <c r="BY15" s="324"/>
      <c r="BZ15" s="324"/>
    </row>
    <row r="16" spans="1:78" ht="16">
      <c r="A16" s="324"/>
      <c r="B16" s="359"/>
      <c r="C16" s="366" t="s">
        <v>614</v>
      </c>
      <c r="D16" s="372">
        <v>9371</v>
      </c>
      <c r="E16" s="324"/>
      <c r="F16" s="359" t="s">
        <v>613</v>
      </c>
      <c r="G16" s="373"/>
      <c r="H16" s="367">
        <f>I30</f>
        <v>0</v>
      </c>
      <c r="I16" s="362"/>
      <c r="J16" s="325"/>
      <c r="K16" s="325"/>
      <c r="L16" s="325"/>
      <c r="M16" s="374" t="s">
        <v>612</v>
      </c>
      <c r="N16" s="375">
        <v>70</v>
      </c>
      <c r="O16" s="376">
        <v>212</v>
      </c>
      <c r="P16" s="377">
        <f>SUM(BS4:BS5)</f>
        <v>19.3</v>
      </c>
      <c r="Q16" s="378">
        <f>+P16/$P$20*100</f>
        <v>7.9884105960264895</v>
      </c>
      <c r="R16" s="379"/>
      <c r="Y16" s="379"/>
      <c r="Z16" s="379"/>
      <c r="AA16" s="379"/>
      <c r="AB16" s="379"/>
      <c r="AC16" s="324"/>
      <c r="AD16" s="324"/>
      <c r="AE16" s="379"/>
      <c r="AF16" s="324"/>
      <c r="AG16" s="324"/>
      <c r="AH16" s="324"/>
      <c r="AI16" s="324"/>
      <c r="AJ16" s="324"/>
      <c r="AK16" s="379"/>
      <c r="AL16" s="379"/>
      <c r="AM16" s="324"/>
      <c r="AN16" s="324"/>
      <c r="AO16" s="324"/>
      <c r="AP16" s="324"/>
      <c r="AQ16" s="324"/>
      <c r="AR16" s="324"/>
      <c r="AS16" s="324"/>
      <c r="AT16" s="324"/>
      <c r="AU16" s="324"/>
      <c r="AV16" s="324"/>
      <c r="AW16" s="324"/>
      <c r="AX16" s="324"/>
      <c r="AY16" s="324"/>
      <c r="AZ16" s="324"/>
      <c r="BA16" s="324"/>
      <c r="BB16" s="324"/>
      <c r="BC16" s="324"/>
      <c r="BD16" s="324"/>
      <c r="BE16" s="324"/>
      <c r="BF16" s="324"/>
      <c r="BG16" s="324"/>
      <c r="BH16" s="324"/>
      <c r="BI16" s="324"/>
      <c r="BJ16" s="324"/>
      <c r="BK16" s="324"/>
      <c r="BL16" s="324"/>
      <c r="BN16" s="324"/>
      <c r="BO16" s="324"/>
      <c r="BP16" s="324"/>
      <c r="BQ16" s="324"/>
      <c r="BR16" s="329" t="s">
        <v>20</v>
      </c>
      <c r="BS16" s="380">
        <f>BX14</f>
        <v>159.96876201700329</v>
      </c>
      <c r="BT16" s="324"/>
      <c r="BU16" s="324"/>
      <c r="BV16" s="324"/>
      <c r="BW16" s="324"/>
      <c r="BX16" s="324"/>
      <c r="BY16" s="324"/>
      <c r="BZ16" s="324"/>
    </row>
    <row r="17" spans="1:78" ht="15" thickBot="1">
      <c r="A17" s="338"/>
      <c r="B17" s="359"/>
      <c r="C17" s="366" t="s">
        <v>611</v>
      </c>
      <c r="D17" s="358">
        <v>77</v>
      </c>
      <c r="E17" s="324"/>
      <c r="F17" s="359" t="s">
        <v>610</v>
      </c>
      <c r="G17" s="373"/>
      <c r="H17" s="367"/>
      <c r="I17" s="362"/>
      <c r="J17" s="324"/>
      <c r="K17" s="324"/>
      <c r="L17" s="324"/>
      <c r="M17" s="381" t="s">
        <v>609</v>
      </c>
      <c r="N17" s="375">
        <v>140</v>
      </c>
      <c r="O17" s="376">
        <v>106</v>
      </c>
      <c r="P17" s="377">
        <f>SUM(BS6:BS7)</f>
        <v>69.300000000000011</v>
      </c>
      <c r="Q17" s="378">
        <f>+P17/$P$20*100</f>
        <v>28.683774834437088</v>
      </c>
      <c r="R17" s="382">
        <v>2</v>
      </c>
      <c r="S17" s="382"/>
      <c r="T17" s="382"/>
      <c r="U17" s="382"/>
      <c r="V17" s="382"/>
      <c r="W17" s="382"/>
      <c r="X17" s="382"/>
      <c r="Y17" s="382"/>
      <c r="Z17" s="382"/>
      <c r="AA17" s="382"/>
      <c r="AB17" s="382"/>
      <c r="AC17" s="382"/>
      <c r="AD17" s="382"/>
      <c r="AE17" s="382"/>
      <c r="AF17" s="382">
        <v>3</v>
      </c>
      <c r="AG17" s="382">
        <v>4</v>
      </c>
      <c r="AH17" s="382">
        <v>5</v>
      </c>
      <c r="AI17" s="382">
        <v>6</v>
      </c>
      <c r="AJ17" s="382">
        <v>7</v>
      </c>
      <c r="AK17" s="382">
        <v>8</v>
      </c>
      <c r="AL17" s="382"/>
      <c r="AM17" s="382"/>
      <c r="AN17" s="382"/>
      <c r="AO17" s="382"/>
      <c r="AP17" s="383"/>
      <c r="AQ17" s="384"/>
      <c r="AR17" s="384"/>
      <c r="AS17" s="384"/>
      <c r="AT17" s="324"/>
      <c r="AU17" s="338"/>
      <c r="AV17" s="338"/>
      <c r="AW17" s="338"/>
      <c r="AX17" s="338"/>
      <c r="AY17" s="338"/>
      <c r="AZ17" s="338"/>
      <c r="BA17" s="338"/>
      <c r="BB17" s="338"/>
      <c r="BC17" s="338"/>
      <c r="BD17" s="385"/>
      <c r="BE17" s="385"/>
      <c r="BF17" s="385"/>
      <c r="BG17" s="385"/>
      <c r="BH17" s="338"/>
      <c r="BI17" s="338"/>
      <c r="BJ17" s="338"/>
      <c r="BK17" s="338"/>
      <c r="BL17" s="338"/>
      <c r="BN17" s="338"/>
      <c r="BO17" s="338"/>
      <c r="BP17" s="338"/>
      <c r="BQ17" s="338"/>
      <c r="BR17" s="329" t="s">
        <v>63</v>
      </c>
      <c r="BS17" s="380">
        <f>BY14</f>
        <v>49.396908874050403</v>
      </c>
      <c r="BT17" s="338"/>
      <c r="BU17" s="338"/>
      <c r="BV17" s="338"/>
      <c r="BW17" s="338"/>
      <c r="BX17" s="338"/>
      <c r="BY17" s="338"/>
      <c r="BZ17" s="338"/>
    </row>
    <row r="18" spans="1:78" ht="16">
      <c r="A18" s="338"/>
      <c r="B18" s="359"/>
      <c r="C18" s="366" t="s">
        <v>608</v>
      </c>
      <c r="D18" s="386">
        <f>P11</f>
        <v>0.68</v>
      </c>
      <c r="E18" s="324"/>
      <c r="F18" s="359" t="s">
        <v>607</v>
      </c>
      <c r="G18" s="373"/>
      <c r="H18" s="387"/>
      <c r="I18" s="362"/>
      <c r="J18" s="324"/>
      <c r="K18" s="324"/>
      <c r="L18" s="324"/>
      <c r="M18" s="381"/>
      <c r="N18" s="375">
        <v>325</v>
      </c>
      <c r="O18" s="376">
        <v>45</v>
      </c>
      <c r="P18" s="377">
        <f>SUM(BS8:BS10)</f>
        <v>37.300000000000004</v>
      </c>
      <c r="Q18" s="388">
        <f>+P18/$P$20*100</f>
        <v>15.438741721854305</v>
      </c>
      <c r="R18" s="389" t="s">
        <v>606</v>
      </c>
      <c r="S18" s="390"/>
      <c r="T18" s="390"/>
      <c r="U18" s="390"/>
      <c r="V18" s="390"/>
      <c r="W18" s="390"/>
      <c r="X18" s="390"/>
      <c r="Y18" s="390"/>
      <c r="Z18" s="390"/>
      <c r="AA18" s="390"/>
      <c r="AB18" s="390"/>
      <c r="AC18" s="390"/>
      <c r="AD18" s="390"/>
      <c r="AE18" s="390"/>
      <c r="AF18" s="335" t="s">
        <v>595</v>
      </c>
      <c r="AG18" s="391"/>
      <c r="AH18" s="391"/>
      <c r="AI18" s="391"/>
      <c r="AJ18" s="391"/>
      <c r="AK18" s="391"/>
      <c r="AL18" s="391"/>
      <c r="AM18" s="349"/>
      <c r="AN18" s="349"/>
      <c r="AO18" s="349"/>
      <c r="AP18" s="349"/>
      <c r="AQ18" s="349"/>
      <c r="AR18" s="349"/>
      <c r="AS18" s="349"/>
      <c r="AT18" s="350"/>
      <c r="AU18" s="392" t="s">
        <v>594</v>
      </c>
      <c r="AV18" s="393"/>
      <c r="AW18" s="393"/>
      <c r="AX18" s="393"/>
      <c r="AY18" s="393"/>
      <c r="AZ18" s="393"/>
      <c r="BA18" s="393"/>
      <c r="BB18" s="394"/>
      <c r="BC18" s="394"/>
      <c r="BD18" s="394"/>
      <c r="BE18" s="394"/>
      <c r="BF18" s="394"/>
      <c r="BG18" s="394"/>
      <c r="BH18" s="394"/>
      <c r="BI18" s="395"/>
      <c r="BJ18" s="338"/>
      <c r="BK18" s="338"/>
      <c r="BL18" s="338"/>
      <c r="BN18" s="338"/>
      <c r="BO18" s="338"/>
      <c r="BP18" s="338"/>
      <c r="BQ18" s="338"/>
      <c r="BR18" s="338"/>
      <c r="BS18" s="338"/>
      <c r="BT18" s="338"/>
      <c r="BU18" s="338"/>
      <c r="BV18" s="338"/>
      <c r="BW18" s="338" t="s">
        <v>639</v>
      </c>
      <c r="BX18" s="338"/>
      <c r="BY18" s="338"/>
      <c r="BZ18" s="338"/>
    </row>
    <row r="19" spans="1:78" ht="15" thickBot="1">
      <c r="A19" s="338"/>
      <c r="B19" s="324"/>
      <c r="C19" s="324"/>
      <c r="D19" s="324"/>
      <c r="E19" s="324"/>
      <c r="F19" s="359" t="s">
        <v>605</v>
      </c>
      <c r="G19" s="373"/>
      <c r="H19" s="387"/>
      <c r="I19" s="362"/>
      <c r="J19" s="324"/>
      <c r="K19" s="324"/>
      <c r="L19" s="324"/>
      <c r="M19" s="396"/>
      <c r="N19" s="397" t="s">
        <v>604</v>
      </c>
      <c r="O19" s="398">
        <v>0</v>
      </c>
      <c r="P19" s="399">
        <f>SUM(BS11:BS13)</f>
        <v>115.7</v>
      </c>
      <c r="Q19" s="400">
        <f>+P19/$P$20*100</f>
        <v>47.889072847682115</v>
      </c>
      <c r="R19" s="401"/>
      <c r="S19" s="402"/>
      <c r="T19" s="403"/>
      <c r="U19" s="402"/>
      <c r="V19" s="402"/>
      <c r="W19" s="402"/>
      <c r="X19" s="402"/>
      <c r="Y19" s="402"/>
      <c r="Z19" s="402"/>
      <c r="AA19" s="402"/>
      <c r="AB19" s="402"/>
      <c r="AC19" s="402"/>
      <c r="AD19" s="402"/>
      <c r="AE19" s="401"/>
      <c r="AF19" s="404" t="s">
        <v>1</v>
      </c>
      <c r="AG19" s="405" t="s">
        <v>17</v>
      </c>
      <c r="AH19" s="406" t="s">
        <v>52</v>
      </c>
      <c r="AI19" s="406" t="s">
        <v>0</v>
      </c>
      <c r="AJ19" s="405"/>
      <c r="AK19" s="405"/>
      <c r="AL19" s="402"/>
      <c r="AM19" s="402"/>
      <c r="AN19" s="402"/>
      <c r="AO19" s="407"/>
      <c r="AP19" s="402"/>
      <c r="AQ19" s="407"/>
      <c r="AR19" s="407"/>
      <c r="AS19" s="407"/>
      <c r="AT19" s="407"/>
      <c r="AU19" s="408"/>
      <c r="AV19" s="407"/>
      <c r="AW19" s="407"/>
      <c r="AX19" s="407"/>
      <c r="AY19" s="402"/>
      <c r="AZ19" s="402"/>
      <c r="BA19" s="402"/>
      <c r="BB19" s="402"/>
      <c r="BC19" s="402"/>
      <c r="BD19" s="402"/>
      <c r="BE19" s="402"/>
      <c r="BF19" s="402"/>
      <c r="BG19" s="402"/>
      <c r="BH19" s="402"/>
      <c r="BI19" s="402"/>
      <c r="BJ19" s="409" t="s">
        <v>589</v>
      </c>
      <c r="BK19" s="409" t="s">
        <v>590</v>
      </c>
      <c r="BR19" s="338"/>
      <c r="BS19" s="338"/>
      <c r="BT19" s="338"/>
      <c r="BU19" s="338"/>
      <c r="BV19" s="338"/>
      <c r="BW19" s="338"/>
      <c r="BX19" s="338"/>
      <c r="BY19" s="338"/>
      <c r="BZ19" s="338"/>
    </row>
    <row r="20" spans="1:78" ht="15.5" thickTop="1" thickBot="1">
      <c r="A20" s="338"/>
      <c r="B20" s="324"/>
      <c r="C20" s="324"/>
      <c r="D20" s="324"/>
      <c r="E20" s="324"/>
      <c r="F20" s="324"/>
      <c r="G20" s="324"/>
      <c r="H20" s="324"/>
      <c r="I20" s="324"/>
      <c r="J20" s="324"/>
      <c r="K20" s="324"/>
      <c r="L20" s="324"/>
      <c r="M20" s="324"/>
      <c r="N20" s="410" t="s">
        <v>603</v>
      </c>
      <c r="O20" s="411"/>
      <c r="P20" s="412">
        <f>SUM(P16:P19)</f>
        <v>241.60000000000002</v>
      </c>
      <c r="Q20" s="413">
        <f>+P20/$P$20*100</f>
        <v>100</v>
      </c>
      <c r="R20" s="414">
        <v>0</v>
      </c>
      <c r="S20" s="415"/>
      <c r="T20" s="416"/>
      <c r="U20" s="417"/>
      <c r="V20" s="417"/>
      <c r="W20" s="417"/>
      <c r="X20" s="417"/>
      <c r="Y20" s="417"/>
      <c r="Z20" s="417"/>
      <c r="AA20" s="417"/>
      <c r="AB20" s="417"/>
      <c r="AC20" s="417"/>
      <c r="AD20" s="417"/>
      <c r="AE20" s="418"/>
      <c r="AF20" s="419">
        <v>0.66</v>
      </c>
      <c r="AG20" s="419">
        <v>2.2400000000000002</v>
      </c>
      <c r="AH20" s="419">
        <v>2.13</v>
      </c>
      <c r="AI20" s="419">
        <v>1.15E-2</v>
      </c>
      <c r="AJ20" s="420">
        <v>0</v>
      </c>
      <c r="AK20" s="420">
        <v>0</v>
      </c>
      <c r="AL20" s="421" t="e" vm="1">
        <f t="shared" ref="AL20:BI20" si="5">+VLOOKUP($BQ26,aquimicos,AL$17,FALSE)</f>
        <v>#VALUE!</v>
      </c>
      <c r="AM20" s="421" t="e" vm="1">
        <f t="shared" si="5"/>
        <v>#VALUE!</v>
      </c>
      <c r="AN20" s="421" t="e" vm="1">
        <f t="shared" si="5"/>
        <v>#VALUE!</v>
      </c>
      <c r="AO20" s="421" t="e" vm="1">
        <f t="shared" si="5"/>
        <v>#VALUE!</v>
      </c>
      <c r="AP20" s="421" t="e" vm="1">
        <f t="shared" si="5"/>
        <v>#VALUE!</v>
      </c>
      <c r="AQ20" s="421" t="e" vm="1">
        <f t="shared" si="5"/>
        <v>#VALUE!</v>
      </c>
      <c r="AR20" s="421" t="e" vm="1">
        <f t="shared" si="5"/>
        <v>#VALUE!</v>
      </c>
      <c r="AS20" s="421" t="e" vm="1">
        <f t="shared" si="5"/>
        <v>#VALUE!</v>
      </c>
      <c r="AT20" s="421" t="e" vm="1">
        <f t="shared" si="5"/>
        <v>#VALUE!</v>
      </c>
      <c r="AU20" s="422" t="e" vm="1">
        <f t="shared" si="5"/>
        <v>#VALUE!</v>
      </c>
      <c r="AV20" s="422" t="e" vm="1">
        <f t="shared" si="5"/>
        <v>#VALUE!</v>
      </c>
      <c r="AW20" s="422" t="e" vm="1">
        <f t="shared" si="5"/>
        <v>#VALUE!</v>
      </c>
      <c r="AX20" s="423" t="e" vm="1">
        <f t="shared" si="5"/>
        <v>#VALUE!</v>
      </c>
      <c r="AY20" s="422" t="e" vm="1">
        <f t="shared" si="5"/>
        <v>#VALUE!</v>
      </c>
      <c r="AZ20" s="422" t="e" vm="1">
        <f t="shared" si="5"/>
        <v>#VALUE!</v>
      </c>
      <c r="BA20" s="422" t="e" vm="1">
        <f t="shared" si="5"/>
        <v>#VALUE!</v>
      </c>
      <c r="BB20" s="422" t="e" vm="1">
        <f t="shared" si="5"/>
        <v>#VALUE!</v>
      </c>
      <c r="BC20" s="422" t="e" vm="1">
        <f t="shared" si="5"/>
        <v>#VALUE!</v>
      </c>
      <c r="BD20" s="422" t="e" vm="1">
        <f t="shared" si="5"/>
        <v>#VALUE!</v>
      </c>
      <c r="BE20" s="422" t="e" vm="1">
        <f t="shared" si="5"/>
        <v>#VALUE!</v>
      </c>
      <c r="BF20" s="422" t="e" vm="1">
        <f t="shared" si="5"/>
        <v>#VALUE!</v>
      </c>
      <c r="BG20" s="422" t="e" vm="1">
        <f t="shared" si="5"/>
        <v>#VALUE!</v>
      </c>
      <c r="BH20" s="422" t="e" vm="1">
        <f t="shared" si="5"/>
        <v>#VALUE!</v>
      </c>
      <c r="BI20" s="422" t="e" vm="1">
        <f t="shared" si="5"/>
        <v>#VALUE!</v>
      </c>
      <c r="BJ20" s="424"/>
      <c r="BK20" s="424"/>
      <c r="BR20" s="338"/>
      <c r="BS20" s="338"/>
      <c r="BT20" s="338"/>
      <c r="BU20" s="338"/>
      <c r="BV20" s="338"/>
      <c r="BW20" s="338"/>
      <c r="BX20" s="338"/>
      <c r="BY20" s="338"/>
      <c r="BZ20" s="338"/>
    </row>
    <row r="21" spans="1:78">
      <c r="A21" s="338"/>
      <c r="B21" s="324"/>
      <c r="C21" s="324"/>
      <c r="D21" s="324"/>
      <c r="E21" s="324"/>
      <c r="F21" s="324"/>
      <c r="G21" s="324"/>
      <c r="H21" s="324"/>
      <c r="I21" s="324"/>
      <c r="J21" s="324"/>
      <c r="K21" s="324"/>
      <c r="L21" s="324"/>
      <c r="M21" s="324"/>
      <c r="N21" s="324"/>
      <c r="O21" s="324"/>
      <c r="P21" s="324"/>
      <c r="Q21" s="324"/>
      <c r="R21" s="324"/>
      <c r="S21" s="324"/>
      <c r="T21" s="324"/>
      <c r="U21" s="324"/>
      <c r="V21" s="324"/>
      <c r="W21" s="324"/>
      <c r="X21" s="324"/>
      <c r="Y21" s="324"/>
      <c r="Z21" s="324"/>
      <c r="AA21" s="324"/>
      <c r="AB21" s="324"/>
      <c r="AC21" s="324"/>
      <c r="AD21" s="324"/>
      <c r="AE21" s="324"/>
      <c r="AF21" s="324"/>
      <c r="AG21" s="324"/>
      <c r="AH21" s="324"/>
      <c r="AI21" s="324"/>
      <c r="AJ21" s="324"/>
      <c r="AK21" s="324"/>
      <c r="AL21" s="324"/>
      <c r="AM21" s="324"/>
      <c r="AN21" s="324"/>
      <c r="AO21" s="324"/>
      <c r="AP21" s="324"/>
      <c r="AQ21" s="324"/>
      <c r="AR21" s="324"/>
      <c r="AS21" s="324"/>
      <c r="AT21" s="324"/>
      <c r="AU21" s="324"/>
      <c r="AV21" s="324"/>
      <c r="AW21" s="324"/>
      <c r="AX21" s="324"/>
      <c r="AY21" s="324"/>
      <c r="AZ21" s="324"/>
      <c r="BA21" s="324"/>
      <c r="BB21" s="324"/>
      <c r="BC21" s="324"/>
      <c r="BD21" s="324"/>
      <c r="BE21" s="324"/>
      <c r="BF21" s="324"/>
      <c r="BG21" s="324"/>
      <c r="BH21" s="324"/>
      <c r="BI21" s="324"/>
      <c r="BN21" s="338"/>
      <c r="BO21" s="338"/>
      <c r="BP21" s="338"/>
      <c r="BQ21" s="338"/>
      <c r="BR21" s="338"/>
      <c r="BS21" s="338"/>
      <c r="BT21" s="338"/>
      <c r="BU21" s="338"/>
      <c r="BV21" s="338"/>
      <c r="BW21" s="338"/>
      <c r="BX21" s="338"/>
      <c r="BY21" s="338"/>
      <c r="BZ21" s="338"/>
    </row>
    <row r="22" spans="1:78" ht="16">
      <c r="A22" s="338"/>
      <c r="B22" s="324"/>
      <c r="C22" s="324"/>
      <c r="D22" s="425"/>
      <c r="E22" s="426" t="s">
        <v>602</v>
      </c>
      <c r="F22" s="349"/>
      <c r="G22" s="349"/>
      <c r="H22" s="349"/>
      <c r="I22" s="349"/>
      <c r="J22" s="349"/>
      <c r="K22" s="349"/>
      <c r="L22" s="349"/>
      <c r="M22" s="350"/>
      <c r="N22" s="338"/>
      <c r="O22" s="338"/>
      <c r="P22" s="338"/>
      <c r="Q22" s="338"/>
      <c r="R22" s="338"/>
      <c r="S22" s="338"/>
      <c r="T22" s="338"/>
      <c r="U22" s="338"/>
      <c r="V22" s="338"/>
      <c r="W22" s="338"/>
      <c r="X22" s="338"/>
      <c r="Y22" s="338"/>
      <c r="Z22" s="338"/>
      <c r="AA22" s="338"/>
      <c r="AB22" s="338"/>
      <c r="AC22" s="338"/>
      <c r="AD22" s="338"/>
      <c r="AE22" s="338"/>
      <c r="AF22" s="338"/>
      <c r="AG22" s="338"/>
      <c r="AH22" s="338"/>
      <c r="AI22" s="338"/>
      <c r="AJ22" s="338"/>
      <c r="AK22" s="338"/>
      <c r="AL22" s="338"/>
      <c r="AM22" s="338"/>
      <c r="AN22" s="338"/>
      <c r="AO22" s="338"/>
      <c r="AP22" s="338"/>
      <c r="AQ22" s="338"/>
      <c r="AR22" s="338"/>
      <c r="AS22" s="338"/>
      <c r="AT22" s="338"/>
      <c r="AU22" s="338"/>
      <c r="AV22" s="338"/>
      <c r="AW22" s="338"/>
      <c r="AX22" s="338"/>
      <c r="AY22" s="338"/>
      <c r="AZ22" s="338"/>
      <c r="BA22" s="338"/>
      <c r="BB22" s="338"/>
      <c r="BC22" s="338"/>
      <c r="BD22" s="338"/>
      <c r="BE22" s="338"/>
      <c r="BF22" s="338"/>
      <c r="BG22" s="338"/>
      <c r="BH22" s="338"/>
      <c r="BI22" s="338"/>
      <c r="BJ22" s="338"/>
      <c r="BK22" s="338"/>
      <c r="BL22" s="338"/>
      <c r="BN22" s="338"/>
      <c r="BO22" s="338"/>
      <c r="BP22" s="338"/>
      <c r="BQ22" s="338"/>
      <c r="BR22" s="338"/>
      <c r="BS22" s="338"/>
      <c r="BT22" s="338"/>
      <c r="BU22" s="338"/>
      <c r="BV22" s="338"/>
      <c r="BW22" s="338"/>
      <c r="BX22" s="338"/>
      <c r="BY22" s="338"/>
      <c r="BZ22" s="338"/>
    </row>
    <row r="23" spans="1:78" ht="15" thickBot="1">
      <c r="A23" s="338"/>
      <c r="B23" s="339" t="s">
        <v>600</v>
      </c>
      <c r="C23" s="427" t="s">
        <v>601</v>
      </c>
      <c r="D23" s="428" t="str">
        <f>D10</f>
        <v>pH</v>
      </c>
      <c r="E23" s="427" t="str">
        <f>E10</f>
        <v>eH, mV</v>
      </c>
      <c r="F23" s="429" t="str">
        <f>F10</f>
        <v>CaO</v>
      </c>
      <c r="G23" s="429" t="str">
        <f>G10</f>
        <v>Matcol 715</v>
      </c>
      <c r="H23" s="429" t="str">
        <f>H10</f>
        <v>FP 650</v>
      </c>
      <c r="I23" s="427">
        <f>+G16</f>
        <v>0</v>
      </c>
      <c r="J23" s="427">
        <f>+G17</f>
        <v>0</v>
      </c>
      <c r="K23" s="427">
        <f>+G18</f>
        <v>0</v>
      </c>
      <c r="L23" s="427">
        <f>+G19</f>
        <v>0</v>
      </c>
      <c r="M23" s="430" t="s">
        <v>600</v>
      </c>
      <c r="N23" s="324"/>
      <c r="O23" s="324"/>
      <c r="P23" s="324"/>
      <c r="Q23" s="324"/>
      <c r="R23" s="324"/>
      <c r="S23" s="324"/>
      <c r="T23" s="324"/>
      <c r="U23" s="324"/>
      <c r="V23" s="324"/>
      <c r="W23" s="324"/>
      <c r="X23" s="324"/>
      <c r="Y23" s="324"/>
      <c r="Z23" s="324"/>
      <c r="AA23" s="324"/>
      <c r="AB23" s="324"/>
      <c r="AC23" s="324"/>
      <c r="AD23" s="324"/>
      <c r="AE23" s="324"/>
      <c r="AF23" s="324"/>
      <c r="AG23" s="324"/>
      <c r="AH23" s="324"/>
      <c r="AI23" s="324"/>
      <c r="AJ23" s="324"/>
      <c r="AK23" s="324"/>
      <c r="AL23" s="324"/>
      <c r="AM23" s="324"/>
      <c r="AN23" s="324"/>
      <c r="AO23" s="324"/>
      <c r="AP23" s="324"/>
      <c r="AQ23" s="324"/>
      <c r="AR23" s="324"/>
      <c r="AS23" s="324"/>
      <c r="AT23" s="324"/>
      <c r="AU23" s="324"/>
      <c r="AV23" s="324"/>
      <c r="AW23" s="324"/>
      <c r="AX23" s="324"/>
      <c r="AY23" s="324"/>
      <c r="AZ23" s="324"/>
      <c r="BA23" s="324"/>
      <c r="BB23" s="324"/>
      <c r="BC23" s="324"/>
      <c r="BD23" s="324"/>
      <c r="BE23" s="324"/>
      <c r="BF23" s="324"/>
      <c r="BG23" s="324"/>
      <c r="BH23" s="324"/>
      <c r="BI23" s="324"/>
      <c r="BN23" s="338"/>
      <c r="BO23" s="338"/>
      <c r="BP23" s="338"/>
      <c r="BQ23" s="338"/>
      <c r="BR23" s="338"/>
      <c r="BS23" s="338"/>
      <c r="BT23" s="338"/>
      <c r="BU23" s="338"/>
      <c r="BV23" s="338"/>
      <c r="BW23" s="338"/>
      <c r="BX23" s="338"/>
      <c r="BY23" s="338"/>
      <c r="BZ23" s="338"/>
    </row>
    <row r="24" spans="1:78" ht="16.5" thickBot="1">
      <c r="A24" s="338"/>
      <c r="B24" s="431"/>
      <c r="C24" s="432"/>
      <c r="D24" s="432"/>
      <c r="E24" s="433"/>
      <c r="F24" s="433"/>
      <c r="G24" s="434"/>
      <c r="H24" s="433"/>
      <c r="I24" s="435"/>
      <c r="J24" s="432"/>
      <c r="K24" s="436"/>
      <c r="L24" s="436"/>
      <c r="M24" s="437"/>
      <c r="N24" s="438" t="s">
        <v>599</v>
      </c>
      <c r="O24" s="439" t="s">
        <v>598</v>
      </c>
      <c r="P24" s="439" t="s">
        <v>597</v>
      </c>
      <c r="Q24" s="440" t="s">
        <v>556</v>
      </c>
      <c r="R24" s="335" t="s">
        <v>596</v>
      </c>
      <c r="S24" s="349"/>
      <c r="T24" s="349"/>
      <c r="U24" s="349"/>
      <c r="V24" s="349"/>
      <c r="W24" s="349"/>
      <c r="X24" s="349"/>
      <c r="Y24" s="349"/>
      <c r="Z24" s="349"/>
      <c r="AA24" s="349"/>
      <c r="AB24" s="349"/>
      <c r="AC24" s="349"/>
      <c r="AD24" s="349"/>
      <c r="AE24" s="349"/>
      <c r="AF24" s="335" t="s">
        <v>595</v>
      </c>
      <c r="AG24" s="349"/>
      <c r="AH24" s="349"/>
      <c r="AI24" s="349"/>
      <c r="AJ24" s="349"/>
      <c r="AK24" s="349"/>
      <c r="AL24" s="349"/>
      <c r="AM24" s="336"/>
      <c r="AN24" s="349"/>
      <c r="AO24" s="349"/>
      <c r="AP24" s="349"/>
      <c r="AQ24" s="336"/>
      <c r="AR24" s="349"/>
      <c r="AS24" s="349"/>
      <c r="AT24" s="350"/>
      <c r="AU24" s="392" t="s">
        <v>594</v>
      </c>
      <c r="AV24" s="394"/>
      <c r="AW24" s="394"/>
      <c r="AX24" s="394"/>
      <c r="AY24" s="394"/>
      <c r="AZ24" s="394"/>
      <c r="BA24" s="394"/>
      <c r="BB24" s="394"/>
      <c r="BC24" s="394"/>
      <c r="BD24" s="394"/>
      <c r="BE24" s="394"/>
      <c r="BF24" s="394"/>
      <c r="BG24" s="394"/>
      <c r="BH24" s="394"/>
      <c r="BI24" s="394"/>
      <c r="BR24" s="338"/>
      <c r="BS24" s="338"/>
      <c r="BT24" s="338"/>
      <c r="BU24" s="338"/>
      <c r="BV24" s="338"/>
      <c r="BW24" s="338"/>
      <c r="BX24" s="338"/>
      <c r="BY24" s="338"/>
      <c r="BZ24" s="338"/>
    </row>
    <row r="25" spans="1:78" ht="15.5" thickTop="1" thickBot="1">
      <c r="A25" s="338"/>
      <c r="B25" s="431" t="s">
        <v>593</v>
      </c>
      <c r="C25" s="432">
        <v>1</v>
      </c>
      <c r="D25" s="432">
        <v>10.210000000000001</v>
      </c>
      <c r="E25" s="433">
        <v>66</v>
      </c>
      <c r="F25" s="433">
        <f>(H36*10%)/($O$34/1000000)</f>
        <v>923.73419548524919</v>
      </c>
      <c r="G25" s="434"/>
      <c r="H25" s="434">
        <v>16</v>
      </c>
      <c r="I25" s="435"/>
      <c r="J25" s="441"/>
      <c r="K25" s="442"/>
      <c r="L25" s="442"/>
      <c r="M25" s="437"/>
      <c r="N25" s="443" t="s">
        <v>556</v>
      </c>
      <c r="O25" s="444" t="s">
        <v>556</v>
      </c>
      <c r="P25" s="444" t="s">
        <v>592</v>
      </c>
      <c r="Q25" s="445" t="s">
        <v>591</v>
      </c>
      <c r="R25" s="446">
        <f t="shared" ref="R25:BI25" si="6">R$19</f>
        <v>0</v>
      </c>
      <c r="S25" s="447">
        <f t="shared" si="6"/>
        <v>0</v>
      </c>
      <c r="T25" s="447">
        <f t="shared" si="6"/>
        <v>0</v>
      </c>
      <c r="U25" s="448">
        <f t="shared" si="6"/>
        <v>0</v>
      </c>
      <c r="V25" s="448">
        <f t="shared" si="6"/>
        <v>0</v>
      </c>
      <c r="W25" s="448">
        <f t="shared" si="6"/>
        <v>0</v>
      </c>
      <c r="X25" s="448">
        <f t="shared" si="6"/>
        <v>0</v>
      </c>
      <c r="Y25" s="448">
        <f t="shared" si="6"/>
        <v>0</v>
      </c>
      <c r="Z25" s="448">
        <f t="shared" si="6"/>
        <v>0</v>
      </c>
      <c r="AA25" s="448">
        <f t="shared" si="6"/>
        <v>0</v>
      </c>
      <c r="AB25" s="448">
        <f t="shared" si="6"/>
        <v>0</v>
      </c>
      <c r="AC25" s="448">
        <f t="shared" si="6"/>
        <v>0</v>
      </c>
      <c r="AD25" s="448">
        <f t="shared" si="6"/>
        <v>0</v>
      </c>
      <c r="AE25" s="449">
        <f t="shared" si="6"/>
        <v>0</v>
      </c>
      <c r="AF25" s="446" t="str">
        <f t="shared" si="6"/>
        <v>Cu</v>
      </c>
      <c r="AG25" s="446" t="str">
        <f t="shared" si="6"/>
        <v>Fe</v>
      </c>
      <c r="AH25" s="446" t="str">
        <f t="shared" si="6"/>
        <v>S</v>
      </c>
      <c r="AI25" s="446" t="str">
        <f t="shared" si="6"/>
        <v>Mo</v>
      </c>
      <c r="AJ25" s="446">
        <f t="shared" si="6"/>
        <v>0</v>
      </c>
      <c r="AK25" s="446">
        <f t="shared" si="6"/>
        <v>0</v>
      </c>
      <c r="AL25" s="450">
        <f t="shared" si="6"/>
        <v>0</v>
      </c>
      <c r="AM25" s="450">
        <f t="shared" si="6"/>
        <v>0</v>
      </c>
      <c r="AN25" s="450">
        <f t="shared" si="6"/>
        <v>0</v>
      </c>
      <c r="AO25" s="450">
        <f t="shared" si="6"/>
        <v>0</v>
      </c>
      <c r="AP25" s="450">
        <f t="shared" si="6"/>
        <v>0</v>
      </c>
      <c r="AQ25" s="450">
        <f t="shared" si="6"/>
        <v>0</v>
      </c>
      <c r="AR25" s="450">
        <f t="shared" si="6"/>
        <v>0</v>
      </c>
      <c r="AS25" s="450">
        <f t="shared" si="6"/>
        <v>0</v>
      </c>
      <c r="AT25" s="450">
        <f t="shared" si="6"/>
        <v>0</v>
      </c>
      <c r="AU25" s="448">
        <f t="shared" si="6"/>
        <v>0</v>
      </c>
      <c r="AV25" s="447">
        <f t="shared" si="6"/>
        <v>0</v>
      </c>
      <c r="AW25" s="447">
        <f t="shared" si="6"/>
        <v>0</v>
      </c>
      <c r="AX25" s="447">
        <f t="shared" si="6"/>
        <v>0</v>
      </c>
      <c r="AY25" s="447">
        <f t="shared" si="6"/>
        <v>0</v>
      </c>
      <c r="AZ25" s="447">
        <f t="shared" si="6"/>
        <v>0</v>
      </c>
      <c r="BA25" s="447">
        <f t="shared" si="6"/>
        <v>0</v>
      </c>
      <c r="BB25" s="447">
        <f t="shared" si="6"/>
        <v>0</v>
      </c>
      <c r="BC25" s="447">
        <f t="shared" si="6"/>
        <v>0</v>
      </c>
      <c r="BD25" s="447">
        <f t="shared" si="6"/>
        <v>0</v>
      </c>
      <c r="BE25" s="447">
        <f t="shared" si="6"/>
        <v>0</v>
      </c>
      <c r="BF25" s="447">
        <f t="shared" si="6"/>
        <v>0</v>
      </c>
      <c r="BG25" s="447">
        <f t="shared" si="6"/>
        <v>0</v>
      </c>
      <c r="BH25" s="447">
        <f t="shared" si="6"/>
        <v>0</v>
      </c>
      <c r="BI25" s="447">
        <f t="shared" si="6"/>
        <v>0</v>
      </c>
      <c r="BJ25" s="409" t="s">
        <v>589</v>
      </c>
      <c r="BK25" s="409" t="s">
        <v>590</v>
      </c>
      <c r="BO25" s="451" t="s">
        <v>589</v>
      </c>
      <c r="BP25" s="452" t="s">
        <v>588</v>
      </c>
      <c r="BQ25" s="453" t="s">
        <v>587</v>
      </c>
      <c r="BR25" s="338"/>
      <c r="BS25" s="338"/>
      <c r="BT25" s="338"/>
      <c r="BU25" s="338"/>
      <c r="BV25" s="338"/>
      <c r="BW25" s="338"/>
      <c r="BX25" s="338"/>
      <c r="BY25" s="338"/>
      <c r="BZ25" s="338"/>
    </row>
    <row r="26" spans="1:78" ht="16.5" thickTop="1">
      <c r="A26" s="338"/>
      <c r="B26" s="454" t="s">
        <v>586</v>
      </c>
      <c r="C26" s="455">
        <v>0.75</v>
      </c>
      <c r="D26" s="456">
        <v>10.23</v>
      </c>
      <c r="E26" s="456">
        <v>58.8</v>
      </c>
      <c r="F26" s="456">
        <f>(H37*10%)/($O$34/1000000)</f>
        <v>80.826742104959294</v>
      </c>
      <c r="G26" s="457"/>
      <c r="H26" s="457"/>
      <c r="I26" s="458"/>
      <c r="J26" s="456"/>
      <c r="K26" s="455"/>
      <c r="L26" s="455"/>
      <c r="M26" s="459" t="s">
        <v>585</v>
      </c>
      <c r="N26" s="460">
        <f>+BP27-BK26</f>
        <v>537.29999999999995</v>
      </c>
      <c r="O26" s="461">
        <v>114.1</v>
      </c>
      <c r="P26" s="413">
        <f>O26/N26*100</f>
        <v>21.235808672994601</v>
      </c>
      <c r="Q26" s="413">
        <f t="shared" ref="Q26:Q31" si="7">O26/$O$34*100</f>
        <v>6.5873794815541826</v>
      </c>
      <c r="R26" s="462">
        <v>0</v>
      </c>
      <c r="S26" s="463"/>
      <c r="T26" s="463"/>
      <c r="U26" s="464"/>
      <c r="V26" s="465"/>
      <c r="W26" s="465"/>
      <c r="X26" s="465"/>
      <c r="Y26" s="465"/>
      <c r="Z26" s="465"/>
      <c r="AA26" s="465"/>
      <c r="AB26" s="465"/>
      <c r="AC26" s="465"/>
      <c r="AD26" s="465"/>
      <c r="AE26" s="466"/>
      <c r="AF26" s="467">
        <v>6.56</v>
      </c>
      <c r="AG26" s="468">
        <v>14.4</v>
      </c>
      <c r="AH26" s="469">
        <v>17.84</v>
      </c>
      <c r="AI26" s="469">
        <v>8.3199999999999996E-2</v>
      </c>
      <c r="AJ26" s="470">
        <v>0</v>
      </c>
      <c r="AK26" s="470">
        <v>0</v>
      </c>
      <c r="AL26" s="471"/>
      <c r="AM26" s="471"/>
      <c r="AN26" s="471"/>
      <c r="AO26" s="471"/>
      <c r="AP26" s="471"/>
      <c r="AQ26" s="471"/>
      <c r="AR26" s="472"/>
      <c r="AS26" s="472"/>
      <c r="AT26" s="473"/>
      <c r="AU26" s="471"/>
      <c r="AV26" s="471"/>
      <c r="AW26" s="471"/>
      <c r="AX26" s="471"/>
      <c r="AY26" s="471"/>
      <c r="AZ26" s="471"/>
      <c r="BA26" s="471"/>
      <c r="BB26" s="471"/>
      <c r="BC26" s="471"/>
      <c r="BD26" s="471"/>
      <c r="BE26" s="471"/>
      <c r="BF26" s="471"/>
      <c r="BG26" s="471"/>
      <c r="BH26" s="471"/>
      <c r="BI26" s="471"/>
      <c r="BJ26" s="474" t="s">
        <v>644</v>
      </c>
      <c r="BK26" s="475">
        <v>385.8</v>
      </c>
      <c r="BO26" s="476" t="s">
        <v>532</v>
      </c>
      <c r="BP26" s="477"/>
      <c r="BQ26" s="478" t="s">
        <v>551</v>
      </c>
      <c r="BR26" s="338"/>
      <c r="BS26" s="338"/>
      <c r="BT26" s="338"/>
      <c r="BU26" s="338"/>
      <c r="BV26" s="338"/>
      <c r="BW26" s="338"/>
      <c r="BX26" s="338"/>
      <c r="BY26" s="338"/>
      <c r="BZ26" s="338"/>
    </row>
    <row r="27" spans="1:78" ht="16">
      <c r="A27" s="338"/>
      <c r="B27" s="454" t="s">
        <v>583</v>
      </c>
      <c r="C27" s="455">
        <v>2</v>
      </c>
      <c r="D27" s="456">
        <v>10.199999999999999</v>
      </c>
      <c r="E27" s="456">
        <v>65</v>
      </c>
      <c r="F27" s="456">
        <f>(H38*10%)/($O$34/1000000)</f>
        <v>0</v>
      </c>
      <c r="G27" s="457"/>
      <c r="H27" s="457"/>
      <c r="I27" s="458"/>
      <c r="J27" s="479"/>
      <c r="K27" s="455"/>
      <c r="L27" s="455"/>
      <c r="M27" s="459" t="s">
        <v>582</v>
      </c>
      <c r="N27" s="460">
        <f>+BP28-BK27</f>
        <v>394.70000000000005</v>
      </c>
      <c r="O27" s="461">
        <v>52.9</v>
      </c>
      <c r="P27" s="413">
        <f>O27/N27*100</f>
        <v>13.402584241195841</v>
      </c>
      <c r="Q27" s="413">
        <f t="shared" si="7"/>
        <v>3.0540961838231051</v>
      </c>
      <c r="R27" s="462">
        <v>0</v>
      </c>
      <c r="S27" s="463"/>
      <c r="T27" s="463"/>
      <c r="U27" s="464"/>
      <c r="V27" s="465"/>
      <c r="W27" s="465"/>
      <c r="X27" s="465"/>
      <c r="Y27" s="465"/>
      <c r="Z27" s="465"/>
      <c r="AA27" s="465"/>
      <c r="AB27" s="465"/>
      <c r="AC27" s="465"/>
      <c r="AD27" s="465"/>
      <c r="AE27" s="466"/>
      <c r="AF27" s="467">
        <v>3.11</v>
      </c>
      <c r="AG27" s="468">
        <v>9.8000000000000007</v>
      </c>
      <c r="AH27" s="469">
        <v>11.42</v>
      </c>
      <c r="AI27" s="469">
        <v>6.4500000000000002E-2</v>
      </c>
      <c r="AJ27" s="470">
        <v>0</v>
      </c>
      <c r="AK27" s="470">
        <v>0</v>
      </c>
      <c r="AL27" s="471"/>
      <c r="AM27" s="471"/>
      <c r="AN27" s="471"/>
      <c r="AO27" s="471"/>
      <c r="AP27" s="471"/>
      <c r="AQ27" s="471"/>
      <c r="AR27" s="472"/>
      <c r="AS27" s="472"/>
      <c r="AT27" s="473"/>
      <c r="AU27" s="471"/>
      <c r="AV27" s="471"/>
      <c r="AW27" s="471"/>
      <c r="AX27" s="471"/>
      <c r="AY27" s="471"/>
      <c r="AZ27" s="471"/>
      <c r="BA27" s="471"/>
      <c r="BB27" s="471"/>
      <c r="BC27" s="471"/>
      <c r="BD27" s="471"/>
      <c r="BE27" s="471"/>
      <c r="BF27" s="471"/>
      <c r="BG27" s="471"/>
      <c r="BH27" s="471"/>
      <c r="BI27" s="471"/>
      <c r="BJ27" s="480" t="s">
        <v>643</v>
      </c>
      <c r="BK27" s="475">
        <v>405.9</v>
      </c>
      <c r="BO27" s="476" t="s">
        <v>531</v>
      </c>
      <c r="BP27" s="481">
        <v>923.1</v>
      </c>
      <c r="BQ27" s="478" t="s">
        <v>550</v>
      </c>
      <c r="BR27" s="338"/>
      <c r="BS27" s="338"/>
      <c r="BT27" s="338"/>
      <c r="BU27" s="338"/>
      <c r="BV27" s="338"/>
      <c r="BW27" s="338"/>
      <c r="BX27" s="338"/>
      <c r="BY27" s="338"/>
      <c r="BZ27" s="338"/>
    </row>
    <row r="28" spans="1:78" ht="16">
      <c r="A28" s="338"/>
      <c r="B28" s="454" t="s">
        <v>580</v>
      </c>
      <c r="C28" s="455">
        <v>8</v>
      </c>
      <c r="D28" s="456">
        <v>10.199999999999999</v>
      </c>
      <c r="E28" s="456">
        <v>66.900000000000006</v>
      </c>
      <c r="F28" s="456">
        <f>(H39*10%)/($O$34/1000000)</f>
        <v>115.46677443565615</v>
      </c>
      <c r="G28" s="457"/>
      <c r="H28" s="457"/>
      <c r="I28" s="482"/>
      <c r="J28" s="479"/>
      <c r="K28" s="455"/>
      <c r="L28" s="455"/>
      <c r="M28" s="459" t="s">
        <v>579</v>
      </c>
      <c r="N28" s="460">
        <f>+BP29-BK28</f>
        <v>1642</v>
      </c>
      <c r="O28" s="461">
        <v>141.30000000000001</v>
      </c>
      <c r="P28" s="413">
        <f>O28/N28*100</f>
        <v>8.6053593179049948</v>
      </c>
      <c r="Q28" s="413">
        <f t="shared" si="7"/>
        <v>8.1577276138791088</v>
      </c>
      <c r="R28" s="462">
        <v>0</v>
      </c>
      <c r="S28" s="463"/>
      <c r="T28" s="463"/>
      <c r="U28" s="464"/>
      <c r="V28" s="465"/>
      <c r="W28" s="465"/>
      <c r="X28" s="465"/>
      <c r="Y28" s="465"/>
      <c r="Z28" s="465"/>
      <c r="AA28" s="465"/>
      <c r="AB28" s="465"/>
      <c r="AC28" s="465"/>
      <c r="AD28" s="465"/>
      <c r="AE28" s="466"/>
      <c r="AF28" s="467">
        <v>0.53</v>
      </c>
      <c r="AG28" s="468">
        <v>2.64</v>
      </c>
      <c r="AH28" s="469">
        <v>2.39</v>
      </c>
      <c r="AI28" s="469">
        <v>1.5699999999999999E-2</v>
      </c>
      <c r="AJ28" s="470">
        <v>0</v>
      </c>
      <c r="AK28" s="470">
        <v>0</v>
      </c>
      <c r="AL28" s="471"/>
      <c r="AM28" s="471"/>
      <c r="AN28" s="471"/>
      <c r="AO28" s="471"/>
      <c r="AP28" s="471"/>
      <c r="AQ28" s="471"/>
      <c r="AR28" s="472"/>
      <c r="AS28" s="472"/>
      <c r="AT28" s="473"/>
      <c r="AU28" s="471"/>
      <c r="AV28" s="471"/>
      <c r="AW28" s="471"/>
      <c r="AX28" s="471"/>
      <c r="AY28" s="471"/>
      <c r="AZ28" s="471"/>
      <c r="BA28" s="471"/>
      <c r="BB28" s="471"/>
      <c r="BC28" s="471"/>
      <c r="BD28" s="471"/>
      <c r="BE28" s="471"/>
      <c r="BF28" s="471"/>
      <c r="BG28" s="471"/>
      <c r="BH28" s="471"/>
      <c r="BI28" s="471"/>
      <c r="BJ28" s="480" t="s">
        <v>642</v>
      </c>
      <c r="BK28" s="475">
        <v>399.3</v>
      </c>
      <c r="BO28" s="476" t="s">
        <v>530</v>
      </c>
      <c r="BP28" s="481">
        <v>800.6</v>
      </c>
      <c r="BQ28" s="478" t="s">
        <v>549</v>
      </c>
      <c r="BR28" s="338"/>
      <c r="BS28" s="338"/>
      <c r="BT28" s="338"/>
      <c r="BU28" s="338"/>
      <c r="BV28" s="338"/>
      <c r="BW28" s="338"/>
      <c r="BX28" s="338"/>
      <c r="BY28" s="338"/>
      <c r="BZ28" s="338"/>
    </row>
    <row r="29" spans="1:78" ht="16.5" thickBot="1">
      <c r="A29" s="338"/>
      <c r="B29" s="437" t="s">
        <v>577</v>
      </c>
      <c r="C29" s="483">
        <v>30</v>
      </c>
      <c r="D29" s="432">
        <v>10.220000000000001</v>
      </c>
      <c r="E29" s="432">
        <v>68.900000000000006</v>
      </c>
      <c r="F29" s="432">
        <f>(H40*10%)/($O$34/1000000)</f>
        <v>173.20016165348426</v>
      </c>
      <c r="G29" s="457"/>
      <c r="H29" s="457">
        <v>16</v>
      </c>
      <c r="I29" s="458"/>
      <c r="J29" s="432"/>
      <c r="K29" s="483"/>
      <c r="L29" s="483"/>
      <c r="M29" s="484" t="s">
        <v>576</v>
      </c>
      <c r="N29" s="460">
        <f>+BP30-BK29</f>
        <v>4488.3999999999996</v>
      </c>
      <c r="O29" s="485">
        <v>303.3</v>
      </c>
      <c r="P29" s="400">
        <f>O29/N29*100</f>
        <v>6.7574191248551827</v>
      </c>
      <c r="Q29" s="400">
        <f t="shared" si="7"/>
        <v>17.510536343167253</v>
      </c>
      <c r="R29" s="462">
        <v>0</v>
      </c>
      <c r="S29" s="463"/>
      <c r="T29" s="463"/>
      <c r="U29" s="464"/>
      <c r="V29" s="465"/>
      <c r="W29" s="465"/>
      <c r="X29" s="465"/>
      <c r="Y29" s="465"/>
      <c r="Z29" s="465"/>
      <c r="AA29" s="465"/>
      <c r="AB29" s="465"/>
      <c r="AC29" s="465"/>
      <c r="AD29" s="465"/>
      <c r="AE29" s="466"/>
      <c r="AF29" s="467">
        <v>0.34</v>
      </c>
      <c r="AG29" s="468">
        <v>1.42</v>
      </c>
      <c r="AH29" s="469">
        <v>0.64</v>
      </c>
      <c r="AI29" s="469">
        <v>5.5999999999999999E-3</v>
      </c>
      <c r="AJ29" s="470">
        <v>0</v>
      </c>
      <c r="AK29" s="470">
        <v>0</v>
      </c>
      <c r="AL29" s="471"/>
      <c r="AM29" s="471"/>
      <c r="AN29" s="471"/>
      <c r="AO29" s="471"/>
      <c r="AP29" s="471"/>
      <c r="AQ29" s="471"/>
      <c r="AR29" s="472"/>
      <c r="AS29" s="472"/>
      <c r="AT29" s="486"/>
      <c r="AU29" s="471"/>
      <c r="AV29" s="471"/>
      <c r="AW29" s="471"/>
      <c r="AX29" s="471"/>
      <c r="AY29" s="471"/>
      <c r="AZ29" s="471"/>
      <c r="BA29" s="471"/>
      <c r="BB29" s="471"/>
      <c r="BC29" s="471"/>
      <c r="BD29" s="471"/>
      <c r="BE29" s="471"/>
      <c r="BF29" s="471"/>
      <c r="BG29" s="471"/>
      <c r="BH29" s="471"/>
      <c r="BI29" s="471"/>
      <c r="BJ29" s="487" t="s">
        <v>641</v>
      </c>
      <c r="BK29" s="475">
        <v>593.79999999999995</v>
      </c>
      <c r="BO29" s="476" t="s">
        <v>529</v>
      </c>
      <c r="BP29" s="488">
        <v>2041.3</v>
      </c>
      <c r="BQ29" s="478" t="s">
        <v>548</v>
      </c>
      <c r="BR29" s="338"/>
      <c r="BS29" s="338"/>
      <c r="BT29" s="338"/>
      <c r="BU29" s="338"/>
      <c r="BV29" s="338"/>
      <c r="BW29" s="338"/>
      <c r="BX29" s="338"/>
      <c r="BY29" s="338"/>
      <c r="BZ29" s="338"/>
    </row>
    <row r="30" spans="1:78" ht="17" thickTop="1" thickBot="1">
      <c r="A30" s="338"/>
      <c r="B30" s="489" t="s">
        <v>30</v>
      </c>
      <c r="C30" s="490">
        <f>C29</f>
        <v>30</v>
      </c>
      <c r="D30" s="491"/>
      <c r="E30" s="492"/>
      <c r="F30" s="493">
        <f t="shared" ref="F30:L30" si="8">+SUM(F24:F29,F11)</f>
        <v>1593.2278736793489</v>
      </c>
      <c r="G30" s="493">
        <f t="shared" si="8"/>
        <v>28</v>
      </c>
      <c r="H30" s="493">
        <f t="shared" si="8"/>
        <v>32</v>
      </c>
      <c r="I30" s="493">
        <f t="shared" si="8"/>
        <v>0</v>
      </c>
      <c r="J30" s="493">
        <f t="shared" si="8"/>
        <v>0</v>
      </c>
      <c r="K30" s="493">
        <f t="shared" si="8"/>
        <v>0</v>
      </c>
      <c r="L30" s="493">
        <f t="shared" si="8"/>
        <v>0</v>
      </c>
      <c r="M30" s="494" t="s">
        <v>574</v>
      </c>
      <c r="N30" s="495">
        <f>SUM(N26:N29)</f>
        <v>7062.4</v>
      </c>
      <c r="O30" s="495">
        <f>SUM(O26:O29)</f>
        <v>611.6</v>
      </c>
      <c r="P30" s="400">
        <f>O30/N30*100</f>
        <v>8.6599456275487103</v>
      </c>
      <c r="Q30" s="496">
        <f t="shared" si="7"/>
        <v>35.309739622423649</v>
      </c>
      <c r="R30" s="497">
        <v>0</v>
      </c>
      <c r="S30" s="490">
        <f t="shared" ref="S30:BI30" si="9">IF(S19=0,0,SUMPRODUCT(S26:S29,$Q$26:$Q$29)/$Q$30)</f>
        <v>0</v>
      </c>
      <c r="T30" s="490">
        <f t="shared" si="9"/>
        <v>0</v>
      </c>
      <c r="U30" s="498">
        <f t="shared" si="9"/>
        <v>0</v>
      </c>
      <c r="V30" s="490">
        <f t="shared" si="9"/>
        <v>0</v>
      </c>
      <c r="W30" s="490">
        <f t="shared" si="9"/>
        <v>0</v>
      </c>
      <c r="X30" s="490">
        <f t="shared" si="9"/>
        <v>0</v>
      </c>
      <c r="Y30" s="490">
        <f t="shared" si="9"/>
        <v>0</v>
      </c>
      <c r="Z30" s="490">
        <f t="shared" si="9"/>
        <v>0</v>
      </c>
      <c r="AA30" s="490">
        <f t="shared" si="9"/>
        <v>0</v>
      </c>
      <c r="AB30" s="490">
        <f t="shared" si="9"/>
        <v>0</v>
      </c>
      <c r="AC30" s="490">
        <f t="shared" si="9"/>
        <v>0</v>
      </c>
      <c r="AD30" s="490">
        <f t="shared" si="9"/>
        <v>0</v>
      </c>
      <c r="AE30" s="497">
        <f t="shared" si="9"/>
        <v>0</v>
      </c>
      <c r="AF30" s="497">
        <v>1.7838881621975149</v>
      </c>
      <c r="AG30" s="490">
        <v>4.8482308698495746</v>
      </c>
      <c r="AH30" s="498">
        <v>5.1855477436232835</v>
      </c>
      <c r="AI30" s="499">
        <v>2.750500327011118E-2</v>
      </c>
      <c r="AJ30" s="500">
        <v>0</v>
      </c>
      <c r="AK30" s="500">
        <v>0</v>
      </c>
      <c r="AL30" s="490">
        <f t="shared" si="9"/>
        <v>0</v>
      </c>
      <c r="AM30" s="490">
        <f t="shared" si="9"/>
        <v>0</v>
      </c>
      <c r="AN30" s="490">
        <f t="shared" si="9"/>
        <v>0</v>
      </c>
      <c r="AO30" s="490">
        <f t="shared" si="9"/>
        <v>0</v>
      </c>
      <c r="AP30" s="490">
        <f t="shared" si="9"/>
        <v>0</v>
      </c>
      <c r="AQ30" s="490">
        <f t="shared" si="9"/>
        <v>0</v>
      </c>
      <c r="AR30" s="490">
        <f t="shared" si="9"/>
        <v>0</v>
      </c>
      <c r="AS30" s="490">
        <f t="shared" si="9"/>
        <v>0</v>
      </c>
      <c r="AT30" s="490">
        <f t="shared" si="9"/>
        <v>0</v>
      </c>
      <c r="AU30" s="498">
        <f t="shared" si="9"/>
        <v>0</v>
      </c>
      <c r="AV30" s="490">
        <f t="shared" si="9"/>
        <v>0</v>
      </c>
      <c r="AW30" s="492">
        <f t="shared" si="9"/>
        <v>0</v>
      </c>
      <c r="AX30" s="490">
        <f t="shared" si="9"/>
        <v>0</v>
      </c>
      <c r="AY30" s="490">
        <f t="shared" si="9"/>
        <v>0</v>
      </c>
      <c r="AZ30" s="490">
        <f t="shared" si="9"/>
        <v>0</v>
      </c>
      <c r="BA30" s="490">
        <f t="shared" si="9"/>
        <v>0</v>
      </c>
      <c r="BB30" s="490">
        <f t="shared" si="9"/>
        <v>0</v>
      </c>
      <c r="BC30" s="490">
        <f t="shared" si="9"/>
        <v>0</v>
      </c>
      <c r="BD30" s="490">
        <f t="shared" si="9"/>
        <v>0</v>
      </c>
      <c r="BE30" s="490">
        <f t="shared" si="9"/>
        <v>0</v>
      </c>
      <c r="BF30" s="490">
        <f t="shared" si="9"/>
        <v>0</v>
      </c>
      <c r="BG30" s="490">
        <f t="shared" si="9"/>
        <v>0</v>
      </c>
      <c r="BH30" s="490">
        <f t="shared" si="9"/>
        <v>0</v>
      </c>
      <c r="BI30" s="490">
        <f t="shared" si="9"/>
        <v>0</v>
      </c>
      <c r="BJ30" s="501"/>
      <c r="BK30" s="501"/>
      <c r="BO30" s="476" t="s">
        <v>528</v>
      </c>
      <c r="BP30" s="488">
        <v>5082.2</v>
      </c>
      <c r="BQ30" s="478" t="s">
        <v>547</v>
      </c>
      <c r="BR30" s="338"/>
      <c r="BS30" s="338"/>
      <c r="BT30" s="338"/>
      <c r="BU30" s="338"/>
      <c r="BV30" s="338"/>
      <c r="BW30" s="338"/>
      <c r="BX30" s="338"/>
      <c r="BY30" s="338"/>
      <c r="BZ30" s="338"/>
    </row>
    <row r="31" spans="1:78" ht="17" thickTop="1" thickBot="1">
      <c r="A31" s="338"/>
      <c r="B31" s="502" t="s">
        <v>573</v>
      </c>
      <c r="C31" s="490"/>
      <c r="D31" s="503">
        <v>10.220000000000001</v>
      </c>
      <c r="E31" s="503">
        <v>66.8</v>
      </c>
      <c r="F31" s="504"/>
      <c r="G31" s="498"/>
      <c r="H31" s="490"/>
      <c r="I31" s="490"/>
      <c r="J31" s="490"/>
      <c r="K31" s="490"/>
      <c r="L31" s="490"/>
      <c r="M31" s="494" t="s">
        <v>573</v>
      </c>
      <c r="N31" s="505">
        <f>+BP31-BK31</f>
        <v>5763.3</v>
      </c>
      <c r="O31" s="506">
        <v>1120.5</v>
      </c>
      <c r="P31" s="507">
        <f>O31/(O31+D35*1000-O31/4.2)*100</f>
        <v>19.99566613980523</v>
      </c>
      <c r="Q31" s="495">
        <f t="shared" si="7"/>
        <v>64.690260377576365</v>
      </c>
      <c r="R31" s="508">
        <v>0</v>
      </c>
      <c r="S31" s="509">
        <f t="shared" ref="S31:BI31" si="10">IF(S19=0,0,AVERAGE(S32:S33))</f>
        <v>0</v>
      </c>
      <c r="T31" s="509">
        <f t="shared" si="10"/>
        <v>0</v>
      </c>
      <c r="U31" s="510">
        <f t="shared" si="10"/>
        <v>0</v>
      </c>
      <c r="V31" s="509">
        <f t="shared" si="10"/>
        <v>0</v>
      </c>
      <c r="W31" s="509">
        <f t="shared" si="10"/>
        <v>0</v>
      </c>
      <c r="X31" s="509">
        <f t="shared" si="10"/>
        <v>0</v>
      </c>
      <c r="Y31" s="509">
        <f t="shared" si="10"/>
        <v>0</v>
      </c>
      <c r="Z31" s="509">
        <f t="shared" si="10"/>
        <v>0</v>
      </c>
      <c r="AA31" s="509">
        <f t="shared" si="10"/>
        <v>0</v>
      </c>
      <c r="AB31" s="509">
        <f t="shared" si="10"/>
        <v>0</v>
      </c>
      <c r="AC31" s="509">
        <f t="shared" si="10"/>
        <v>0</v>
      </c>
      <c r="AD31" s="509">
        <f t="shared" si="10"/>
        <v>0</v>
      </c>
      <c r="AE31" s="508">
        <f t="shared" si="10"/>
        <v>0</v>
      </c>
      <c r="AF31" s="508">
        <v>9.6000000000000002E-2</v>
      </c>
      <c r="AG31" s="509">
        <v>0.99</v>
      </c>
      <c r="AH31" s="511">
        <v>0.45</v>
      </c>
      <c r="AI31" s="510">
        <v>3.8E-3</v>
      </c>
      <c r="AJ31" s="510">
        <v>0</v>
      </c>
      <c r="AK31" s="510">
        <v>0</v>
      </c>
      <c r="AL31" s="509">
        <f t="shared" si="10"/>
        <v>0</v>
      </c>
      <c r="AM31" s="509">
        <f t="shared" si="10"/>
        <v>0</v>
      </c>
      <c r="AN31" s="509">
        <f t="shared" si="10"/>
        <v>0</v>
      </c>
      <c r="AO31" s="512">
        <f t="shared" si="10"/>
        <v>0</v>
      </c>
      <c r="AP31" s="513">
        <f t="shared" si="10"/>
        <v>0</v>
      </c>
      <c r="AQ31" s="512">
        <f t="shared" si="10"/>
        <v>0</v>
      </c>
      <c r="AR31" s="512">
        <f t="shared" si="10"/>
        <v>0</v>
      </c>
      <c r="AS31" s="514">
        <f t="shared" si="10"/>
        <v>0</v>
      </c>
      <c r="AT31" s="514">
        <f t="shared" si="10"/>
        <v>0</v>
      </c>
      <c r="AU31" s="510">
        <f t="shared" si="10"/>
        <v>0</v>
      </c>
      <c r="AV31" s="509">
        <f t="shared" si="10"/>
        <v>0</v>
      </c>
      <c r="AW31" s="509">
        <f t="shared" si="10"/>
        <v>0</v>
      </c>
      <c r="AX31" s="509">
        <f t="shared" si="10"/>
        <v>0</v>
      </c>
      <c r="AY31" s="509">
        <f t="shared" si="10"/>
        <v>0</v>
      </c>
      <c r="AZ31" s="509">
        <f t="shared" si="10"/>
        <v>0</v>
      </c>
      <c r="BA31" s="509">
        <f t="shared" si="10"/>
        <v>0</v>
      </c>
      <c r="BB31" s="509">
        <f t="shared" si="10"/>
        <v>0</v>
      </c>
      <c r="BC31" s="509">
        <f t="shared" si="10"/>
        <v>0</v>
      </c>
      <c r="BD31" s="509">
        <f t="shared" si="10"/>
        <v>0</v>
      </c>
      <c r="BE31" s="509">
        <f t="shared" si="10"/>
        <v>0</v>
      </c>
      <c r="BF31" s="509">
        <f t="shared" si="10"/>
        <v>0</v>
      </c>
      <c r="BG31" s="509">
        <f t="shared" si="10"/>
        <v>0</v>
      </c>
      <c r="BH31" s="509">
        <f t="shared" si="10"/>
        <v>0</v>
      </c>
      <c r="BI31" s="509">
        <f t="shared" si="10"/>
        <v>0</v>
      </c>
      <c r="BJ31" s="474" t="s">
        <v>640</v>
      </c>
      <c r="BK31" s="475">
        <v>1457.5</v>
      </c>
      <c r="BL31" s="338"/>
      <c r="BO31" s="515" t="s">
        <v>527</v>
      </c>
      <c r="BP31" s="516">
        <v>7220.8</v>
      </c>
      <c r="BQ31" s="517" t="s">
        <v>546</v>
      </c>
      <c r="BR31" s="338"/>
      <c r="BS31" s="338"/>
      <c r="BT31" s="338"/>
      <c r="BU31" s="338"/>
      <c r="BV31" s="338"/>
      <c r="BW31" s="338"/>
      <c r="BX31" s="338"/>
      <c r="BY31" s="338"/>
      <c r="BZ31" s="338"/>
    </row>
    <row r="32" spans="1:78" ht="16.5" thickTop="1">
      <c r="A32" s="338"/>
      <c r="B32" s="338"/>
      <c r="C32" s="338"/>
      <c r="D32" s="338"/>
      <c r="E32" s="338"/>
      <c r="F32" s="338"/>
      <c r="G32" s="338"/>
      <c r="H32" s="338"/>
      <c r="I32" s="338"/>
      <c r="J32" s="338"/>
      <c r="K32" s="338"/>
      <c r="L32" s="338"/>
      <c r="M32" s="459" t="s">
        <v>572</v>
      </c>
      <c r="N32" s="518"/>
      <c r="O32" s="518"/>
      <c r="P32" s="519"/>
      <c r="Q32" s="520"/>
      <c r="R32" s="521">
        <v>0</v>
      </c>
      <c r="S32" s="415"/>
      <c r="T32" s="415"/>
      <c r="U32" s="416"/>
      <c r="V32" s="417"/>
      <c r="W32" s="417"/>
      <c r="X32" s="417"/>
      <c r="Y32" s="417"/>
      <c r="Z32" s="417"/>
      <c r="AA32" s="417"/>
      <c r="AB32" s="417"/>
      <c r="AC32" s="417"/>
      <c r="AD32" s="417"/>
      <c r="AE32" s="418"/>
      <c r="AF32" s="522">
        <v>9.6000000000000002E-2</v>
      </c>
      <c r="AG32" s="419">
        <v>0.99</v>
      </c>
      <c r="AH32" s="523">
        <v>0.45</v>
      </c>
      <c r="AI32" s="523">
        <v>3.8E-3</v>
      </c>
      <c r="AJ32" s="524">
        <v>0</v>
      </c>
      <c r="AK32" s="524">
        <v>0</v>
      </c>
      <c r="AL32" s="525"/>
      <c r="AM32" s="525"/>
      <c r="AN32" s="525"/>
      <c r="AO32" s="525"/>
      <c r="AP32" s="472"/>
      <c r="AQ32" s="472"/>
      <c r="AR32" s="472"/>
      <c r="AS32" s="526"/>
      <c r="AT32" s="527"/>
      <c r="AU32" s="528"/>
      <c r="AV32" s="525"/>
      <c r="AW32" s="525"/>
      <c r="AX32" s="525"/>
      <c r="AY32" s="525"/>
      <c r="AZ32" s="525"/>
      <c r="BA32" s="525"/>
      <c r="BB32" s="525"/>
      <c r="BC32" s="525"/>
      <c r="BD32" s="525"/>
      <c r="BE32" s="525"/>
      <c r="BF32" s="525"/>
      <c r="BG32" s="525"/>
      <c r="BH32" s="525"/>
      <c r="BI32" s="525"/>
      <c r="BJ32" s="529"/>
      <c r="BK32" s="529"/>
      <c r="BL32" s="338"/>
      <c r="BP32" s="530"/>
      <c r="BQ32" s="531" t="s">
        <v>639</v>
      </c>
      <c r="BR32" s="338"/>
      <c r="BS32" s="338"/>
      <c r="BT32" s="338"/>
      <c r="BU32" s="338"/>
      <c r="BV32" s="338"/>
      <c r="BW32" s="338"/>
      <c r="BX32" s="338"/>
      <c r="BY32" s="338"/>
      <c r="BZ32" s="338"/>
    </row>
    <row r="33" spans="1:78" ht="16.5" thickBot="1">
      <c r="A33" s="338"/>
      <c r="B33" s="324"/>
      <c r="C33" s="324"/>
      <c r="D33" s="324"/>
      <c r="E33" s="324"/>
      <c r="F33" s="324"/>
      <c r="G33" s="324"/>
      <c r="H33" s="532" t="s">
        <v>571</v>
      </c>
      <c r="I33" s="532" t="s">
        <v>570</v>
      </c>
      <c r="J33" s="348"/>
      <c r="K33" s="348"/>
      <c r="L33" s="324"/>
      <c r="M33" s="484" t="s">
        <v>569</v>
      </c>
      <c r="N33" s="533"/>
      <c r="O33" s="533"/>
      <c r="P33" s="534"/>
      <c r="Q33" s="535"/>
      <c r="R33" s="536"/>
      <c r="S33" s="537"/>
      <c r="T33" s="537"/>
      <c r="U33" s="537"/>
      <c r="V33" s="537"/>
      <c r="W33" s="537"/>
      <c r="X33" s="537"/>
      <c r="Y33" s="537"/>
      <c r="Z33" s="537"/>
      <c r="AA33" s="537"/>
      <c r="AB33" s="537"/>
      <c r="AC33" s="537"/>
      <c r="AD33" s="537"/>
      <c r="AE33" s="538"/>
      <c r="AF33" s="536"/>
      <c r="AG33" s="536"/>
      <c r="AH33" s="536"/>
      <c r="AI33" s="539"/>
      <c r="AJ33" s="539"/>
      <c r="AK33" s="539"/>
      <c r="AL33" s="540"/>
      <c r="AM33" s="540"/>
      <c r="AN33" s="540"/>
      <c r="AO33" s="540"/>
      <c r="AP33" s="541"/>
      <c r="AQ33" s="541"/>
      <c r="AR33" s="541"/>
      <c r="AS33" s="542"/>
      <c r="AT33" s="542"/>
      <c r="AU33" s="543"/>
      <c r="AV33" s="540"/>
      <c r="AW33" s="540"/>
      <c r="AX33" s="540"/>
      <c r="AY33" s="540"/>
      <c r="AZ33" s="540"/>
      <c r="BA33" s="540"/>
      <c r="BB33" s="540"/>
      <c r="BC33" s="540"/>
      <c r="BD33" s="540"/>
      <c r="BE33" s="540"/>
      <c r="BF33" s="540"/>
      <c r="BG33" s="540"/>
      <c r="BH33" s="540"/>
      <c r="BI33" s="540"/>
      <c r="BJ33" s="529"/>
      <c r="BK33" s="529"/>
      <c r="BL33" s="338"/>
      <c r="BN33" s="338"/>
      <c r="BO33" s="338"/>
      <c r="BP33" s="338"/>
      <c r="BQ33" s="338"/>
      <c r="BR33" s="338"/>
      <c r="BS33" s="338"/>
      <c r="BT33" s="338"/>
      <c r="BU33" s="338"/>
      <c r="BV33" s="338"/>
      <c r="BW33" s="338"/>
      <c r="BX33" s="338"/>
      <c r="BY33" s="338"/>
      <c r="BZ33" s="338"/>
    </row>
    <row r="34" spans="1:78" ht="17" thickTop="1" thickBot="1">
      <c r="A34" s="338"/>
      <c r="B34" s="426" t="s">
        <v>568</v>
      </c>
      <c r="C34" s="544"/>
      <c r="D34" s="545"/>
      <c r="E34" s="324"/>
      <c r="F34" s="324"/>
      <c r="G34" s="324"/>
      <c r="H34" s="532" t="s">
        <v>567</v>
      </c>
      <c r="I34" s="532" t="s">
        <v>567</v>
      </c>
      <c r="J34" s="348"/>
      <c r="K34" s="348"/>
      <c r="L34" s="324"/>
      <c r="M34" s="546" t="s">
        <v>566</v>
      </c>
      <c r="N34" s="507">
        <f>SUM(N30:N31)</f>
        <v>12825.7</v>
      </c>
      <c r="O34" s="507">
        <f>SUM(O30:O31)</f>
        <v>1732.1</v>
      </c>
      <c r="P34" s="507">
        <f>O34/(O34+D35*1000-O34/4.2)*100</f>
        <v>28.536852874075418</v>
      </c>
      <c r="Q34" s="495">
        <f>O34/$O$34*100</f>
        <v>100</v>
      </c>
      <c r="R34" s="547">
        <f t="shared" ref="R34:BI34" si="11">IF(R19=0,0,SUMPRODUCT(R30:R31,$Q$30:$Q$31)/$Q$34)</f>
        <v>0</v>
      </c>
      <c r="S34" s="490">
        <f t="shared" si="11"/>
        <v>0</v>
      </c>
      <c r="T34" s="490">
        <f t="shared" si="11"/>
        <v>0</v>
      </c>
      <c r="U34" s="490">
        <f t="shared" si="11"/>
        <v>0</v>
      </c>
      <c r="V34" s="490">
        <f t="shared" si="11"/>
        <v>0</v>
      </c>
      <c r="W34" s="490">
        <f t="shared" si="11"/>
        <v>0</v>
      </c>
      <c r="X34" s="490">
        <f t="shared" si="11"/>
        <v>0</v>
      </c>
      <c r="Y34" s="490">
        <f t="shared" si="11"/>
        <v>0</v>
      </c>
      <c r="Z34" s="548">
        <f t="shared" si="11"/>
        <v>0</v>
      </c>
      <c r="AA34" s="548">
        <f t="shared" si="11"/>
        <v>0</v>
      </c>
      <c r="AB34" s="548">
        <f t="shared" si="11"/>
        <v>0</v>
      </c>
      <c r="AC34" s="548">
        <f t="shared" si="11"/>
        <v>0</v>
      </c>
      <c r="AD34" s="548">
        <f t="shared" si="11"/>
        <v>0</v>
      </c>
      <c r="AE34" s="549">
        <f t="shared" si="11"/>
        <v>0</v>
      </c>
      <c r="AF34" s="548">
        <v>0.69198891518965422</v>
      </c>
      <c r="AG34" s="548">
        <v>2.3523312741758562</v>
      </c>
      <c r="AH34" s="548">
        <v>2.1221095779689398</v>
      </c>
      <c r="AI34" s="548">
        <v>1.2170174932163271E-2</v>
      </c>
      <c r="AJ34" s="548">
        <v>0</v>
      </c>
      <c r="AK34" s="548">
        <v>0</v>
      </c>
      <c r="AL34" s="548">
        <f t="shared" si="11"/>
        <v>0</v>
      </c>
      <c r="AM34" s="548">
        <f t="shared" si="11"/>
        <v>0</v>
      </c>
      <c r="AN34" s="548">
        <f t="shared" si="11"/>
        <v>0</v>
      </c>
      <c r="AO34" s="548">
        <f t="shared" si="11"/>
        <v>0</v>
      </c>
      <c r="AP34" s="548">
        <f t="shared" si="11"/>
        <v>0</v>
      </c>
      <c r="AQ34" s="548">
        <f t="shared" si="11"/>
        <v>0</v>
      </c>
      <c r="AR34" s="548">
        <f t="shared" si="11"/>
        <v>0</v>
      </c>
      <c r="AS34" s="548">
        <f t="shared" si="11"/>
        <v>0</v>
      </c>
      <c r="AT34" s="548">
        <f t="shared" si="11"/>
        <v>0</v>
      </c>
      <c r="AU34" s="550">
        <f t="shared" si="11"/>
        <v>0</v>
      </c>
      <c r="AV34" s="551">
        <f t="shared" si="11"/>
        <v>0</v>
      </c>
      <c r="AW34" s="551">
        <f t="shared" si="11"/>
        <v>0</v>
      </c>
      <c r="AX34" s="551">
        <f t="shared" si="11"/>
        <v>0</v>
      </c>
      <c r="AY34" s="551">
        <f t="shared" si="11"/>
        <v>0</v>
      </c>
      <c r="AZ34" s="551">
        <f t="shared" si="11"/>
        <v>0</v>
      </c>
      <c r="BA34" s="551">
        <f t="shared" si="11"/>
        <v>0</v>
      </c>
      <c r="BB34" s="551">
        <f t="shared" si="11"/>
        <v>0</v>
      </c>
      <c r="BC34" s="551">
        <f t="shared" si="11"/>
        <v>0</v>
      </c>
      <c r="BD34" s="551">
        <f t="shared" si="11"/>
        <v>0</v>
      </c>
      <c r="BE34" s="551">
        <f t="shared" si="11"/>
        <v>0</v>
      </c>
      <c r="BF34" s="551">
        <f t="shared" si="11"/>
        <v>0</v>
      </c>
      <c r="BG34" s="551">
        <f t="shared" si="11"/>
        <v>0</v>
      </c>
      <c r="BH34" s="551">
        <f t="shared" si="11"/>
        <v>0</v>
      </c>
      <c r="BI34" s="551">
        <f t="shared" si="11"/>
        <v>0</v>
      </c>
      <c r="BJ34" s="338"/>
      <c r="BK34" s="338"/>
      <c r="BL34" s="338"/>
      <c r="BN34" s="338"/>
      <c r="BO34" s="338"/>
      <c r="BP34" s="338"/>
      <c r="BQ34" s="338"/>
      <c r="BR34" s="338"/>
      <c r="BS34" s="338"/>
      <c r="BT34" s="338"/>
      <c r="BU34" s="338"/>
      <c r="BV34" s="338"/>
      <c r="BW34" s="338"/>
      <c r="BX34" s="338"/>
      <c r="BY34" s="338"/>
      <c r="BZ34" s="338"/>
    </row>
    <row r="35" spans="1:78" ht="15.5" thickTop="1" thickBot="1">
      <c r="A35" s="338"/>
      <c r="B35" s="356"/>
      <c r="C35" s="357" t="s">
        <v>565</v>
      </c>
      <c r="D35" s="552">
        <v>4.75</v>
      </c>
      <c r="E35" s="324"/>
      <c r="F35" s="324"/>
      <c r="G35" s="532"/>
      <c r="H35" s="553"/>
      <c r="I35" s="553"/>
      <c r="J35" s="324"/>
      <c r="K35" s="324"/>
      <c r="L35" s="324"/>
      <c r="M35" s="324"/>
      <c r="N35" s="324"/>
      <c r="O35" s="324"/>
      <c r="P35" s="411" t="s">
        <v>51</v>
      </c>
      <c r="Q35" s="554"/>
      <c r="R35" s="555">
        <f t="shared" ref="R35:BI35" si="12">IF(R19=0,0,ABS(R34-R20)/R20*100)</f>
        <v>0</v>
      </c>
      <c r="S35" s="555">
        <f t="shared" si="12"/>
        <v>0</v>
      </c>
      <c r="T35" s="555">
        <f t="shared" si="12"/>
        <v>0</v>
      </c>
      <c r="U35" s="555">
        <f t="shared" si="12"/>
        <v>0</v>
      </c>
      <c r="V35" s="555">
        <f t="shared" si="12"/>
        <v>0</v>
      </c>
      <c r="W35" s="555">
        <f t="shared" si="12"/>
        <v>0</v>
      </c>
      <c r="X35" s="555">
        <f t="shared" si="12"/>
        <v>0</v>
      </c>
      <c r="Y35" s="555">
        <f t="shared" si="12"/>
        <v>0</v>
      </c>
      <c r="Z35" s="555">
        <f t="shared" si="12"/>
        <v>0</v>
      </c>
      <c r="AA35" s="555">
        <f t="shared" si="12"/>
        <v>0</v>
      </c>
      <c r="AB35" s="555">
        <f t="shared" si="12"/>
        <v>0</v>
      </c>
      <c r="AC35" s="555">
        <f t="shared" si="12"/>
        <v>0</v>
      </c>
      <c r="AD35" s="555">
        <f t="shared" si="12"/>
        <v>0</v>
      </c>
      <c r="AE35" s="556">
        <f t="shared" si="12"/>
        <v>0</v>
      </c>
      <c r="AF35" s="555">
        <v>4.8468053317657853</v>
      </c>
      <c r="AG35" s="555">
        <v>5.0147890257078558</v>
      </c>
      <c r="AH35" s="555">
        <v>0.37044234887605876</v>
      </c>
      <c r="AI35" s="555">
        <v>5.8276081057675739</v>
      </c>
      <c r="AJ35" s="555">
        <v>0</v>
      </c>
      <c r="AK35" s="555">
        <v>0</v>
      </c>
      <c r="AL35" s="555">
        <f t="shared" si="12"/>
        <v>0</v>
      </c>
      <c r="AM35" s="555">
        <f t="shared" si="12"/>
        <v>0</v>
      </c>
      <c r="AN35" s="555">
        <f t="shared" si="12"/>
        <v>0</v>
      </c>
      <c r="AO35" s="555">
        <f t="shared" si="12"/>
        <v>0</v>
      </c>
      <c r="AP35" s="555">
        <f t="shared" si="12"/>
        <v>0</v>
      </c>
      <c r="AQ35" s="555">
        <f t="shared" si="12"/>
        <v>0</v>
      </c>
      <c r="AR35" s="555">
        <f t="shared" si="12"/>
        <v>0</v>
      </c>
      <c r="AS35" s="555">
        <f t="shared" si="12"/>
        <v>0</v>
      </c>
      <c r="AT35" s="555">
        <f t="shared" si="12"/>
        <v>0</v>
      </c>
      <c r="AU35" s="557">
        <f t="shared" si="12"/>
        <v>0</v>
      </c>
      <c r="AV35" s="558">
        <f t="shared" si="12"/>
        <v>0</v>
      </c>
      <c r="AW35" s="558">
        <f t="shared" si="12"/>
        <v>0</v>
      </c>
      <c r="AX35" s="558">
        <f t="shared" si="12"/>
        <v>0</v>
      </c>
      <c r="AY35" s="558">
        <f t="shared" si="12"/>
        <v>0</v>
      </c>
      <c r="AZ35" s="558">
        <f t="shared" si="12"/>
        <v>0</v>
      </c>
      <c r="BA35" s="558">
        <f t="shared" si="12"/>
        <v>0</v>
      </c>
      <c r="BB35" s="558">
        <f t="shared" si="12"/>
        <v>0</v>
      </c>
      <c r="BC35" s="558">
        <f t="shared" si="12"/>
        <v>0</v>
      </c>
      <c r="BD35" s="558">
        <f t="shared" si="12"/>
        <v>0</v>
      </c>
      <c r="BE35" s="558">
        <f t="shared" si="12"/>
        <v>0</v>
      </c>
      <c r="BF35" s="558">
        <f t="shared" si="12"/>
        <v>0</v>
      </c>
      <c r="BG35" s="558">
        <f t="shared" si="12"/>
        <v>0</v>
      </c>
      <c r="BH35" s="558">
        <f t="shared" si="12"/>
        <v>0</v>
      </c>
      <c r="BI35" s="558">
        <f t="shared" si="12"/>
        <v>0</v>
      </c>
      <c r="BJ35" s="338"/>
      <c r="BK35" s="338"/>
      <c r="BL35" s="338"/>
      <c r="BN35" s="338"/>
      <c r="BO35" s="338"/>
      <c r="BP35" s="338"/>
      <c r="BQ35" s="338"/>
      <c r="BR35" s="338"/>
      <c r="BS35" s="338"/>
      <c r="BT35" s="338"/>
      <c r="BU35" s="338"/>
      <c r="BV35" s="338"/>
      <c r="BW35" s="338"/>
      <c r="BX35" s="338"/>
      <c r="BY35" s="338"/>
      <c r="BZ35" s="338"/>
    </row>
    <row r="36" spans="1:78">
      <c r="A36" s="338"/>
      <c r="B36" s="359"/>
      <c r="C36" s="366" t="s">
        <v>564</v>
      </c>
      <c r="D36" s="559">
        <v>2.9000000000000001E-2</v>
      </c>
      <c r="E36" s="560"/>
      <c r="F36" s="324"/>
      <c r="G36" s="532" t="s">
        <v>563</v>
      </c>
      <c r="H36" s="553">
        <v>16</v>
      </c>
      <c r="I36" s="553"/>
      <c r="J36" s="324"/>
      <c r="K36" s="324"/>
      <c r="L36" s="324"/>
      <c r="M36" s="324"/>
      <c r="N36" s="324"/>
      <c r="O36" s="324"/>
      <c r="P36" s="324"/>
      <c r="Q36" s="324"/>
      <c r="R36" s="324"/>
      <c r="S36" s="324"/>
      <c r="T36" s="324"/>
      <c r="U36" s="324"/>
      <c r="V36" s="324"/>
      <c r="W36" s="324"/>
      <c r="X36" s="324"/>
      <c r="Y36" s="324"/>
      <c r="Z36" s="324"/>
      <c r="AA36" s="324"/>
      <c r="AB36" s="324"/>
      <c r="AC36" s="324"/>
      <c r="AD36" s="324"/>
      <c r="AE36" s="324"/>
      <c r="AF36" s="324"/>
      <c r="AG36" s="334"/>
      <c r="AH36" s="334"/>
      <c r="AI36" s="334"/>
      <c r="AJ36" s="334"/>
      <c r="AK36" s="334"/>
      <c r="AL36" s="334"/>
      <c r="AM36" s="334"/>
      <c r="AN36" s="334"/>
      <c r="AO36" s="334"/>
      <c r="AP36" s="334"/>
      <c r="AQ36" s="334"/>
      <c r="AR36" s="334"/>
      <c r="AS36" s="334"/>
      <c r="AT36" s="334"/>
      <c r="AU36" s="324"/>
      <c r="AV36" s="334"/>
      <c r="AW36" s="334"/>
      <c r="AX36" s="334"/>
      <c r="AY36" s="334"/>
      <c r="AZ36" s="334"/>
      <c r="BA36" s="334"/>
      <c r="BB36" s="334"/>
      <c r="BC36" s="334"/>
      <c r="BD36" s="334"/>
      <c r="BE36" s="334"/>
      <c r="BF36" s="334"/>
      <c r="BG36" s="334"/>
      <c r="BH36" s="334"/>
      <c r="BI36" s="334"/>
      <c r="BJ36" s="338"/>
      <c r="BK36" s="338"/>
      <c r="BL36" s="338"/>
      <c r="BN36" s="338"/>
      <c r="BO36" s="338"/>
      <c r="BP36" s="338"/>
      <c r="BQ36" s="338"/>
      <c r="BR36" s="338"/>
      <c r="BS36" s="338"/>
      <c r="BT36" s="338"/>
      <c r="BU36" s="338"/>
      <c r="BV36" s="338"/>
      <c r="BW36" s="338"/>
      <c r="BX36" s="338"/>
      <c r="BY36" s="338"/>
      <c r="BZ36" s="338"/>
    </row>
    <row r="37" spans="1:78" ht="15" thickBot="1">
      <c r="A37" s="338"/>
      <c r="B37" s="359"/>
      <c r="C37" s="366" t="s">
        <v>562</v>
      </c>
      <c r="D37" s="561">
        <v>8</v>
      </c>
      <c r="E37" s="324"/>
      <c r="F37" s="363"/>
      <c r="G37" s="532" t="s">
        <v>531</v>
      </c>
      <c r="H37" s="553">
        <v>1.4</v>
      </c>
      <c r="I37" s="553"/>
      <c r="J37" s="324"/>
      <c r="K37" s="324"/>
      <c r="L37" s="324"/>
      <c r="M37" s="324"/>
      <c r="N37" s="334"/>
      <c r="O37" s="334"/>
      <c r="P37" s="334"/>
      <c r="Q37" s="334"/>
      <c r="R37" s="334"/>
      <c r="S37" s="334"/>
      <c r="T37" s="334"/>
      <c r="U37" s="334"/>
      <c r="V37" s="334"/>
      <c r="W37" s="334"/>
      <c r="X37" s="334"/>
      <c r="Y37" s="334"/>
      <c r="Z37" s="334"/>
      <c r="AA37" s="324"/>
      <c r="AB37" s="324"/>
      <c r="AC37" s="324"/>
      <c r="AD37" s="324"/>
      <c r="AE37" s="324"/>
      <c r="AF37" s="324"/>
      <c r="AG37" s="324"/>
      <c r="AH37" s="324"/>
      <c r="AI37" s="324"/>
      <c r="AJ37" s="324"/>
      <c r="AK37" s="324"/>
      <c r="AL37" s="324"/>
      <c r="AM37" s="324"/>
      <c r="AN37" s="324"/>
      <c r="AO37" s="324"/>
      <c r="AP37" s="324"/>
      <c r="AQ37" s="324"/>
      <c r="AR37" s="324"/>
      <c r="AS37" s="324"/>
      <c r="AT37" s="324"/>
      <c r="AU37" s="324"/>
      <c r="AV37" s="324"/>
      <c r="AW37" s="324"/>
      <c r="AX37" s="324"/>
      <c r="AY37" s="324"/>
      <c r="AZ37" s="324"/>
      <c r="BA37" s="324"/>
      <c r="BB37" s="324"/>
      <c r="BC37" s="324"/>
      <c r="BD37" s="324"/>
      <c r="BE37" s="324"/>
      <c r="BF37" s="324"/>
      <c r="BG37" s="324"/>
      <c r="BH37" s="324"/>
      <c r="BI37" s="324"/>
      <c r="BJ37" s="338"/>
      <c r="BK37" s="338"/>
      <c r="BL37" s="338"/>
    </row>
    <row r="38" spans="1:78" ht="16">
      <c r="A38" s="338"/>
      <c r="B38" s="359"/>
      <c r="C38" s="366" t="s">
        <v>561</v>
      </c>
      <c r="D38" s="559">
        <f>+((D37/60000)/D36)*100</f>
        <v>0.45977011494252873</v>
      </c>
      <c r="E38" s="324"/>
      <c r="F38" s="324"/>
      <c r="G38" s="532" t="s">
        <v>530</v>
      </c>
      <c r="H38" s="553">
        <v>0</v>
      </c>
      <c r="I38" s="553"/>
      <c r="J38" s="324"/>
      <c r="K38" s="324"/>
      <c r="L38" s="324"/>
      <c r="M38" s="324"/>
      <c r="N38" s="324"/>
      <c r="O38" s="562"/>
      <c r="P38" s="563"/>
      <c r="Q38" s="563"/>
      <c r="R38" s="564"/>
      <c r="S38" s="565"/>
      <c r="T38" s="565"/>
      <c r="U38" s="565"/>
      <c r="V38" s="565"/>
      <c r="W38" s="565"/>
      <c r="X38" s="566"/>
      <c r="Y38" s="565"/>
      <c r="Z38" s="565"/>
      <c r="AA38" s="565"/>
      <c r="AB38" s="565"/>
      <c r="AC38" s="565"/>
      <c r="AD38" s="565"/>
      <c r="AE38" s="565"/>
      <c r="AF38" s="567" t="s">
        <v>560</v>
      </c>
      <c r="AG38" s="349"/>
      <c r="AH38" s="350"/>
      <c r="AI38" s="349"/>
      <c r="AJ38" s="349"/>
      <c r="AK38" s="349"/>
      <c r="AL38" s="349"/>
      <c r="AM38" s="336"/>
      <c r="AN38" s="349"/>
      <c r="AO38" s="349"/>
      <c r="AP38" s="349"/>
      <c r="AQ38" s="349"/>
      <c r="AR38" s="349"/>
      <c r="AS38" s="349"/>
      <c r="AT38" s="350"/>
      <c r="AU38" s="394" t="s">
        <v>560</v>
      </c>
      <c r="AV38" s="394"/>
      <c r="AW38" s="394"/>
      <c r="AX38" s="394"/>
      <c r="AY38" s="394"/>
      <c r="AZ38" s="394"/>
      <c r="BA38" s="394"/>
      <c r="BB38" s="394"/>
      <c r="BC38" s="394"/>
      <c r="BD38" s="394"/>
      <c r="BE38" s="394"/>
      <c r="BF38" s="394"/>
      <c r="BG38" s="394"/>
      <c r="BH38" s="394"/>
      <c r="BI38" s="394"/>
      <c r="BJ38" s="338"/>
      <c r="BK38" s="338"/>
      <c r="BL38" s="338"/>
    </row>
    <row r="39" spans="1:78" ht="15" thickBot="1">
      <c r="A39" s="338"/>
      <c r="B39" s="359"/>
      <c r="C39" s="366" t="s">
        <v>559</v>
      </c>
      <c r="D39" s="568">
        <v>7.3</v>
      </c>
      <c r="E39" s="324"/>
      <c r="F39" s="324"/>
      <c r="G39" s="532" t="s">
        <v>529</v>
      </c>
      <c r="H39" s="553">
        <v>2</v>
      </c>
      <c r="I39" s="553"/>
      <c r="J39" s="324"/>
      <c r="K39" s="324"/>
      <c r="L39" s="324"/>
      <c r="M39" s="324"/>
      <c r="N39" s="569"/>
      <c r="O39" s="570" t="s">
        <v>558</v>
      </c>
      <c r="P39" s="571" t="s">
        <v>557</v>
      </c>
      <c r="Q39" s="572" t="s">
        <v>556</v>
      </c>
      <c r="R39" s="573">
        <f t="shared" ref="R39:BI39" si="13">R$19</f>
        <v>0</v>
      </c>
      <c r="S39" s="574">
        <f t="shared" si="13"/>
        <v>0</v>
      </c>
      <c r="T39" s="574">
        <f t="shared" si="13"/>
        <v>0</v>
      </c>
      <c r="U39" s="574">
        <f t="shared" si="13"/>
        <v>0</v>
      </c>
      <c r="V39" s="574">
        <f t="shared" si="13"/>
        <v>0</v>
      </c>
      <c r="W39" s="574">
        <f t="shared" si="13"/>
        <v>0</v>
      </c>
      <c r="X39" s="574">
        <f t="shared" si="13"/>
        <v>0</v>
      </c>
      <c r="Y39" s="574">
        <f t="shared" si="13"/>
        <v>0</v>
      </c>
      <c r="Z39" s="574">
        <f t="shared" si="13"/>
        <v>0</v>
      </c>
      <c r="AA39" s="574">
        <f t="shared" si="13"/>
        <v>0</v>
      </c>
      <c r="AB39" s="574">
        <f t="shared" si="13"/>
        <v>0</v>
      </c>
      <c r="AC39" s="574">
        <f t="shared" si="13"/>
        <v>0</v>
      </c>
      <c r="AD39" s="574">
        <f t="shared" si="13"/>
        <v>0</v>
      </c>
      <c r="AE39" s="575">
        <f t="shared" si="13"/>
        <v>0</v>
      </c>
      <c r="AF39" s="447" t="str">
        <f t="shared" si="13"/>
        <v>Cu</v>
      </c>
      <c r="AG39" s="447" t="str">
        <f t="shared" si="13"/>
        <v>Fe</v>
      </c>
      <c r="AH39" s="447" t="str">
        <f t="shared" si="13"/>
        <v>S</v>
      </c>
      <c r="AI39" s="448" t="str">
        <f t="shared" si="13"/>
        <v>Mo</v>
      </c>
      <c r="AJ39" s="447">
        <f t="shared" si="13"/>
        <v>0</v>
      </c>
      <c r="AK39" s="447">
        <f t="shared" si="13"/>
        <v>0</v>
      </c>
      <c r="AL39" s="447">
        <f t="shared" si="13"/>
        <v>0</v>
      </c>
      <c r="AM39" s="447">
        <f t="shared" si="13"/>
        <v>0</v>
      </c>
      <c r="AN39" s="447">
        <f t="shared" si="13"/>
        <v>0</v>
      </c>
      <c r="AO39" s="447">
        <f t="shared" si="13"/>
        <v>0</v>
      </c>
      <c r="AP39" s="447">
        <f t="shared" si="13"/>
        <v>0</v>
      </c>
      <c r="AQ39" s="447">
        <f t="shared" si="13"/>
        <v>0</v>
      </c>
      <c r="AR39" s="447">
        <f t="shared" si="13"/>
        <v>0</v>
      </c>
      <c r="AS39" s="447">
        <f t="shared" si="13"/>
        <v>0</v>
      </c>
      <c r="AT39" s="447">
        <f t="shared" si="13"/>
        <v>0</v>
      </c>
      <c r="AU39" s="448">
        <f t="shared" si="13"/>
        <v>0</v>
      </c>
      <c r="AV39" s="447">
        <f t="shared" si="13"/>
        <v>0</v>
      </c>
      <c r="AW39" s="447">
        <f t="shared" si="13"/>
        <v>0</v>
      </c>
      <c r="AX39" s="447">
        <f t="shared" si="13"/>
        <v>0</v>
      </c>
      <c r="AY39" s="447">
        <f t="shared" si="13"/>
        <v>0</v>
      </c>
      <c r="AZ39" s="447">
        <f t="shared" si="13"/>
        <v>0</v>
      </c>
      <c r="BA39" s="447">
        <f t="shared" si="13"/>
        <v>0</v>
      </c>
      <c r="BB39" s="447">
        <f t="shared" si="13"/>
        <v>0</v>
      </c>
      <c r="BC39" s="447">
        <f t="shared" si="13"/>
        <v>0</v>
      </c>
      <c r="BD39" s="447">
        <f t="shared" si="13"/>
        <v>0</v>
      </c>
      <c r="BE39" s="447">
        <f t="shared" si="13"/>
        <v>0</v>
      </c>
      <c r="BF39" s="447">
        <f t="shared" si="13"/>
        <v>0</v>
      </c>
      <c r="BG39" s="447">
        <f t="shared" si="13"/>
        <v>0</v>
      </c>
      <c r="BH39" s="447">
        <f t="shared" si="13"/>
        <v>0</v>
      </c>
      <c r="BI39" s="447">
        <f t="shared" si="13"/>
        <v>0</v>
      </c>
      <c r="BJ39" s="338"/>
      <c r="BK39" s="338"/>
      <c r="BL39" s="338"/>
    </row>
    <row r="40" spans="1:78" ht="15" thickTop="1">
      <c r="A40" s="338"/>
      <c r="B40" s="359"/>
      <c r="C40" s="366" t="s">
        <v>555</v>
      </c>
      <c r="D40" s="576">
        <v>1200</v>
      </c>
      <c r="E40" s="324"/>
      <c r="F40" s="324"/>
      <c r="G40" s="532" t="s">
        <v>528</v>
      </c>
      <c r="H40" s="553">
        <v>3</v>
      </c>
      <c r="I40" s="553"/>
      <c r="J40" s="324"/>
      <c r="K40" s="324"/>
      <c r="L40" s="324"/>
      <c r="M40" s="324"/>
      <c r="N40" s="569"/>
      <c r="O40" s="412">
        <v>0</v>
      </c>
      <c r="P40" s="412"/>
      <c r="Q40" s="454">
        <v>0</v>
      </c>
      <c r="R40" s="577">
        <v>0</v>
      </c>
      <c r="S40" s="578">
        <v>0</v>
      </c>
      <c r="T40" s="578">
        <v>0</v>
      </c>
      <c r="U40" s="578">
        <v>0</v>
      </c>
      <c r="V40" s="578">
        <v>0</v>
      </c>
      <c r="W40" s="578">
        <v>0</v>
      </c>
      <c r="X40" s="578">
        <v>0</v>
      </c>
      <c r="Y40" s="578">
        <v>0</v>
      </c>
      <c r="Z40" s="578">
        <v>0</v>
      </c>
      <c r="AA40" s="578">
        <v>0</v>
      </c>
      <c r="AB40" s="578">
        <v>0</v>
      </c>
      <c r="AC40" s="578">
        <v>0</v>
      </c>
      <c r="AD40" s="578">
        <v>0</v>
      </c>
      <c r="AE40" s="579">
        <v>0</v>
      </c>
      <c r="AF40" s="580">
        <v>0</v>
      </c>
      <c r="AG40" s="580">
        <v>0</v>
      </c>
      <c r="AH40" s="580">
        <v>0</v>
      </c>
      <c r="AI40" s="581">
        <v>0</v>
      </c>
      <c r="AJ40" s="582">
        <v>0</v>
      </c>
      <c r="AK40" s="582">
        <v>0</v>
      </c>
      <c r="AL40" s="582">
        <v>0</v>
      </c>
      <c r="AM40" s="582">
        <v>0</v>
      </c>
      <c r="AN40" s="582">
        <v>0</v>
      </c>
      <c r="AO40" s="582">
        <v>0</v>
      </c>
      <c r="AP40" s="582">
        <v>0</v>
      </c>
      <c r="AQ40" s="582">
        <v>0</v>
      </c>
      <c r="AR40" s="582">
        <v>0</v>
      </c>
      <c r="AS40" s="582">
        <v>0</v>
      </c>
      <c r="AT40" s="582">
        <v>0</v>
      </c>
      <c r="AU40" s="581">
        <v>0</v>
      </c>
      <c r="AV40" s="582">
        <v>0</v>
      </c>
      <c r="AW40" s="582">
        <v>0</v>
      </c>
      <c r="AX40" s="582">
        <v>0</v>
      </c>
      <c r="AY40" s="582">
        <v>0</v>
      </c>
      <c r="AZ40" s="582">
        <v>0</v>
      </c>
      <c r="BA40" s="582">
        <v>0</v>
      </c>
      <c r="BB40" s="582">
        <v>0</v>
      </c>
      <c r="BC40" s="582">
        <v>0</v>
      </c>
      <c r="BD40" s="582">
        <v>0</v>
      </c>
      <c r="BE40" s="582">
        <v>0</v>
      </c>
      <c r="BF40" s="582">
        <v>0</v>
      </c>
      <c r="BG40" s="582">
        <v>0</v>
      </c>
      <c r="BH40" s="582">
        <v>0</v>
      </c>
      <c r="BI40" s="582">
        <v>0</v>
      </c>
      <c r="BJ40" s="338"/>
      <c r="BK40" s="338"/>
      <c r="BL40" s="338"/>
    </row>
    <row r="41" spans="1:78">
      <c r="A41" s="338"/>
      <c r="B41" s="359"/>
      <c r="C41" s="366" t="s">
        <v>554</v>
      </c>
      <c r="D41" s="561">
        <f>D39*PI()*D40/100/60</f>
        <v>4.5867252742410978</v>
      </c>
      <c r="E41" s="324"/>
      <c r="F41" s="324"/>
      <c r="G41" s="324"/>
      <c r="H41" s="324"/>
      <c r="I41" s="324"/>
      <c r="J41" s="324"/>
      <c r="K41" s="324"/>
      <c r="L41" s="324"/>
      <c r="M41" s="324"/>
      <c r="N41" s="569"/>
      <c r="O41" s="583">
        <f>C26</f>
        <v>0.75</v>
      </c>
      <c r="P41" s="583"/>
      <c r="Q41" s="388">
        <f>Q26</f>
        <v>6.5873794815541826</v>
      </c>
      <c r="R41" s="584">
        <f t="shared" ref="R41:AA44" si="14">IF(R$39=0,0,R40+R26*$Q26/(R$34*$Q$34)*100)</f>
        <v>0</v>
      </c>
      <c r="S41" s="585">
        <f t="shared" si="14"/>
        <v>0</v>
      </c>
      <c r="T41" s="585">
        <f t="shared" si="14"/>
        <v>0</v>
      </c>
      <c r="U41" s="585">
        <f t="shared" si="14"/>
        <v>0</v>
      </c>
      <c r="V41" s="585">
        <f t="shared" si="14"/>
        <v>0</v>
      </c>
      <c r="W41" s="585">
        <f t="shared" si="14"/>
        <v>0</v>
      </c>
      <c r="X41" s="585">
        <f t="shared" si="14"/>
        <v>0</v>
      </c>
      <c r="Y41" s="585">
        <f t="shared" si="14"/>
        <v>0</v>
      </c>
      <c r="Z41" s="585">
        <f t="shared" si="14"/>
        <v>0</v>
      </c>
      <c r="AA41" s="585">
        <f t="shared" si="14"/>
        <v>0</v>
      </c>
      <c r="AB41" s="585">
        <f t="shared" ref="AB41:AK44" si="15">IF(AB$39=0,0,AB40+AB26*$Q26/(AB$34*$Q$34)*100)</f>
        <v>0</v>
      </c>
      <c r="AC41" s="585">
        <f t="shared" si="15"/>
        <v>0</v>
      </c>
      <c r="AD41" s="585">
        <f t="shared" si="15"/>
        <v>0</v>
      </c>
      <c r="AE41" s="586">
        <f t="shared" si="15"/>
        <v>0</v>
      </c>
      <c r="AF41" s="582">
        <f t="shared" si="15"/>
        <v>62.447834713005399</v>
      </c>
      <c r="AG41" s="582">
        <f t="shared" si="15"/>
        <v>40.325215064623073</v>
      </c>
      <c r="AH41" s="582">
        <f t="shared" si="15"/>
        <v>55.378313717147122</v>
      </c>
      <c r="AI41" s="581">
        <f t="shared" si="15"/>
        <v>45.033861544329298</v>
      </c>
      <c r="AJ41" s="582">
        <f t="shared" si="15"/>
        <v>0</v>
      </c>
      <c r="AK41" s="582">
        <f t="shared" si="15"/>
        <v>0</v>
      </c>
      <c r="AL41" s="582">
        <f t="shared" ref="AL41:AU44" si="16">IF(AL$39=0,0,AL40+AL26*$Q26/(AL$34*$Q$34)*100)</f>
        <v>0</v>
      </c>
      <c r="AM41" s="582">
        <f t="shared" si="16"/>
        <v>0</v>
      </c>
      <c r="AN41" s="582">
        <f t="shared" si="16"/>
        <v>0</v>
      </c>
      <c r="AO41" s="582">
        <f t="shared" si="16"/>
        <v>0</v>
      </c>
      <c r="AP41" s="582">
        <f t="shared" si="16"/>
        <v>0</v>
      </c>
      <c r="AQ41" s="582">
        <f t="shared" si="16"/>
        <v>0</v>
      </c>
      <c r="AR41" s="582">
        <f t="shared" si="16"/>
        <v>0</v>
      </c>
      <c r="AS41" s="582">
        <f t="shared" si="16"/>
        <v>0</v>
      </c>
      <c r="AT41" s="582">
        <f t="shared" si="16"/>
        <v>0</v>
      </c>
      <c r="AU41" s="581">
        <f t="shared" si="16"/>
        <v>0</v>
      </c>
      <c r="AV41" s="582">
        <f t="shared" ref="AV41:BE44" si="17">IF(AV$39=0,0,AV40+AV26*$Q26/(AV$34*$Q$34)*100)</f>
        <v>0</v>
      </c>
      <c r="AW41" s="582">
        <f t="shared" si="17"/>
        <v>0</v>
      </c>
      <c r="AX41" s="582">
        <f t="shared" si="17"/>
        <v>0</v>
      </c>
      <c r="AY41" s="582">
        <f t="shared" si="17"/>
        <v>0</v>
      </c>
      <c r="AZ41" s="582">
        <f t="shared" si="17"/>
        <v>0</v>
      </c>
      <c r="BA41" s="582">
        <f t="shared" si="17"/>
        <v>0</v>
      </c>
      <c r="BB41" s="582">
        <f t="shared" si="17"/>
        <v>0</v>
      </c>
      <c r="BC41" s="582">
        <f t="shared" si="17"/>
        <v>0</v>
      </c>
      <c r="BD41" s="582">
        <f t="shared" si="17"/>
        <v>0</v>
      </c>
      <c r="BE41" s="582">
        <f t="shared" si="17"/>
        <v>0</v>
      </c>
      <c r="BF41" s="582">
        <f t="shared" ref="BF41:BI44" si="18">IF(BF$39=0,0,BF40+BF26*$Q26/(BF$34*$Q$34)*100)</f>
        <v>0</v>
      </c>
      <c r="BG41" s="582">
        <f t="shared" si="18"/>
        <v>0</v>
      </c>
      <c r="BH41" s="582">
        <f t="shared" si="18"/>
        <v>0</v>
      </c>
      <c r="BI41" s="582">
        <f t="shared" si="18"/>
        <v>0</v>
      </c>
      <c r="BJ41" s="338"/>
      <c r="BK41" s="338"/>
      <c r="BL41" s="338"/>
    </row>
    <row r="42" spans="1:78">
      <c r="A42" s="338"/>
      <c r="B42" s="324"/>
      <c r="C42" s="324"/>
      <c r="D42" s="324"/>
      <c r="E42" s="334"/>
      <c r="F42" s="334"/>
      <c r="G42" s="324"/>
      <c r="H42" s="324"/>
      <c r="I42" s="324"/>
      <c r="J42" s="324"/>
      <c r="K42" s="324"/>
      <c r="L42" s="334"/>
      <c r="M42" s="324"/>
      <c r="N42" s="569"/>
      <c r="O42" s="583">
        <f>C27</f>
        <v>2</v>
      </c>
      <c r="P42" s="583"/>
      <c r="Q42" s="388">
        <f>Q27+Q41</f>
        <v>9.6414756653772873</v>
      </c>
      <c r="R42" s="584">
        <f t="shared" si="14"/>
        <v>0</v>
      </c>
      <c r="S42" s="585">
        <f t="shared" si="14"/>
        <v>0</v>
      </c>
      <c r="T42" s="585">
        <f t="shared" si="14"/>
        <v>0</v>
      </c>
      <c r="U42" s="585">
        <f t="shared" si="14"/>
        <v>0</v>
      </c>
      <c r="V42" s="585">
        <f t="shared" si="14"/>
        <v>0</v>
      </c>
      <c r="W42" s="585">
        <f t="shared" si="14"/>
        <v>0</v>
      </c>
      <c r="X42" s="585">
        <f t="shared" si="14"/>
        <v>0</v>
      </c>
      <c r="Y42" s="585">
        <f t="shared" si="14"/>
        <v>0</v>
      </c>
      <c r="Z42" s="585">
        <f t="shared" si="14"/>
        <v>0</v>
      </c>
      <c r="AA42" s="585">
        <f t="shared" si="14"/>
        <v>0</v>
      </c>
      <c r="AB42" s="585">
        <f t="shared" si="15"/>
        <v>0</v>
      </c>
      <c r="AC42" s="585">
        <f t="shared" si="15"/>
        <v>0</v>
      </c>
      <c r="AD42" s="585">
        <f t="shared" si="15"/>
        <v>0</v>
      </c>
      <c r="AE42" s="586">
        <f t="shared" si="15"/>
        <v>0</v>
      </c>
      <c r="AF42" s="582">
        <f t="shared" si="15"/>
        <v>76.17383367512268</v>
      </c>
      <c r="AG42" s="582">
        <f t="shared" si="15"/>
        <v>53.048823737450206</v>
      </c>
      <c r="AH42" s="582">
        <f t="shared" si="15"/>
        <v>71.813741360163192</v>
      </c>
      <c r="AI42" s="581">
        <f t="shared" si="15"/>
        <v>61.220087704151233</v>
      </c>
      <c r="AJ42" s="582">
        <f t="shared" si="15"/>
        <v>0</v>
      </c>
      <c r="AK42" s="582">
        <f t="shared" si="15"/>
        <v>0</v>
      </c>
      <c r="AL42" s="582">
        <f t="shared" si="16"/>
        <v>0</v>
      </c>
      <c r="AM42" s="582">
        <f t="shared" si="16"/>
        <v>0</v>
      </c>
      <c r="AN42" s="582">
        <f t="shared" si="16"/>
        <v>0</v>
      </c>
      <c r="AO42" s="582">
        <f t="shared" si="16"/>
        <v>0</v>
      </c>
      <c r="AP42" s="582">
        <f t="shared" si="16"/>
        <v>0</v>
      </c>
      <c r="AQ42" s="582">
        <f t="shared" si="16"/>
        <v>0</v>
      </c>
      <c r="AR42" s="582">
        <f t="shared" si="16"/>
        <v>0</v>
      </c>
      <c r="AS42" s="582">
        <f t="shared" si="16"/>
        <v>0</v>
      </c>
      <c r="AT42" s="582">
        <f t="shared" si="16"/>
        <v>0</v>
      </c>
      <c r="AU42" s="581">
        <f t="shared" si="16"/>
        <v>0</v>
      </c>
      <c r="AV42" s="582">
        <f t="shared" si="17"/>
        <v>0</v>
      </c>
      <c r="AW42" s="582">
        <f t="shared" si="17"/>
        <v>0</v>
      </c>
      <c r="AX42" s="582">
        <f t="shared" si="17"/>
        <v>0</v>
      </c>
      <c r="AY42" s="582">
        <f t="shared" si="17"/>
        <v>0</v>
      </c>
      <c r="AZ42" s="582">
        <f t="shared" si="17"/>
        <v>0</v>
      </c>
      <c r="BA42" s="582">
        <f t="shared" si="17"/>
        <v>0</v>
      </c>
      <c r="BB42" s="582">
        <f t="shared" si="17"/>
        <v>0</v>
      </c>
      <c r="BC42" s="582">
        <f t="shared" si="17"/>
        <v>0</v>
      </c>
      <c r="BD42" s="582">
        <f t="shared" si="17"/>
        <v>0</v>
      </c>
      <c r="BE42" s="582">
        <f t="shared" si="17"/>
        <v>0</v>
      </c>
      <c r="BF42" s="582">
        <f t="shared" si="18"/>
        <v>0</v>
      </c>
      <c r="BG42" s="582">
        <f t="shared" si="18"/>
        <v>0</v>
      </c>
      <c r="BH42" s="582">
        <f t="shared" si="18"/>
        <v>0</v>
      </c>
      <c r="BI42" s="582">
        <f t="shared" si="18"/>
        <v>0</v>
      </c>
      <c r="BJ42" s="338"/>
      <c r="BK42" s="338"/>
      <c r="BL42" s="338"/>
    </row>
    <row r="43" spans="1:78">
      <c r="A43" s="338"/>
      <c r="B43" s="324"/>
      <c r="C43" s="324"/>
      <c r="D43" s="324"/>
      <c r="E43" s="324"/>
      <c r="F43" s="324"/>
      <c r="G43" s="324"/>
      <c r="H43" s="324"/>
      <c r="I43" s="324"/>
      <c r="J43" s="324"/>
      <c r="K43" s="324"/>
      <c r="L43" s="324"/>
      <c r="M43" s="363"/>
      <c r="N43" s="569"/>
      <c r="O43" s="583">
        <f>C28</f>
        <v>8</v>
      </c>
      <c r="P43" s="583"/>
      <c r="Q43" s="388">
        <f>Q28+Q42</f>
        <v>17.799203279256396</v>
      </c>
      <c r="R43" s="584">
        <f t="shared" si="14"/>
        <v>0</v>
      </c>
      <c r="S43" s="585">
        <f t="shared" si="14"/>
        <v>0</v>
      </c>
      <c r="T43" s="585">
        <f t="shared" si="14"/>
        <v>0</v>
      </c>
      <c r="U43" s="585">
        <f t="shared" si="14"/>
        <v>0</v>
      </c>
      <c r="V43" s="585">
        <f t="shared" si="14"/>
        <v>0</v>
      </c>
      <c r="W43" s="585">
        <f t="shared" si="14"/>
        <v>0</v>
      </c>
      <c r="X43" s="585">
        <f t="shared" si="14"/>
        <v>0</v>
      </c>
      <c r="Y43" s="585">
        <f t="shared" si="14"/>
        <v>0</v>
      </c>
      <c r="Z43" s="585">
        <f t="shared" si="14"/>
        <v>0</v>
      </c>
      <c r="AA43" s="585">
        <f t="shared" si="14"/>
        <v>0</v>
      </c>
      <c r="AB43" s="585">
        <f t="shared" si="15"/>
        <v>0</v>
      </c>
      <c r="AC43" s="585">
        <f t="shared" si="15"/>
        <v>0</v>
      </c>
      <c r="AD43" s="585">
        <f t="shared" si="15"/>
        <v>0</v>
      </c>
      <c r="AE43" s="586">
        <f t="shared" si="15"/>
        <v>0</v>
      </c>
      <c r="AF43" s="582">
        <f t="shared" si="15"/>
        <v>82.421904331241436</v>
      </c>
      <c r="AG43" s="582">
        <f t="shared" si="15"/>
        <v>62.204167262858277</v>
      </c>
      <c r="AH43" s="582">
        <f t="shared" si="15"/>
        <v>81.001282474713705</v>
      </c>
      <c r="AI43" s="581">
        <f t="shared" si="15"/>
        <v>71.743874276801279</v>
      </c>
      <c r="AJ43" s="582">
        <f t="shared" si="15"/>
        <v>0</v>
      </c>
      <c r="AK43" s="582">
        <f t="shared" si="15"/>
        <v>0</v>
      </c>
      <c r="AL43" s="582">
        <f t="shared" si="16"/>
        <v>0</v>
      </c>
      <c r="AM43" s="582">
        <f t="shared" si="16"/>
        <v>0</v>
      </c>
      <c r="AN43" s="582">
        <f t="shared" si="16"/>
        <v>0</v>
      </c>
      <c r="AO43" s="582">
        <f t="shared" si="16"/>
        <v>0</v>
      </c>
      <c r="AP43" s="582">
        <f t="shared" si="16"/>
        <v>0</v>
      </c>
      <c r="AQ43" s="582">
        <f t="shared" si="16"/>
        <v>0</v>
      </c>
      <c r="AR43" s="582">
        <f t="shared" si="16"/>
        <v>0</v>
      </c>
      <c r="AS43" s="582">
        <f t="shared" si="16"/>
        <v>0</v>
      </c>
      <c r="AT43" s="582">
        <f t="shared" si="16"/>
        <v>0</v>
      </c>
      <c r="AU43" s="581">
        <f t="shared" si="16"/>
        <v>0</v>
      </c>
      <c r="AV43" s="582">
        <f t="shared" si="17"/>
        <v>0</v>
      </c>
      <c r="AW43" s="582">
        <f t="shared" si="17"/>
        <v>0</v>
      </c>
      <c r="AX43" s="582">
        <f t="shared" si="17"/>
        <v>0</v>
      </c>
      <c r="AY43" s="582">
        <f t="shared" si="17"/>
        <v>0</v>
      </c>
      <c r="AZ43" s="582">
        <f t="shared" si="17"/>
        <v>0</v>
      </c>
      <c r="BA43" s="582">
        <f t="shared" si="17"/>
        <v>0</v>
      </c>
      <c r="BB43" s="582">
        <f t="shared" si="17"/>
        <v>0</v>
      </c>
      <c r="BC43" s="582">
        <f t="shared" si="17"/>
        <v>0</v>
      </c>
      <c r="BD43" s="582">
        <f t="shared" si="17"/>
        <v>0</v>
      </c>
      <c r="BE43" s="582">
        <f t="shared" si="17"/>
        <v>0</v>
      </c>
      <c r="BF43" s="582">
        <f t="shared" si="18"/>
        <v>0</v>
      </c>
      <c r="BG43" s="582">
        <f t="shared" si="18"/>
        <v>0</v>
      </c>
      <c r="BH43" s="582">
        <f t="shared" si="18"/>
        <v>0</v>
      </c>
      <c r="BI43" s="582">
        <f t="shared" si="18"/>
        <v>0</v>
      </c>
      <c r="BJ43" s="338"/>
      <c r="BK43" s="338"/>
      <c r="BL43" s="338"/>
    </row>
    <row r="44" spans="1:78" ht="15" thickBot="1">
      <c r="A44" s="338"/>
      <c r="B44" s="324"/>
      <c r="C44" s="324"/>
      <c r="D44" s="324"/>
      <c r="E44" s="324"/>
      <c r="F44" s="324"/>
      <c r="G44" s="324"/>
      <c r="H44" s="324"/>
      <c r="I44" s="324"/>
      <c r="J44" s="324"/>
      <c r="K44" s="324"/>
      <c r="L44" s="324"/>
      <c r="M44" s="334"/>
      <c r="N44" s="569"/>
      <c r="O44" s="583">
        <f>C29</f>
        <v>30</v>
      </c>
      <c r="P44" s="583"/>
      <c r="Q44" s="388">
        <f>Q29+Q43</f>
        <v>35.309739622423649</v>
      </c>
      <c r="R44" s="584">
        <f t="shared" si="14"/>
        <v>0</v>
      </c>
      <c r="S44" s="585">
        <f t="shared" si="14"/>
        <v>0</v>
      </c>
      <c r="T44" s="585">
        <f t="shared" si="14"/>
        <v>0</v>
      </c>
      <c r="U44" s="585">
        <f t="shared" si="14"/>
        <v>0</v>
      </c>
      <c r="V44" s="585">
        <f t="shared" si="14"/>
        <v>0</v>
      </c>
      <c r="W44" s="585">
        <f t="shared" si="14"/>
        <v>0</v>
      </c>
      <c r="X44" s="585">
        <f t="shared" si="14"/>
        <v>0</v>
      </c>
      <c r="Y44" s="585">
        <f t="shared" si="14"/>
        <v>0</v>
      </c>
      <c r="Z44" s="585">
        <f t="shared" si="14"/>
        <v>0</v>
      </c>
      <c r="AA44" s="585">
        <f t="shared" si="14"/>
        <v>0</v>
      </c>
      <c r="AB44" s="585">
        <f t="shared" si="15"/>
        <v>0</v>
      </c>
      <c r="AC44" s="585">
        <f t="shared" si="15"/>
        <v>0</v>
      </c>
      <c r="AD44" s="585">
        <f t="shared" si="15"/>
        <v>0</v>
      </c>
      <c r="AE44" s="586">
        <f t="shared" si="15"/>
        <v>0</v>
      </c>
      <c r="AF44" s="582">
        <f t="shared" si="15"/>
        <v>91.025484859760681</v>
      </c>
      <c r="AG44" s="582">
        <f t="shared" si="15"/>
        <v>72.77451586990513</v>
      </c>
      <c r="AH44" s="582">
        <f t="shared" si="15"/>
        <v>86.28222714221431</v>
      </c>
      <c r="AI44" s="581">
        <f t="shared" si="15"/>
        <v>79.801195068681338</v>
      </c>
      <c r="AJ44" s="582">
        <f t="shared" si="15"/>
        <v>0</v>
      </c>
      <c r="AK44" s="582">
        <f t="shared" si="15"/>
        <v>0</v>
      </c>
      <c r="AL44" s="582">
        <f t="shared" si="16"/>
        <v>0</v>
      </c>
      <c r="AM44" s="582">
        <f t="shared" si="16"/>
        <v>0</v>
      </c>
      <c r="AN44" s="582">
        <f t="shared" si="16"/>
        <v>0</v>
      </c>
      <c r="AO44" s="582">
        <f t="shared" si="16"/>
        <v>0</v>
      </c>
      <c r="AP44" s="582">
        <f t="shared" si="16"/>
        <v>0</v>
      </c>
      <c r="AQ44" s="582">
        <f t="shared" si="16"/>
        <v>0</v>
      </c>
      <c r="AR44" s="582">
        <f t="shared" si="16"/>
        <v>0</v>
      </c>
      <c r="AS44" s="582">
        <f t="shared" si="16"/>
        <v>0</v>
      </c>
      <c r="AT44" s="582">
        <f t="shared" si="16"/>
        <v>0</v>
      </c>
      <c r="AU44" s="587">
        <f t="shared" si="16"/>
        <v>0</v>
      </c>
      <c r="AV44" s="588">
        <f t="shared" si="17"/>
        <v>0</v>
      </c>
      <c r="AW44" s="588">
        <f t="shared" si="17"/>
        <v>0</v>
      </c>
      <c r="AX44" s="588">
        <f t="shared" si="17"/>
        <v>0</v>
      </c>
      <c r="AY44" s="588">
        <f t="shared" si="17"/>
        <v>0</v>
      </c>
      <c r="AZ44" s="588">
        <f t="shared" si="17"/>
        <v>0</v>
      </c>
      <c r="BA44" s="588">
        <f t="shared" si="17"/>
        <v>0</v>
      </c>
      <c r="BB44" s="588">
        <f t="shared" si="17"/>
        <v>0</v>
      </c>
      <c r="BC44" s="588">
        <f t="shared" si="17"/>
        <v>0</v>
      </c>
      <c r="BD44" s="588">
        <f t="shared" si="17"/>
        <v>0</v>
      </c>
      <c r="BE44" s="588">
        <f t="shared" si="17"/>
        <v>0</v>
      </c>
      <c r="BF44" s="588">
        <f t="shared" si="18"/>
        <v>0</v>
      </c>
      <c r="BG44" s="588">
        <f t="shared" si="18"/>
        <v>0</v>
      </c>
      <c r="BH44" s="588">
        <f t="shared" si="18"/>
        <v>0</v>
      </c>
      <c r="BI44" s="588">
        <f t="shared" si="18"/>
        <v>0</v>
      </c>
      <c r="BJ44" s="338"/>
      <c r="BK44" s="338"/>
      <c r="BL44" s="338"/>
    </row>
    <row r="50" spans="1:78" ht="14.65" customHeight="1">
      <c r="A50" s="1310" t="s">
        <v>638</v>
      </c>
      <c r="B50" s="1311"/>
      <c r="C50" s="1311"/>
      <c r="D50" s="1311"/>
      <c r="E50" s="1311"/>
      <c r="F50" s="1311"/>
      <c r="G50" s="1311"/>
      <c r="H50" s="1311"/>
      <c r="I50" s="1311"/>
      <c r="J50" s="1311"/>
      <c r="K50" s="1311"/>
      <c r="L50" s="1311"/>
      <c r="M50" s="1311"/>
      <c r="N50" s="1311"/>
      <c r="O50" s="1311"/>
      <c r="P50" s="1311"/>
      <c r="Q50" s="1311"/>
      <c r="R50" s="1311"/>
      <c r="S50" s="1311"/>
      <c r="T50" s="1311"/>
      <c r="U50" s="1311"/>
      <c r="V50" s="1311"/>
      <c r="W50" s="1311"/>
      <c r="X50" s="1311"/>
      <c r="Y50" s="1311"/>
      <c r="Z50" s="1311"/>
      <c r="AA50" s="1311"/>
      <c r="AB50" s="1311"/>
      <c r="AC50" s="1311"/>
      <c r="AD50" s="1311"/>
      <c r="AE50" s="1311"/>
      <c r="AF50" s="1311"/>
      <c r="AG50" s="1311"/>
      <c r="AH50" s="1311"/>
      <c r="AI50" s="1311"/>
      <c r="AJ50" s="1311"/>
      <c r="AK50" s="1311"/>
      <c r="AL50" s="1311"/>
      <c r="AM50" s="1311"/>
      <c r="AN50" s="1311"/>
      <c r="AO50" s="1311"/>
      <c r="AP50" s="1311"/>
      <c r="AQ50" s="1311"/>
      <c r="AR50" s="1311"/>
      <c r="AS50" s="1311"/>
      <c r="AT50" s="1311"/>
      <c r="AU50" s="1311"/>
      <c r="AV50" s="1311"/>
      <c r="AW50" s="1311"/>
      <c r="AX50" s="1311"/>
      <c r="AY50" s="1311"/>
      <c r="AZ50" s="1311"/>
      <c r="BA50" s="1311"/>
      <c r="BB50" s="1311"/>
      <c r="BC50" s="1311"/>
      <c r="BD50" s="1311"/>
      <c r="BE50" s="1311"/>
      <c r="BF50" s="1311"/>
      <c r="BG50" s="1311"/>
      <c r="BH50" s="1311"/>
      <c r="BI50" s="1311"/>
      <c r="BJ50" s="1311"/>
      <c r="BK50" s="1311"/>
      <c r="BL50" s="1311"/>
      <c r="BM50" s="1358"/>
      <c r="BN50" s="1310"/>
      <c r="BO50" s="1311"/>
      <c r="BP50" s="1311"/>
      <c r="BQ50" s="1311"/>
      <c r="BR50" s="1311"/>
      <c r="BS50" s="1311"/>
      <c r="BT50" s="1311"/>
      <c r="BU50" s="1311"/>
      <c r="BV50" s="1311"/>
      <c r="BW50" s="1311"/>
      <c r="BX50" s="1311"/>
      <c r="BY50" s="1311"/>
      <c r="BZ50" s="1311"/>
    </row>
    <row r="51" spans="1:78" ht="14.65" customHeight="1">
      <c r="A51" s="1312"/>
      <c r="B51" s="1313"/>
      <c r="C51" s="1313"/>
      <c r="D51" s="1313"/>
      <c r="E51" s="1313"/>
      <c r="F51" s="1313"/>
      <c r="G51" s="1313"/>
      <c r="H51" s="1313"/>
      <c r="I51" s="1313"/>
      <c r="J51" s="1313"/>
      <c r="K51" s="1313"/>
      <c r="L51" s="1313"/>
      <c r="M51" s="1313"/>
      <c r="N51" s="1313"/>
      <c r="O51" s="1313"/>
      <c r="P51" s="1313"/>
      <c r="Q51" s="1313"/>
      <c r="R51" s="1313"/>
      <c r="S51" s="1313"/>
      <c r="T51" s="1313"/>
      <c r="U51" s="1313"/>
      <c r="V51" s="1313"/>
      <c r="W51" s="1313"/>
      <c r="X51" s="1313"/>
      <c r="Y51" s="1313"/>
      <c r="Z51" s="1313"/>
      <c r="AA51" s="1313"/>
      <c r="AB51" s="1313"/>
      <c r="AC51" s="1313"/>
      <c r="AD51" s="1313"/>
      <c r="AE51" s="1313"/>
      <c r="AF51" s="1313"/>
      <c r="AG51" s="1313"/>
      <c r="AH51" s="1313"/>
      <c r="AI51" s="1313"/>
      <c r="AJ51" s="1313"/>
      <c r="AK51" s="1313"/>
      <c r="AL51" s="1313"/>
      <c r="AM51" s="1313"/>
      <c r="AN51" s="1313"/>
      <c r="AO51" s="1313"/>
      <c r="AP51" s="1313"/>
      <c r="AQ51" s="1313"/>
      <c r="AR51" s="1313"/>
      <c r="AS51" s="1313"/>
      <c r="AT51" s="1313"/>
      <c r="AU51" s="1313"/>
      <c r="AV51" s="1313"/>
      <c r="AW51" s="1313"/>
      <c r="AX51" s="1313"/>
      <c r="AY51" s="1313"/>
      <c r="AZ51" s="1313"/>
      <c r="BA51" s="1313"/>
      <c r="BB51" s="1313"/>
      <c r="BC51" s="1313"/>
      <c r="BD51" s="1313"/>
      <c r="BE51" s="1313"/>
      <c r="BF51" s="1313"/>
      <c r="BG51" s="1313"/>
      <c r="BH51" s="1313"/>
      <c r="BI51" s="1313"/>
      <c r="BJ51" s="1313"/>
      <c r="BK51" s="1313"/>
      <c r="BL51" s="1313"/>
      <c r="BM51" s="1359"/>
      <c r="BN51" s="1312"/>
      <c r="BO51" s="1313"/>
      <c r="BP51" s="1313"/>
      <c r="BQ51" s="1313"/>
      <c r="BR51" s="1313"/>
      <c r="BS51" s="1313"/>
      <c r="BT51" s="1313"/>
      <c r="BU51" s="1313"/>
      <c r="BV51" s="1313"/>
      <c r="BW51" s="1313"/>
      <c r="BX51" s="1313"/>
      <c r="BY51" s="1313"/>
      <c r="BZ51" s="1313"/>
    </row>
    <row r="52" spans="1:78" ht="14.65" customHeight="1">
      <c r="A52" s="1312"/>
      <c r="B52" s="1313"/>
      <c r="C52" s="1313"/>
      <c r="D52" s="1313"/>
      <c r="E52" s="1313"/>
      <c r="F52" s="1313"/>
      <c r="G52" s="1313"/>
      <c r="H52" s="1313"/>
      <c r="I52" s="1313"/>
      <c r="J52" s="1313"/>
      <c r="K52" s="1313"/>
      <c r="L52" s="1313"/>
      <c r="M52" s="1313"/>
      <c r="N52" s="1313"/>
      <c r="O52" s="1313"/>
      <c r="P52" s="1313"/>
      <c r="Q52" s="1313"/>
      <c r="R52" s="1313"/>
      <c r="S52" s="1313"/>
      <c r="T52" s="1313"/>
      <c r="U52" s="1313"/>
      <c r="V52" s="1313"/>
      <c r="W52" s="1313"/>
      <c r="X52" s="1313"/>
      <c r="Y52" s="1313"/>
      <c r="Z52" s="1313"/>
      <c r="AA52" s="1313"/>
      <c r="AB52" s="1313"/>
      <c r="AC52" s="1313"/>
      <c r="AD52" s="1313"/>
      <c r="AE52" s="1313"/>
      <c r="AF52" s="1313"/>
      <c r="AG52" s="1313"/>
      <c r="AH52" s="1313"/>
      <c r="AI52" s="1313"/>
      <c r="AJ52" s="1313"/>
      <c r="AK52" s="1313"/>
      <c r="AL52" s="1313"/>
      <c r="AM52" s="1313"/>
      <c r="AN52" s="1313"/>
      <c r="AO52" s="1313"/>
      <c r="AP52" s="1313"/>
      <c r="AQ52" s="1313"/>
      <c r="AR52" s="1313"/>
      <c r="AS52" s="1313"/>
      <c r="AT52" s="1313"/>
      <c r="AU52" s="1313"/>
      <c r="AV52" s="1313"/>
      <c r="AW52" s="1313"/>
      <c r="AX52" s="1313"/>
      <c r="AY52" s="1313"/>
      <c r="AZ52" s="1313"/>
      <c r="BA52" s="1313"/>
      <c r="BB52" s="1313"/>
      <c r="BC52" s="1313"/>
      <c r="BD52" s="1313"/>
      <c r="BE52" s="1313"/>
      <c r="BF52" s="1313"/>
      <c r="BG52" s="1313"/>
      <c r="BH52" s="1313"/>
      <c r="BI52" s="1313"/>
      <c r="BJ52" s="1313"/>
      <c r="BK52" s="1313"/>
      <c r="BL52" s="1313"/>
      <c r="BM52" s="1359"/>
      <c r="BN52" s="1312"/>
      <c r="BO52" s="1313"/>
      <c r="BP52" s="1313"/>
      <c r="BQ52" s="1313"/>
      <c r="BR52" s="1313"/>
      <c r="BS52" s="1313"/>
      <c r="BT52" s="1313"/>
      <c r="BU52" s="1313"/>
      <c r="BV52" s="1313"/>
      <c r="BW52" s="1313"/>
      <c r="BX52" s="1313"/>
      <c r="BY52" s="1313"/>
      <c r="BZ52" s="1313"/>
    </row>
    <row r="53" spans="1:78">
      <c r="BN53" s="324"/>
      <c r="BO53" s="324"/>
      <c r="BP53" s="324"/>
      <c r="BQ53" s="324"/>
      <c r="BR53" s="324"/>
      <c r="BS53" s="324"/>
      <c r="BT53" s="324"/>
      <c r="BU53" s="324"/>
      <c r="BV53" s="324"/>
      <c r="BW53" s="324"/>
      <c r="BX53" s="324"/>
      <c r="BY53" s="324"/>
      <c r="BZ53" s="324"/>
    </row>
    <row r="54" spans="1:78">
      <c r="BN54" s="324"/>
      <c r="BO54" s="324"/>
      <c r="BP54" s="324"/>
      <c r="BQ54" s="325" t="s">
        <v>637</v>
      </c>
      <c r="BR54" s="324"/>
      <c r="BS54" s="324"/>
      <c r="BT54" s="324"/>
      <c r="BU54" s="324"/>
      <c r="BV54" s="324"/>
      <c r="BW54" s="324"/>
      <c r="BX54" s="324"/>
      <c r="BY54" s="324"/>
      <c r="BZ54" s="324"/>
    </row>
    <row r="55" spans="1:78">
      <c r="BN55" s="324"/>
      <c r="BO55" s="324"/>
      <c r="BP55" s="324"/>
      <c r="BQ55" s="589" t="s">
        <v>636</v>
      </c>
      <c r="BR55" s="589" t="s">
        <v>512</v>
      </c>
      <c r="BS55" s="589" t="s">
        <v>205</v>
      </c>
      <c r="BT55" s="589" t="s">
        <v>635</v>
      </c>
      <c r="BU55" s="589" t="s">
        <v>634</v>
      </c>
      <c r="BV55" s="589" t="s">
        <v>417</v>
      </c>
      <c r="BW55" s="324"/>
      <c r="BX55" s="324"/>
      <c r="BY55" s="324"/>
      <c r="BZ55" s="324"/>
    </row>
    <row r="56" spans="1:78">
      <c r="BN56" s="324"/>
      <c r="BO56" s="324"/>
      <c r="BP56" s="324"/>
      <c r="BQ56" s="590">
        <v>70</v>
      </c>
      <c r="BR56" s="590">
        <v>212</v>
      </c>
      <c r="BS56" s="328">
        <v>0</v>
      </c>
      <c r="BT56" s="591">
        <f t="shared" ref="BT56:BT65" si="19">BS56/$BS$66*100</f>
        <v>0</v>
      </c>
      <c r="BU56" s="591">
        <f>BT56</f>
        <v>0</v>
      </c>
      <c r="BV56" s="591">
        <f t="shared" ref="BV56:BV65" si="20">100-BU56</f>
        <v>100</v>
      </c>
      <c r="BW56" s="324"/>
      <c r="BX56" s="592">
        <f t="shared" ref="BX56:BX65" si="21">IF(BV56=80,$BR56,IF(BV56&gt;80,IF(BV57&lt;80,$BR57*10^(LOG(80/BV57)*LOG($BR56/$BR57)/LOG(BV56/BV57)),0),0))</f>
        <v>0</v>
      </c>
      <c r="BY56" s="592">
        <f t="shared" ref="BY56:BY65" si="22">IF(BV56=50,$BR56,IF(BV56&gt;50,IF(BV57&lt;50,$BR57*10^(LOG(50/BV57)*LOG($BR56/$BR57)/LOG(BV56/BV57)),0),0))</f>
        <v>0</v>
      </c>
      <c r="BZ56" s="324"/>
    </row>
    <row r="57" spans="1:78">
      <c r="BN57" s="324"/>
      <c r="BO57" s="324"/>
      <c r="BP57" s="324"/>
      <c r="BQ57" s="590">
        <v>100</v>
      </c>
      <c r="BR57" s="590">
        <v>150</v>
      </c>
      <c r="BS57" s="328">
        <v>5.6</v>
      </c>
      <c r="BT57" s="591">
        <f t="shared" si="19"/>
        <v>2.9645314981471675</v>
      </c>
      <c r="BU57" s="591">
        <f t="shared" ref="BU57:BU65" si="23">BU56+BT57</f>
        <v>2.9645314981471675</v>
      </c>
      <c r="BV57" s="591">
        <f t="shared" si="20"/>
        <v>97.035468501852833</v>
      </c>
      <c r="BW57" s="324"/>
      <c r="BX57" s="592">
        <f t="shared" si="21"/>
        <v>0</v>
      </c>
      <c r="BY57" s="592">
        <f t="shared" si="22"/>
        <v>0</v>
      </c>
      <c r="BZ57" s="324"/>
    </row>
    <row r="58" spans="1:78">
      <c r="BN58" s="324"/>
      <c r="BO58" s="324"/>
      <c r="BP58" s="324"/>
      <c r="BQ58" s="590">
        <v>140</v>
      </c>
      <c r="BR58" s="590">
        <v>106</v>
      </c>
      <c r="BS58" s="328">
        <v>8.3000000000000007</v>
      </c>
      <c r="BT58" s="591">
        <f t="shared" si="19"/>
        <v>4.3938591847538389</v>
      </c>
      <c r="BU58" s="591">
        <f t="shared" si="23"/>
        <v>7.3583906829010068</v>
      </c>
      <c r="BV58" s="591">
        <f t="shared" si="20"/>
        <v>92.641609317098997</v>
      </c>
      <c r="BW58" s="324"/>
      <c r="BX58" s="592">
        <f t="shared" si="21"/>
        <v>0</v>
      </c>
      <c r="BY58" s="592">
        <f t="shared" si="22"/>
        <v>0</v>
      </c>
      <c r="BZ58" s="324"/>
    </row>
    <row r="59" spans="1:78">
      <c r="BN59" s="324"/>
      <c r="BO59" s="324"/>
      <c r="BP59" s="324"/>
      <c r="BQ59" s="590">
        <v>200</v>
      </c>
      <c r="BR59" s="590">
        <v>75</v>
      </c>
      <c r="BS59" s="328">
        <v>8.5</v>
      </c>
      <c r="BT59" s="591">
        <f t="shared" si="19"/>
        <v>4.499735309687666</v>
      </c>
      <c r="BU59" s="591">
        <f t="shared" si="23"/>
        <v>11.858125992588672</v>
      </c>
      <c r="BV59" s="591">
        <f t="shared" si="20"/>
        <v>88.141874007411332</v>
      </c>
      <c r="BW59" s="324"/>
      <c r="BX59" s="592">
        <f t="shared" si="21"/>
        <v>0</v>
      </c>
      <c r="BY59" s="592">
        <f t="shared" si="22"/>
        <v>0</v>
      </c>
      <c r="BZ59" s="324"/>
    </row>
    <row r="60" spans="1:78" ht="16">
      <c r="A60" s="324"/>
      <c r="B60" s="331"/>
      <c r="C60" s="324"/>
      <c r="D60" s="332"/>
      <c r="E60" s="333"/>
      <c r="F60" s="333"/>
      <c r="G60" s="324"/>
      <c r="H60" s="324"/>
      <c r="I60" s="324"/>
      <c r="J60" s="324"/>
      <c r="K60" s="324"/>
      <c r="L60" s="324"/>
      <c r="M60" s="324"/>
      <c r="N60" s="334"/>
      <c r="O60" s="324"/>
      <c r="P60" s="324"/>
      <c r="Q60" s="324"/>
      <c r="R60" s="324"/>
      <c r="S60" s="324"/>
      <c r="T60" s="324"/>
      <c r="U60" s="324"/>
      <c r="V60" s="324"/>
      <c r="W60" s="324"/>
      <c r="X60" s="324"/>
      <c r="Y60" s="324"/>
      <c r="Z60" s="324"/>
      <c r="AA60" s="324"/>
      <c r="AB60" s="324"/>
      <c r="AC60" s="324"/>
      <c r="AD60" s="324"/>
      <c r="AE60" s="324"/>
      <c r="AF60" s="324"/>
      <c r="AG60" s="324"/>
      <c r="AH60" s="324"/>
      <c r="AI60" s="324"/>
      <c r="AJ60" s="324"/>
      <c r="AK60" s="324"/>
      <c r="AL60" s="324"/>
      <c r="AM60" s="324"/>
      <c r="AN60" s="324"/>
      <c r="AO60" s="324"/>
      <c r="AP60" s="324"/>
      <c r="AQ60" s="324"/>
      <c r="AR60" s="324"/>
      <c r="AS60" s="324"/>
      <c r="AT60" s="324"/>
      <c r="AU60" s="324"/>
      <c r="AV60" s="324"/>
      <c r="AW60" s="324"/>
      <c r="AX60" s="324"/>
      <c r="AY60" s="324"/>
      <c r="AZ60" s="324"/>
      <c r="BA60" s="324"/>
      <c r="BB60" s="324"/>
      <c r="BC60" s="324"/>
      <c r="BD60" s="324"/>
      <c r="BE60" s="324"/>
      <c r="BF60" s="324"/>
      <c r="BG60" s="324"/>
      <c r="BH60" s="324"/>
      <c r="BI60" s="324"/>
      <c r="BJ60" s="324"/>
      <c r="BK60" s="324"/>
      <c r="BL60" s="324"/>
      <c r="BM60" s="324"/>
      <c r="BN60" s="324"/>
      <c r="BO60" s="324"/>
      <c r="BP60" s="324"/>
      <c r="BQ60" s="590">
        <v>270</v>
      </c>
      <c r="BR60" s="590">
        <v>53</v>
      </c>
      <c r="BS60" s="328">
        <v>6.6</v>
      </c>
      <c r="BT60" s="591">
        <f t="shared" si="19"/>
        <v>3.4939121228163046</v>
      </c>
      <c r="BU60" s="591">
        <f t="shared" si="23"/>
        <v>15.352038115404977</v>
      </c>
      <c r="BV60" s="591">
        <f t="shared" si="20"/>
        <v>84.64796188459502</v>
      </c>
      <c r="BW60" s="324"/>
      <c r="BX60" s="592">
        <f t="shared" si="21"/>
        <v>0</v>
      </c>
      <c r="BY60" s="592">
        <f t="shared" si="22"/>
        <v>0</v>
      </c>
      <c r="BZ60" s="324"/>
    </row>
    <row r="61" spans="1:78" ht="16">
      <c r="A61" s="324"/>
      <c r="B61" s="324"/>
      <c r="C61" s="324"/>
      <c r="D61" s="324"/>
      <c r="E61" s="335" t="s">
        <v>633</v>
      </c>
      <c r="F61" s="336"/>
      <c r="G61" s="336"/>
      <c r="H61" s="336"/>
      <c r="I61" s="336"/>
      <c r="J61" s="336"/>
      <c r="K61" s="336"/>
      <c r="L61" s="336"/>
      <c r="M61" s="337"/>
      <c r="N61" s="324"/>
      <c r="O61" s="324"/>
      <c r="P61" s="324"/>
      <c r="Q61" s="324"/>
      <c r="R61" s="324"/>
      <c r="S61" s="324"/>
      <c r="T61" s="324"/>
      <c r="U61" s="338"/>
      <c r="V61" s="338"/>
      <c r="W61" s="338"/>
      <c r="X61" s="338"/>
      <c r="Y61" s="338"/>
      <c r="Z61" s="338"/>
      <c r="AA61" s="338"/>
      <c r="AB61" s="338"/>
      <c r="AC61" s="338"/>
      <c r="AD61" s="338"/>
      <c r="AE61" s="338"/>
      <c r="AF61" s="338"/>
      <c r="AG61" s="338"/>
      <c r="AH61" s="324"/>
      <c r="AI61" s="324"/>
      <c r="AJ61" s="324"/>
      <c r="AK61" s="324"/>
      <c r="AL61" s="324"/>
      <c r="AM61" s="324"/>
      <c r="AN61" s="324"/>
      <c r="AO61" s="324"/>
      <c r="AP61" s="324"/>
      <c r="AQ61" s="324"/>
      <c r="AR61" s="324"/>
      <c r="AS61" s="324"/>
      <c r="AT61" s="324"/>
      <c r="AU61" s="324"/>
      <c r="AV61" s="324"/>
      <c r="AW61" s="324"/>
      <c r="AX61" s="324"/>
      <c r="AY61" s="324"/>
      <c r="AZ61" s="324"/>
      <c r="BA61" s="324"/>
      <c r="BB61" s="324"/>
      <c r="BC61" s="324"/>
      <c r="BD61" s="324"/>
      <c r="BE61" s="324"/>
      <c r="BF61" s="324"/>
      <c r="BG61" s="324"/>
      <c r="BH61" s="324"/>
      <c r="BI61" s="324"/>
      <c r="BJ61" s="324"/>
      <c r="BK61" s="324"/>
      <c r="BL61" s="324"/>
      <c r="BM61" s="324"/>
      <c r="BN61" s="324"/>
      <c r="BO61" s="324"/>
      <c r="BP61" s="324"/>
      <c r="BQ61" s="590">
        <v>325</v>
      </c>
      <c r="BR61" s="590">
        <v>45</v>
      </c>
      <c r="BS61" s="328">
        <v>5.9</v>
      </c>
      <c r="BT61" s="591">
        <f t="shared" si="19"/>
        <v>3.1233456855479091</v>
      </c>
      <c r="BU61" s="591">
        <f t="shared" si="23"/>
        <v>18.475383800952887</v>
      </c>
      <c r="BV61" s="591">
        <f t="shared" si="20"/>
        <v>81.524616199047117</v>
      </c>
      <c r="BW61" s="324"/>
      <c r="BX61" s="592">
        <f t="shared" si="21"/>
        <v>41.469373269496998</v>
      </c>
      <c r="BY61" s="592">
        <f t="shared" si="22"/>
        <v>0</v>
      </c>
      <c r="BZ61" s="324"/>
    </row>
    <row r="62" spans="1:78">
      <c r="A62" s="324"/>
      <c r="B62" s="339" t="s">
        <v>632</v>
      </c>
      <c r="C62" s="339" t="s">
        <v>631</v>
      </c>
      <c r="D62" s="339" t="s">
        <v>35</v>
      </c>
      <c r="E62" s="339" t="s">
        <v>630</v>
      </c>
      <c r="F62" s="339" t="s">
        <v>629</v>
      </c>
      <c r="G62" s="340" t="str">
        <f>G66</f>
        <v>Matcol 715</v>
      </c>
      <c r="H62" s="340" t="str">
        <f>G67</f>
        <v>FP 650</v>
      </c>
      <c r="I62" s="339">
        <f>G68</f>
        <v>0</v>
      </c>
      <c r="J62" s="339">
        <f>G69</f>
        <v>0</v>
      </c>
      <c r="K62" s="339">
        <f>G70</f>
        <v>0</v>
      </c>
      <c r="L62" s="339">
        <f>G71</f>
        <v>0</v>
      </c>
      <c r="M62" s="339"/>
      <c r="N62" s="341" t="s">
        <v>628</v>
      </c>
      <c r="O62" s="341" t="s">
        <v>627</v>
      </c>
      <c r="P62" s="341" t="s">
        <v>626</v>
      </c>
      <c r="Q62" s="324"/>
      <c r="R62" s="324"/>
      <c r="S62" s="324"/>
      <c r="T62" s="324"/>
      <c r="U62" s="324"/>
      <c r="V62" s="324"/>
      <c r="W62" s="338"/>
      <c r="X62" s="338"/>
      <c r="Y62" s="338"/>
      <c r="Z62" s="338"/>
      <c r="AA62" s="338"/>
      <c r="AB62" s="338"/>
      <c r="AC62" s="338"/>
      <c r="AD62" s="338"/>
      <c r="AE62" s="338"/>
      <c r="AF62" s="338"/>
      <c r="AG62" s="338"/>
      <c r="AH62" s="324"/>
      <c r="AI62" s="324"/>
      <c r="AJ62" s="324"/>
      <c r="AK62" s="324"/>
      <c r="AL62" s="324"/>
      <c r="AM62" s="324"/>
      <c r="AN62" s="324"/>
      <c r="AO62" s="324"/>
      <c r="AP62" s="324"/>
      <c r="AQ62" s="324"/>
      <c r="AR62" s="324"/>
      <c r="AS62" s="324"/>
      <c r="AT62" s="324"/>
      <c r="AU62" s="324"/>
      <c r="AV62" s="324"/>
      <c r="AW62" s="324"/>
      <c r="AX62" s="324"/>
      <c r="AY62" s="324"/>
      <c r="AZ62" s="324"/>
      <c r="BA62" s="324"/>
      <c r="BB62" s="324"/>
      <c r="BC62" s="324"/>
      <c r="BD62" s="324"/>
      <c r="BE62" s="324"/>
      <c r="BF62" s="324"/>
      <c r="BG62" s="324"/>
      <c r="BH62" s="324"/>
      <c r="BI62" s="324"/>
      <c r="BJ62" s="324"/>
      <c r="BK62" s="324"/>
      <c r="BL62" s="324"/>
      <c r="BM62" s="324"/>
      <c r="BN62" s="324"/>
      <c r="BO62" s="324"/>
      <c r="BP62" s="324"/>
      <c r="BQ62" s="590">
        <v>400</v>
      </c>
      <c r="BR62" s="590">
        <v>38</v>
      </c>
      <c r="BS62" s="328">
        <v>5.9</v>
      </c>
      <c r="BT62" s="591">
        <f t="shared" si="19"/>
        <v>3.1233456855479091</v>
      </c>
      <c r="BU62" s="591">
        <f t="shared" si="23"/>
        <v>21.598729486500797</v>
      </c>
      <c r="BV62" s="591">
        <f t="shared" si="20"/>
        <v>78.401270513499199</v>
      </c>
      <c r="BW62" s="324"/>
      <c r="BX62" s="592">
        <f t="shared" si="21"/>
        <v>0</v>
      </c>
      <c r="BY62" s="592">
        <f t="shared" si="22"/>
        <v>0</v>
      </c>
      <c r="BZ62" s="324"/>
    </row>
    <row r="63" spans="1:78">
      <c r="A63" s="324"/>
      <c r="B63" s="339" t="s">
        <v>454</v>
      </c>
      <c r="C63" s="342" t="s">
        <v>625</v>
      </c>
      <c r="D63" s="343">
        <v>9.92</v>
      </c>
      <c r="E63" s="343">
        <v>47.9</v>
      </c>
      <c r="F63" s="344">
        <v>500</v>
      </c>
      <c r="G63" s="345">
        <v>0</v>
      </c>
      <c r="H63" s="345">
        <v>0</v>
      </c>
      <c r="I63" s="345"/>
      <c r="J63" s="345"/>
      <c r="K63" s="345"/>
      <c r="L63" s="345"/>
      <c r="M63" s="345"/>
      <c r="N63" s="346">
        <f>O63/P63</f>
        <v>1140</v>
      </c>
      <c r="O63" s="346">
        <v>570</v>
      </c>
      <c r="P63" s="347">
        <v>0.5</v>
      </c>
      <c r="Q63" s="324"/>
      <c r="R63" s="334"/>
      <c r="S63" s="334"/>
      <c r="T63" s="334"/>
      <c r="U63" s="334"/>
      <c r="V63" s="334"/>
      <c r="W63" s="338"/>
      <c r="X63" s="338"/>
      <c r="Y63" s="338"/>
      <c r="Z63" s="338"/>
      <c r="AA63" s="338"/>
      <c r="AB63" s="338"/>
      <c r="AC63" s="338"/>
      <c r="AD63" s="338"/>
      <c r="AE63" s="338"/>
      <c r="AF63" s="338"/>
      <c r="AG63" s="338"/>
      <c r="AH63" s="324"/>
      <c r="AI63" s="324"/>
      <c r="AJ63" s="324"/>
      <c r="AK63" s="324"/>
      <c r="AL63" s="324"/>
      <c r="AM63" s="324"/>
      <c r="AN63" s="324"/>
      <c r="AO63" s="324"/>
      <c r="AP63" s="324"/>
      <c r="AQ63" s="324"/>
      <c r="AR63" s="324"/>
      <c r="AS63" s="324"/>
      <c r="AT63" s="324"/>
      <c r="AU63" s="324"/>
      <c r="AV63" s="324"/>
      <c r="AW63" s="324"/>
      <c r="AX63" s="324"/>
      <c r="AY63" s="324"/>
      <c r="AZ63" s="324"/>
      <c r="BA63" s="324"/>
      <c r="BB63" s="324"/>
      <c r="BC63" s="324"/>
      <c r="BD63" s="324"/>
      <c r="BE63" s="324"/>
      <c r="BF63" s="324"/>
      <c r="BG63" s="324"/>
      <c r="BH63" s="324"/>
      <c r="BI63" s="324"/>
      <c r="BJ63" s="324"/>
      <c r="BK63" s="324"/>
      <c r="BL63" s="324"/>
      <c r="BM63" s="324"/>
      <c r="BN63" s="324"/>
      <c r="BO63" s="324"/>
      <c r="BP63" s="324"/>
      <c r="BQ63" s="590">
        <v>500</v>
      </c>
      <c r="BR63" s="590">
        <v>25</v>
      </c>
      <c r="BS63" s="328">
        <v>10.1</v>
      </c>
      <c r="BT63" s="591">
        <f t="shared" si="19"/>
        <v>5.346744309158284</v>
      </c>
      <c r="BU63" s="591">
        <f t="shared" si="23"/>
        <v>26.945473795659083</v>
      </c>
      <c r="BV63" s="591">
        <f t="shared" si="20"/>
        <v>73.054526204340917</v>
      </c>
      <c r="BW63" s="324"/>
      <c r="BX63" s="592">
        <f t="shared" si="21"/>
        <v>0</v>
      </c>
      <c r="BY63" s="592">
        <f t="shared" si="22"/>
        <v>0</v>
      </c>
      <c r="BZ63" s="324"/>
    </row>
    <row r="64" spans="1:78">
      <c r="A64" s="324"/>
      <c r="B64" s="324"/>
      <c r="C64" s="348"/>
      <c r="D64" s="324"/>
      <c r="E64" s="324"/>
      <c r="F64" s="324"/>
      <c r="G64" s="324"/>
      <c r="H64" s="324"/>
      <c r="I64" s="324"/>
      <c r="J64" s="324"/>
      <c r="K64" s="324"/>
      <c r="L64" s="324"/>
      <c r="M64" s="324"/>
      <c r="N64" s="324"/>
      <c r="O64" s="324"/>
      <c r="P64" s="324"/>
      <c r="Q64" s="324"/>
      <c r="R64" s="324"/>
      <c r="S64" s="324"/>
      <c r="T64" s="324"/>
      <c r="U64" s="324"/>
      <c r="V64" s="324"/>
      <c r="W64" s="324"/>
      <c r="X64" s="324"/>
      <c r="Y64" s="324"/>
      <c r="Z64" s="324"/>
      <c r="AA64" s="324"/>
      <c r="AB64" s="324"/>
      <c r="AC64" s="324"/>
      <c r="AD64" s="324"/>
      <c r="AE64" s="324"/>
      <c r="AF64" s="324"/>
      <c r="AG64" s="324"/>
      <c r="AH64" s="324"/>
      <c r="AI64" s="324"/>
      <c r="AJ64" s="324"/>
      <c r="AK64" s="324"/>
      <c r="AL64" s="324"/>
      <c r="AM64" s="324"/>
      <c r="AN64" s="324"/>
      <c r="AO64" s="324"/>
      <c r="AP64" s="324"/>
      <c r="AQ64" s="324"/>
      <c r="AR64" s="324"/>
      <c r="AS64" s="324"/>
      <c r="AT64" s="324"/>
      <c r="AU64" s="324"/>
      <c r="AV64" s="324"/>
      <c r="AW64" s="324"/>
      <c r="AX64" s="324"/>
      <c r="AY64" s="324"/>
      <c r="AZ64" s="324"/>
      <c r="BA64" s="324"/>
      <c r="BB64" s="324"/>
      <c r="BC64" s="324"/>
      <c r="BD64" s="324"/>
      <c r="BE64" s="324"/>
      <c r="BF64" s="324"/>
      <c r="BG64" s="324"/>
      <c r="BH64" s="324"/>
      <c r="BI64" s="324"/>
      <c r="BJ64" s="324"/>
      <c r="BK64" s="324"/>
      <c r="BL64" s="324"/>
      <c r="BM64" s="324"/>
      <c r="BN64" s="324"/>
      <c r="BO64" s="324"/>
      <c r="BP64" s="324"/>
      <c r="BQ64" s="590">
        <v>635</v>
      </c>
      <c r="BR64" s="590">
        <v>20</v>
      </c>
      <c r="BS64" s="328">
        <v>4.0999999999999996</v>
      </c>
      <c r="BT64" s="591">
        <f t="shared" si="19"/>
        <v>2.1704605611434622</v>
      </c>
      <c r="BU64" s="591">
        <f t="shared" si="23"/>
        <v>29.115934356802544</v>
      </c>
      <c r="BV64" s="591">
        <f t="shared" si="20"/>
        <v>70.884065643197459</v>
      </c>
      <c r="BW64" s="324"/>
      <c r="BX64" s="592">
        <f t="shared" si="21"/>
        <v>0</v>
      </c>
      <c r="BY64" s="592" t="e">
        <f t="shared" si="22"/>
        <v>#DIV/0!</v>
      </c>
      <c r="BZ64" s="324"/>
    </row>
    <row r="65" spans="1:78" ht="16">
      <c r="A65" s="324"/>
      <c r="B65" s="335" t="s">
        <v>624</v>
      </c>
      <c r="C65" s="349"/>
      <c r="D65" s="350"/>
      <c r="E65" s="324"/>
      <c r="F65" s="351" t="s">
        <v>623</v>
      </c>
      <c r="G65" s="352"/>
      <c r="H65" s="353"/>
      <c r="I65" s="354"/>
      <c r="J65" s="324"/>
      <c r="K65" s="324"/>
      <c r="L65" s="324"/>
      <c r="M65" s="324"/>
      <c r="N65" s="324"/>
      <c r="O65" s="324"/>
      <c r="P65" s="324"/>
      <c r="Q65" s="324"/>
      <c r="R65" s="324"/>
      <c r="S65" s="324"/>
      <c r="T65" s="324"/>
      <c r="U65" s="324"/>
      <c r="V65" s="324"/>
      <c r="W65" s="324"/>
      <c r="X65" s="324"/>
      <c r="Y65" s="324"/>
      <c r="Z65" s="324"/>
      <c r="AA65" s="324"/>
      <c r="AB65" s="324"/>
      <c r="AC65" s="324"/>
      <c r="AD65" s="324"/>
      <c r="AE65" s="324"/>
      <c r="AF65" s="324"/>
      <c r="AG65" s="324"/>
      <c r="AH65" s="324"/>
      <c r="AI65" s="324"/>
      <c r="AJ65" s="324"/>
      <c r="AK65" s="324"/>
      <c r="AL65" s="324"/>
      <c r="AM65" s="324"/>
      <c r="AN65" s="324"/>
      <c r="AO65" s="324"/>
      <c r="AP65" s="324"/>
      <c r="AQ65" s="324"/>
      <c r="AR65" s="324"/>
      <c r="AS65" s="324"/>
      <c r="AT65" s="324"/>
      <c r="AU65" s="324"/>
      <c r="AV65" s="324"/>
      <c r="AW65" s="324"/>
      <c r="AX65" s="324"/>
      <c r="AY65" s="324"/>
      <c r="AZ65" s="324"/>
      <c r="BA65" s="324"/>
      <c r="BB65" s="324"/>
      <c r="BC65" s="324"/>
      <c r="BD65" s="324"/>
      <c r="BE65" s="324"/>
      <c r="BF65" s="324"/>
      <c r="BG65" s="324"/>
      <c r="BH65" s="324"/>
      <c r="BI65" s="324"/>
      <c r="BJ65" s="324"/>
      <c r="BK65" s="324"/>
      <c r="BL65" s="324"/>
      <c r="BM65" s="324"/>
      <c r="BN65" s="324"/>
      <c r="BO65" s="324"/>
      <c r="BP65" s="324"/>
      <c r="BQ65" s="593" t="s">
        <v>622</v>
      </c>
      <c r="BR65" s="591">
        <v>0</v>
      </c>
      <c r="BS65" s="328">
        <v>133.9</v>
      </c>
      <c r="BT65" s="591">
        <f t="shared" si="19"/>
        <v>70.884065643197459</v>
      </c>
      <c r="BU65" s="591">
        <f t="shared" si="23"/>
        <v>100</v>
      </c>
      <c r="BV65" s="591">
        <f t="shared" si="20"/>
        <v>0</v>
      </c>
      <c r="BW65" s="324"/>
      <c r="BX65" s="592">
        <f t="shared" si="21"/>
        <v>0</v>
      </c>
      <c r="BY65" s="592">
        <f t="shared" si="22"/>
        <v>0</v>
      </c>
      <c r="BZ65" s="324"/>
    </row>
    <row r="66" spans="1:78">
      <c r="A66" s="324"/>
      <c r="B66" s="356"/>
      <c r="C66" s="357" t="s">
        <v>621</v>
      </c>
      <c r="D66" s="358">
        <v>17.399999999999999</v>
      </c>
      <c r="E66" s="324"/>
      <c r="F66" s="359" t="s">
        <v>620</v>
      </c>
      <c r="G66" s="360" t="s">
        <v>446</v>
      </c>
      <c r="H66" s="361">
        <f>G82</f>
        <v>6</v>
      </c>
      <c r="I66" s="362"/>
      <c r="J66" s="324"/>
      <c r="K66" s="324"/>
      <c r="L66" s="324"/>
      <c r="M66" s="324"/>
      <c r="N66" s="324"/>
      <c r="O66" s="324"/>
      <c r="P66" s="363">
        <f>P72-BS66</f>
        <v>0</v>
      </c>
      <c r="Q66" s="324"/>
      <c r="R66" s="324"/>
      <c r="S66" s="324"/>
      <c r="T66" s="324"/>
      <c r="U66" s="324"/>
      <c r="V66" s="324"/>
      <c r="W66" s="324"/>
      <c r="X66" s="324"/>
      <c r="Y66" s="324"/>
      <c r="Z66" s="324"/>
      <c r="AA66" s="324"/>
      <c r="AB66" s="324"/>
      <c r="AC66" s="324"/>
      <c r="AD66" s="324"/>
      <c r="AE66" s="324"/>
      <c r="AF66" s="324"/>
      <c r="AG66" s="324"/>
      <c r="AH66" s="324"/>
      <c r="AI66" s="324"/>
      <c r="AJ66" s="324"/>
      <c r="AK66" s="324"/>
      <c r="AL66" s="324"/>
      <c r="AM66" s="324"/>
      <c r="AN66" s="324"/>
      <c r="AO66" s="324"/>
      <c r="AP66" s="324"/>
      <c r="AQ66" s="324"/>
      <c r="AR66" s="324"/>
      <c r="AS66" s="324"/>
      <c r="AT66" s="324"/>
      <c r="AU66" s="324"/>
      <c r="AV66" s="324"/>
      <c r="AW66" s="324"/>
      <c r="AX66" s="324"/>
      <c r="AY66" s="324"/>
      <c r="AZ66" s="324"/>
      <c r="BA66" s="324"/>
      <c r="BB66" s="324"/>
      <c r="BC66" s="324"/>
      <c r="BD66" s="324"/>
      <c r="BE66" s="324"/>
      <c r="BF66" s="324"/>
      <c r="BG66" s="324"/>
      <c r="BH66" s="324"/>
      <c r="BI66" s="324"/>
      <c r="BJ66" s="324"/>
      <c r="BK66" s="324"/>
      <c r="BL66" s="324"/>
      <c r="BM66" s="324"/>
      <c r="BN66" s="324"/>
      <c r="BO66" s="324"/>
      <c r="BP66" s="324"/>
      <c r="BQ66" s="591"/>
      <c r="BR66" s="591"/>
      <c r="BS66" s="594">
        <f>SUM(BS56:BS65)</f>
        <v>188.9</v>
      </c>
      <c r="BT66" s="594">
        <f>SUM(BT56:BT65)</f>
        <v>100</v>
      </c>
      <c r="BU66" s="591"/>
      <c r="BV66" s="591"/>
      <c r="BW66" s="324"/>
      <c r="BX66" s="365">
        <f>SUM(BX56:BX65)</f>
        <v>41.469373269496998</v>
      </c>
      <c r="BY66" s="365" t="e">
        <f>SUM(BY56:BY65)</f>
        <v>#DIV/0!</v>
      </c>
      <c r="BZ66" s="324"/>
    </row>
    <row r="67" spans="1:78" ht="16">
      <c r="A67" s="324"/>
      <c r="B67" s="359"/>
      <c r="C67" s="366" t="s">
        <v>619</v>
      </c>
      <c r="D67" s="358">
        <v>22.3</v>
      </c>
      <c r="E67" s="324"/>
      <c r="F67" s="359" t="s">
        <v>618</v>
      </c>
      <c r="G67" s="360" t="s">
        <v>617</v>
      </c>
      <c r="H67" s="367">
        <f>H82</f>
        <v>16</v>
      </c>
      <c r="I67" s="362"/>
      <c r="J67" s="324"/>
      <c r="K67" s="324"/>
      <c r="L67" s="324"/>
      <c r="M67" s="368"/>
      <c r="N67" s="369" t="s">
        <v>159</v>
      </c>
      <c r="O67" s="370" t="s">
        <v>512</v>
      </c>
      <c r="P67" s="341" t="s">
        <v>616</v>
      </c>
      <c r="Q67" s="371" t="s">
        <v>615</v>
      </c>
      <c r="R67" s="324"/>
      <c r="Y67" s="324"/>
      <c r="Z67" s="324"/>
      <c r="AA67" s="324"/>
      <c r="AB67" s="324"/>
      <c r="AC67" s="324"/>
      <c r="AD67" s="324"/>
      <c r="AE67" s="324"/>
      <c r="AF67" s="324"/>
      <c r="AG67" s="324"/>
      <c r="AH67" s="324"/>
      <c r="AI67" s="324"/>
      <c r="AJ67" s="324"/>
      <c r="AK67" s="324"/>
      <c r="AL67" s="324"/>
      <c r="AM67" s="324"/>
      <c r="AN67" s="324"/>
      <c r="AO67" s="324"/>
      <c r="AP67" s="324"/>
      <c r="AQ67" s="324"/>
      <c r="AR67" s="324"/>
      <c r="AS67" s="324"/>
      <c r="AT67" s="324"/>
      <c r="AU67" s="324"/>
      <c r="AV67" s="324"/>
      <c r="AW67" s="324"/>
      <c r="AX67" s="324"/>
      <c r="AY67" s="324"/>
      <c r="AZ67" s="324"/>
      <c r="BA67" s="324"/>
      <c r="BB67" s="324"/>
      <c r="BC67" s="324"/>
      <c r="BD67" s="324"/>
      <c r="BE67" s="324"/>
      <c r="BF67" s="324"/>
      <c r="BG67" s="324"/>
      <c r="BH67" s="324"/>
      <c r="BI67" s="324"/>
      <c r="BJ67" s="324"/>
      <c r="BK67" s="324"/>
      <c r="BL67" s="324"/>
      <c r="BM67" s="324"/>
      <c r="BN67" s="324"/>
      <c r="BO67" s="324"/>
      <c r="BP67" s="324"/>
      <c r="BQ67" s="324"/>
      <c r="BR67" s="324"/>
      <c r="BS67" s="324"/>
      <c r="BT67" s="324"/>
      <c r="BU67" s="324"/>
      <c r="BV67" s="324"/>
      <c r="BW67" s="324"/>
      <c r="BX67" s="324"/>
      <c r="BY67" s="324"/>
      <c r="BZ67" s="324"/>
    </row>
    <row r="68" spans="1:78" ht="16">
      <c r="A68" s="324"/>
      <c r="B68" s="359"/>
      <c r="C68" s="366" t="s">
        <v>614</v>
      </c>
      <c r="D68" s="372">
        <v>9371</v>
      </c>
      <c r="E68" s="324"/>
      <c r="F68" s="359" t="s">
        <v>613</v>
      </c>
      <c r="G68" s="373"/>
      <c r="H68" s="367">
        <f>I82</f>
        <v>0</v>
      </c>
      <c r="I68" s="362"/>
      <c r="J68" s="325"/>
      <c r="K68" s="325"/>
      <c r="L68" s="325"/>
      <c r="M68" s="374" t="s">
        <v>612</v>
      </c>
      <c r="N68" s="375">
        <v>200</v>
      </c>
      <c r="O68" s="376">
        <v>75</v>
      </c>
      <c r="P68" s="377">
        <f>SUM(BS56:BS59)</f>
        <v>22.4</v>
      </c>
      <c r="Q68" s="378">
        <f>+P68/$P$72*100</f>
        <v>11.85812599258867</v>
      </c>
      <c r="R68" s="379"/>
      <c r="Y68" s="379"/>
      <c r="Z68" s="379"/>
      <c r="AA68" s="379"/>
      <c r="AB68" s="379"/>
      <c r="AC68" s="324"/>
      <c r="AD68" s="324"/>
      <c r="AE68" s="379"/>
      <c r="AF68" s="324"/>
      <c r="AG68" s="324"/>
      <c r="AH68" s="324"/>
      <c r="AI68" s="324"/>
      <c r="AJ68" s="324"/>
      <c r="AK68" s="379"/>
      <c r="AL68" s="379"/>
      <c r="AM68" s="324"/>
      <c r="AN68" s="324"/>
      <c r="AO68" s="324"/>
      <c r="AP68" s="324"/>
      <c r="AQ68" s="324"/>
      <c r="AR68" s="324"/>
      <c r="AS68" s="324"/>
      <c r="AT68" s="324"/>
      <c r="AU68" s="324"/>
      <c r="AV68" s="324"/>
      <c r="AW68" s="324"/>
      <c r="AX68" s="324"/>
      <c r="AY68" s="324"/>
      <c r="AZ68" s="324"/>
      <c r="BA68" s="324"/>
      <c r="BB68" s="324"/>
      <c r="BC68" s="324"/>
      <c r="BD68" s="324"/>
      <c r="BE68" s="324"/>
      <c r="BF68" s="324"/>
      <c r="BG68" s="324"/>
      <c r="BH68" s="324"/>
      <c r="BI68" s="324"/>
      <c r="BJ68" s="324"/>
      <c r="BK68" s="324"/>
      <c r="BL68" s="324"/>
      <c r="BM68" s="324"/>
      <c r="BN68" s="324"/>
      <c r="BO68" s="324"/>
      <c r="BP68" s="324"/>
      <c r="BQ68" s="324"/>
      <c r="BR68" s="591" t="s">
        <v>20</v>
      </c>
      <c r="BS68" s="380">
        <f>BX66</f>
        <v>41.469373269496998</v>
      </c>
      <c r="BT68" s="324"/>
      <c r="BU68" s="324"/>
      <c r="BV68" s="324"/>
      <c r="BW68" s="324"/>
      <c r="BX68" s="324"/>
      <c r="BY68" s="324"/>
      <c r="BZ68" s="324"/>
    </row>
    <row r="69" spans="1:78" ht="15" thickBot="1">
      <c r="A69" s="338"/>
      <c r="B69" s="359"/>
      <c r="C69" s="366" t="s">
        <v>611</v>
      </c>
      <c r="D69" s="358">
        <v>77</v>
      </c>
      <c r="E69" s="324"/>
      <c r="F69" s="359" t="s">
        <v>610</v>
      </c>
      <c r="G69" s="373"/>
      <c r="H69" s="367"/>
      <c r="I69" s="362"/>
      <c r="J69" s="324"/>
      <c r="K69" s="324"/>
      <c r="L69" s="324"/>
      <c r="M69" s="381" t="s">
        <v>609</v>
      </c>
      <c r="N69" s="375">
        <v>400</v>
      </c>
      <c r="O69" s="376">
        <v>38</v>
      </c>
      <c r="P69" s="377">
        <f>SUM(BS60:BS62)</f>
        <v>18.399999999999999</v>
      </c>
      <c r="Q69" s="378">
        <f>+P69/$P$72*100</f>
        <v>9.740603493912122</v>
      </c>
      <c r="R69" s="382">
        <v>2</v>
      </c>
      <c r="S69" s="382"/>
      <c r="T69" s="382"/>
      <c r="U69" s="382"/>
      <c r="V69" s="382"/>
      <c r="W69" s="382"/>
      <c r="X69" s="382"/>
      <c r="Y69" s="382"/>
      <c r="Z69" s="382"/>
      <c r="AA69" s="382"/>
      <c r="AB69" s="382"/>
      <c r="AC69" s="382"/>
      <c r="AD69" s="382"/>
      <c r="AE69" s="382"/>
      <c r="AF69" s="382">
        <v>3</v>
      </c>
      <c r="AG69" s="382">
        <v>4</v>
      </c>
      <c r="AH69" s="382">
        <v>5</v>
      </c>
      <c r="AI69" s="382">
        <v>6</v>
      </c>
      <c r="AJ69" s="382">
        <v>7</v>
      </c>
      <c r="AK69" s="382">
        <v>8</v>
      </c>
      <c r="AL69" s="382"/>
      <c r="AM69" s="382"/>
      <c r="AN69" s="382"/>
      <c r="AO69" s="382"/>
      <c r="AP69" s="383"/>
      <c r="AQ69" s="384"/>
      <c r="AR69" s="384"/>
      <c r="AS69" s="384"/>
      <c r="AT69" s="324"/>
      <c r="AU69" s="338"/>
      <c r="AV69" s="338"/>
      <c r="AW69" s="338"/>
      <c r="AX69" s="338"/>
      <c r="AY69" s="338"/>
      <c r="AZ69" s="338"/>
      <c r="BA69" s="338"/>
      <c r="BB69" s="338"/>
      <c r="BC69" s="338"/>
      <c r="BD69" s="385"/>
      <c r="BE69" s="385"/>
      <c r="BF69" s="385"/>
      <c r="BG69" s="385"/>
      <c r="BH69" s="338"/>
      <c r="BI69" s="338"/>
      <c r="BJ69" s="338"/>
      <c r="BK69" s="338"/>
      <c r="BL69" s="338"/>
      <c r="BM69" s="338"/>
      <c r="BN69" s="338"/>
      <c r="BO69" s="338"/>
      <c r="BP69" s="338"/>
      <c r="BQ69" s="338"/>
      <c r="BR69" s="591" t="s">
        <v>63</v>
      </c>
      <c r="BS69" s="380" t="e">
        <f>BY66</f>
        <v>#DIV/0!</v>
      </c>
      <c r="BT69" s="338"/>
      <c r="BU69" s="338"/>
      <c r="BV69" s="338"/>
      <c r="BW69" s="338"/>
      <c r="BX69" s="338"/>
      <c r="BY69" s="338"/>
      <c r="BZ69" s="338"/>
    </row>
    <row r="70" spans="1:78" ht="16">
      <c r="A70" s="338"/>
      <c r="B70" s="359"/>
      <c r="C70" s="366" t="s">
        <v>608</v>
      </c>
      <c r="D70" s="386">
        <f>P63</f>
        <v>0.5</v>
      </c>
      <c r="E70" s="324"/>
      <c r="F70" s="359" t="s">
        <v>607</v>
      </c>
      <c r="G70" s="373"/>
      <c r="H70" s="387"/>
      <c r="I70" s="362"/>
      <c r="J70" s="324"/>
      <c r="K70" s="324"/>
      <c r="L70" s="324"/>
      <c r="M70" s="381"/>
      <c r="N70" s="375">
        <v>635</v>
      </c>
      <c r="O70" s="376">
        <v>20</v>
      </c>
      <c r="P70" s="377">
        <f>SUM(BS63:BS64)</f>
        <v>14.2</v>
      </c>
      <c r="Q70" s="388">
        <f>+P70/$P$72*100</f>
        <v>7.5172048703017467</v>
      </c>
      <c r="R70" s="389" t="s">
        <v>606</v>
      </c>
      <c r="S70" s="390"/>
      <c r="T70" s="390"/>
      <c r="U70" s="390"/>
      <c r="V70" s="390"/>
      <c r="W70" s="390"/>
      <c r="X70" s="390"/>
      <c r="Y70" s="390"/>
      <c r="Z70" s="390"/>
      <c r="AA70" s="390"/>
      <c r="AB70" s="390"/>
      <c r="AC70" s="390"/>
      <c r="AD70" s="390"/>
      <c r="AE70" s="390"/>
      <c r="AF70" s="335" t="s">
        <v>595</v>
      </c>
      <c r="AG70" s="391"/>
      <c r="AH70" s="391"/>
      <c r="AI70" s="391"/>
      <c r="AJ70" s="391"/>
      <c r="AK70" s="391"/>
      <c r="AL70" s="391"/>
      <c r="AM70" s="349"/>
      <c r="AN70" s="349"/>
      <c r="AO70" s="349"/>
      <c r="AP70" s="349"/>
      <c r="AQ70" s="349"/>
      <c r="AR70" s="349"/>
      <c r="AS70" s="349"/>
      <c r="AT70" s="350"/>
      <c r="AU70" s="392" t="s">
        <v>594</v>
      </c>
      <c r="AV70" s="393"/>
      <c r="AW70" s="393"/>
      <c r="AX70" s="393"/>
      <c r="AY70" s="393"/>
      <c r="AZ70" s="393"/>
      <c r="BA70" s="393"/>
      <c r="BB70" s="394"/>
      <c r="BC70" s="394"/>
      <c r="BD70" s="394"/>
      <c r="BE70" s="394"/>
      <c r="BF70" s="394"/>
      <c r="BG70" s="394"/>
      <c r="BH70" s="394"/>
      <c r="BI70" s="395"/>
      <c r="BJ70" s="338"/>
      <c r="BK70" s="338"/>
      <c r="BL70" s="338"/>
      <c r="BM70" s="338"/>
      <c r="BN70" s="338"/>
      <c r="BO70" s="338"/>
      <c r="BP70" s="338"/>
      <c r="BQ70" s="338"/>
      <c r="BR70" s="338"/>
      <c r="BS70" s="338"/>
      <c r="BT70" s="338"/>
      <c r="BU70" s="338"/>
      <c r="BV70" s="338"/>
      <c r="BW70" s="338"/>
      <c r="BX70" s="338"/>
      <c r="BY70" s="338"/>
      <c r="BZ70" s="338"/>
    </row>
    <row r="71" spans="1:78" ht="15" thickBot="1">
      <c r="A71" s="338"/>
      <c r="B71" s="324"/>
      <c r="C71" s="324"/>
      <c r="D71" s="324"/>
      <c r="E71" s="324"/>
      <c r="F71" s="359" t="s">
        <v>605</v>
      </c>
      <c r="G71" s="373"/>
      <c r="H71" s="387"/>
      <c r="I71" s="362"/>
      <c r="J71" s="324"/>
      <c r="K71" s="324"/>
      <c r="L71" s="324"/>
      <c r="M71" s="396"/>
      <c r="N71" s="397" t="s">
        <v>604</v>
      </c>
      <c r="O71" s="398">
        <v>0</v>
      </c>
      <c r="P71" s="399">
        <f>SUM(BS65)</f>
        <v>133.9</v>
      </c>
      <c r="Q71" s="400">
        <f>+P71/$P$72*100</f>
        <v>70.884065643197459</v>
      </c>
      <c r="R71" s="401"/>
      <c r="S71" s="402"/>
      <c r="T71" s="403"/>
      <c r="U71" s="402"/>
      <c r="V71" s="402"/>
      <c r="W71" s="402"/>
      <c r="X71" s="402"/>
      <c r="Y71" s="402"/>
      <c r="Z71" s="402"/>
      <c r="AA71" s="402"/>
      <c r="AB71" s="402"/>
      <c r="AC71" s="402"/>
      <c r="AD71" s="402"/>
      <c r="AE71" s="401"/>
      <c r="AF71" s="404" t="s">
        <v>1</v>
      </c>
      <c r="AG71" s="405" t="s">
        <v>17</v>
      </c>
      <c r="AH71" s="406" t="s">
        <v>52</v>
      </c>
      <c r="AI71" s="406" t="s">
        <v>0</v>
      </c>
      <c r="AJ71" s="405"/>
      <c r="AK71" s="405"/>
      <c r="AL71" s="402"/>
      <c r="AM71" s="402"/>
      <c r="AN71" s="402"/>
      <c r="AO71" s="407"/>
      <c r="AP71" s="402"/>
      <c r="AQ71" s="407"/>
      <c r="AR71" s="407"/>
      <c r="AS71" s="407"/>
      <c r="AT71" s="407"/>
      <c r="AU71" s="408"/>
      <c r="AV71" s="407"/>
      <c r="AW71" s="407"/>
      <c r="AX71" s="407"/>
      <c r="AY71" s="402"/>
      <c r="AZ71" s="402"/>
      <c r="BA71" s="402"/>
      <c r="BB71" s="402"/>
      <c r="BC71" s="402"/>
      <c r="BD71" s="402"/>
      <c r="BE71" s="402"/>
      <c r="BF71" s="402"/>
      <c r="BG71" s="402"/>
      <c r="BH71" s="402"/>
      <c r="BI71" s="402"/>
      <c r="BJ71" s="409" t="s">
        <v>589</v>
      </c>
      <c r="BK71" s="409" t="s">
        <v>590</v>
      </c>
      <c r="BR71" s="338"/>
      <c r="BS71" s="338"/>
      <c r="BT71" s="338"/>
      <c r="BU71" s="338"/>
      <c r="BV71" s="338"/>
      <c r="BW71" s="338"/>
      <c r="BX71" s="338"/>
      <c r="BY71" s="338"/>
      <c r="BZ71" s="338"/>
    </row>
    <row r="72" spans="1:78" ht="15.5" thickTop="1" thickBot="1">
      <c r="A72" s="338"/>
      <c r="B72" s="324"/>
      <c r="C72" s="324"/>
      <c r="D72" s="324"/>
      <c r="E72" s="324"/>
      <c r="F72" s="324"/>
      <c r="G72" s="324"/>
      <c r="H72" s="324"/>
      <c r="I72" s="324"/>
      <c r="J72" s="324"/>
      <c r="K72" s="324"/>
      <c r="L72" s="324"/>
      <c r="M72" s="324"/>
      <c r="N72" s="410" t="s">
        <v>603</v>
      </c>
      <c r="O72" s="411"/>
      <c r="P72" s="412">
        <f>SUM(P68:P71)</f>
        <v>188.9</v>
      </c>
      <c r="Q72" s="413">
        <f>+P72/$P$72*100</f>
        <v>100</v>
      </c>
      <c r="R72" s="414">
        <v>0</v>
      </c>
      <c r="S72" s="415"/>
      <c r="T72" s="416"/>
      <c r="U72" s="417"/>
      <c r="V72" s="417"/>
      <c r="W72" s="417"/>
      <c r="X72" s="417"/>
      <c r="Y72" s="417"/>
      <c r="Z72" s="417"/>
      <c r="AA72" s="417"/>
      <c r="AB72" s="417"/>
      <c r="AC72" s="417"/>
      <c r="AD72" s="417"/>
      <c r="AE72" s="418"/>
      <c r="AF72" s="595">
        <v>3.5674949387320192</v>
      </c>
      <c r="AG72" s="595">
        <v>6.2351607174569361</v>
      </c>
      <c r="AH72" s="595">
        <v>7.3584940507902692</v>
      </c>
      <c r="AI72" s="596">
        <v>4.7957485348961111E-2</v>
      </c>
      <c r="AJ72" s="595">
        <v>0</v>
      </c>
      <c r="AK72" s="595">
        <v>0</v>
      </c>
      <c r="AL72" s="421" t="e" vm="1">
        <f t="shared" ref="AL72:BI72" si="24">+VLOOKUP($BQ78,aquimicos,AL$69,FALSE)</f>
        <v>#VALUE!</v>
      </c>
      <c r="AM72" s="421" t="e" vm="1">
        <f t="shared" si="24"/>
        <v>#VALUE!</v>
      </c>
      <c r="AN72" s="421" t="e" vm="1">
        <f t="shared" si="24"/>
        <v>#VALUE!</v>
      </c>
      <c r="AO72" s="421" t="e" vm="1">
        <f t="shared" si="24"/>
        <v>#VALUE!</v>
      </c>
      <c r="AP72" s="421" t="e" vm="1">
        <f t="shared" si="24"/>
        <v>#VALUE!</v>
      </c>
      <c r="AQ72" s="421" t="e" vm="1">
        <f t="shared" si="24"/>
        <v>#VALUE!</v>
      </c>
      <c r="AR72" s="421" t="e" vm="1">
        <f t="shared" si="24"/>
        <v>#VALUE!</v>
      </c>
      <c r="AS72" s="421" t="e" vm="1">
        <f t="shared" si="24"/>
        <v>#VALUE!</v>
      </c>
      <c r="AT72" s="421" t="e" vm="1">
        <f t="shared" si="24"/>
        <v>#VALUE!</v>
      </c>
      <c r="AU72" s="422" t="e" vm="1">
        <f t="shared" si="24"/>
        <v>#VALUE!</v>
      </c>
      <c r="AV72" s="422" t="e" vm="1">
        <f t="shared" si="24"/>
        <v>#VALUE!</v>
      </c>
      <c r="AW72" s="422" t="e" vm="1">
        <f t="shared" si="24"/>
        <v>#VALUE!</v>
      </c>
      <c r="AX72" s="423" t="e" vm="1">
        <f t="shared" si="24"/>
        <v>#VALUE!</v>
      </c>
      <c r="AY72" s="422" t="e" vm="1">
        <f t="shared" si="24"/>
        <v>#VALUE!</v>
      </c>
      <c r="AZ72" s="422" t="e" vm="1">
        <f t="shared" si="24"/>
        <v>#VALUE!</v>
      </c>
      <c r="BA72" s="422" t="e" vm="1">
        <f t="shared" si="24"/>
        <v>#VALUE!</v>
      </c>
      <c r="BB72" s="422" t="e" vm="1">
        <f t="shared" si="24"/>
        <v>#VALUE!</v>
      </c>
      <c r="BC72" s="422" t="e" vm="1">
        <f t="shared" si="24"/>
        <v>#VALUE!</v>
      </c>
      <c r="BD72" s="422" t="e" vm="1">
        <f t="shared" si="24"/>
        <v>#VALUE!</v>
      </c>
      <c r="BE72" s="422" t="e" vm="1">
        <f t="shared" si="24"/>
        <v>#VALUE!</v>
      </c>
      <c r="BF72" s="422" t="e" vm="1">
        <f t="shared" si="24"/>
        <v>#VALUE!</v>
      </c>
      <c r="BG72" s="422" t="e" vm="1">
        <f t="shared" si="24"/>
        <v>#VALUE!</v>
      </c>
      <c r="BH72" s="422" t="e" vm="1">
        <f t="shared" si="24"/>
        <v>#VALUE!</v>
      </c>
      <c r="BI72" s="422" t="e" vm="1">
        <f t="shared" si="24"/>
        <v>#VALUE!</v>
      </c>
      <c r="BJ72" s="424"/>
      <c r="BK72" s="424"/>
      <c r="BR72" s="338"/>
      <c r="BS72" s="338"/>
      <c r="BT72" s="338"/>
      <c r="BU72" s="338"/>
      <c r="BV72" s="338"/>
      <c r="BW72" s="338"/>
      <c r="BX72" s="338"/>
      <c r="BY72" s="338"/>
      <c r="BZ72" s="338"/>
    </row>
    <row r="73" spans="1:78">
      <c r="A73" s="338"/>
      <c r="B73" s="324"/>
      <c r="C73" s="324"/>
      <c r="D73" s="324"/>
      <c r="E73" s="324"/>
      <c r="F73" s="324"/>
      <c r="G73" s="324"/>
      <c r="H73" s="324"/>
      <c r="I73" s="324"/>
      <c r="J73" s="324"/>
      <c r="K73" s="324"/>
      <c r="L73" s="324"/>
      <c r="M73" s="324"/>
      <c r="N73" s="324"/>
      <c r="O73" s="324"/>
      <c r="P73" s="324"/>
      <c r="Q73" s="324"/>
      <c r="R73" s="324"/>
      <c r="S73" s="324"/>
      <c r="T73" s="324"/>
      <c r="U73" s="324"/>
      <c r="V73" s="324"/>
      <c r="W73" s="324"/>
      <c r="X73" s="324"/>
      <c r="Y73" s="324"/>
      <c r="Z73" s="324"/>
      <c r="AA73" s="324"/>
      <c r="AB73" s="324"/>
      <c r="AC73" s="324"/>
      <c r="AD73" s="324"/>
      <c r="AE73" s="324"/>
      <c r="AF73" s="324"/>
      <c r="AG73" s="324"/>
      <c r="AH73" s="324"/>
      <c r="AI73" s="324"/>
      <c r="AJ73" s="324"/>
      <c r="AK73" s="324"/>
      <c r="AL73" s="324"/>
      <c r="AM73" s="324"/>
      <c r="AN73" s="324"/>
      <c r="AO73" s="324"/>
      <c r="AP73" s="324"/>
      <c r="AQ73" s="324"/>
      <c r="AR73" s="324"/>
      <c r="AS73" s="324"/>
      <c r="AT73" s="324"/>
      <c r="AU73" s="324"/>
      <c r="AV73" s="324"/>
      <c r="AW73" s="324"/>
      <c r="AX73" s="324"/>
      <c r="AY73" s="324"/>
      <c r="AZ73" s="324"/>
      <c r="BA73" s="324"/>
      <c r="BB73" s="324"/>
      <c r="BC73" s="324"/>
      <c r="BD73" s="324"/>
      <c r="BE73" s="324"/>
      <c r="BF73" s="324"/>
      <c r="BG73" s="324"/>
      <c r="BH73" s="324"/>
      <c r="BI73" s="324"/>
      <c r="BN73" s="338"/>
      <c r="BO73" s="338"/>
      <c r="BP73" s="338"/>
      <c r="BQ73" s="338"/>
      <c r="BR73" s="338"/>
      <c r="BS73" s="338"/>
      <c r="BT73" s="338"/>
      <c r="BU73" s="338"/>
      <c r="BV73" s="338"/>
      <c r="BW73" s="338"/>
      <c r="BX73" s="338"/>
      <c r="BY73" s="338"/>
      <c r="BZ73" s="338"/>
    </row>
    <row r="74" spans="1:78" ht="16">
      <c r="A74" s="338"/>
      <c r="B74" s="324"/>
      <c r="C74" s="324"/>
      <c r="D74" s="425"/>
      <c r="E74" s="426" t="s">
        <v>602</v>
      </c>
      <c r="F74" s="349"/>
      <c r="G74" s="349"/>
      <c r="H74" s="349"/>
      <c r="I74" s="349"/>
      <c r="J74" s="349"/>
      <c r="K74" s="349"/>
      <c r="L74" s="349"/>
      <c r="M74" s="350"/>
      <c r="N74" s="338"/>
      <c r="O74" s="338"/>
      <c r="P74" s="338"/>
      <c r="Q74" s="338"/>
      <c r="R74" s="338"/>
      <c r="S74" s="338"/>
      <c r="T74" s="338"/>
      <c r="U74" s="338"/>
      <c r="V74" s="338"/>
      <c r="W74" s="338"/>
      <c r="X74" s="338"/>
      <c r="Y74" s="338"/>
      <c r="Z74" s="338"/>
      <c r="AA74" s="338"/>
      <c r="AB74" s="338"/>
      <c r="AC74" s="338"/>
      <c r="AD74" s="338"/>
      <c r="AE74" s="338"/>
      <c r="AF74" s="338"/>
      <c r="AG74" s="338"/>
      <c r="AH74" s="338"/>
      <c r="AI74" s="338"/>
      <c r="AJ74" s="338"/>
      <c r="AK74" s="338"/>
      <c r="AL74" s="338"/>
      <c r="AM74" s="338"/>
      <c r="AN74" s="338"/>
      <c r="AO74" s="338"/>
      <c r="AP74" s="338"/>
      <c r="AQ74" s="338"/>
      <c r="AR74" s="338"/>
      <c r="AS74" s="338"/>
      <c r="AT74" s="338"/>
      <c r="AU74" s="338"/>
      <c r="AV74" s="338"/>
      <c r="AW74" s="338"/>
      <c r="AX74" s="338"/>
      <c r="AY74" s="338"/>
      <c r="AZ74" s="338"/>
      <c r="BA74" s="338"/>
      <c r="BB74" s="338"/>
      <c r="BC74" s="338"/>
      <c r="BD74" s="338"/>
      <c r="BE74" s="338"/>
      <c r="BF74" s="338"/>
      <c r="BG74" s="338"/>
      <c r="BH74" s="338"/>
      <c r="BI74" s="338"/>
      <c r="BJ74" s="338"/>
      <c r="BK74" s="338"/>
      <c r="BL74" s="338"/>
      <c r="BN74" s="338"/>
      <c r="BO74" s="338"/>
      <c r="BP74" s="338"/>
      <c r="BQ74" s="338"/>
      <c r="BR74" s="338"/>
      <c r="BS74" s="338"/>
      <c r="BT74" s="338"/>
      <c r="BU74" s="338"/>
      <c r="BV74" s="338"/>
      <c r="BW74" s="338"/>
      <c r="BX74" s="338"/>
      <c r="BY74" s="338"/>
      <c r="BZ74" s="338"/>
    </row>
    <row r="75" spans="1:78" ht="15" thickBot="1">
      <c r="A75" s="338"/>
      <c r="B75" s="339" t="s">
        <v>600</v>
      </c>
      <c r="C75" s="427" t="s">
        <v>601</v>
      </c>
      <c r="D75" s="428" t="str">
        <f>D62</f>
        <v>pH</v>
      </c>
      <c r="E75" s="427" t="str">
        <f>E62</f>
        <v>eH, mV</v>
      </c>
      <c r="F75" s="429" t="str">
        <f>F62</f>
        <v>CaO</v>
      </c>
      <c r="G75" s="429" t="str">
        <f>G62</f>
        <v>Matcol 715</v>
      </c>
      <c r="H75" s="429" t="str">
        <f>H62</f>
        <v>FP 650</v>
      </c>
      <c r="I75" s="427">
        <f>+G68</f>
        <v>0</v>
      </c>
      <c r="J75" s="427">
        <f>+G69</f>
        <v>0</v>
      </c>
      <c r="K75" s="427">
        <f>+G70</f>
        <v>0</v>
      </c>
      <c r="L75" s="427">
        <f>+G71</f>
        <v>0</v>
      </c>
      <c r="M75" s="430" t="s">
        <v>600</v>
      </c>
      <c r="N75" s="324"/>
      <c r="O75" s="324"/>
      <c r="P75" s="324"/>
      <c r="Q75" s="324"/>
      <c r="R75" s="324"/>
      <c r="S75" s="324"/>
      <c r="T75" s="324"/>
      <c r="U75" s="324"/>
      <c r="V75" s="324"/>
      <c r="W75" s="324"/>
      <c r="X75" s="324"/>
      <c r="Y75" s="324"/>
      <c r="Z75" s="324"/>
      <c r="AA75" s="324"/>
      <c r="AB75" s="324"/>
      <c r="AC75" s="324"/>
      <c r="AD75" s="324"/>
      <c r="AE75" s="324"/>
      <c r="AF75" s="324"/>
      <c r="AG75" s="324"/>
      <c r="AH75" s="324"/>
      <c r="AI75" s="324"/>
      <c r="AJ75" s="324"/>
      <c r="AK75" s="324"/>
      <c r="AL75" s="324"/>
      <c r="AM75" s="324"/>
      <c r="AN75" s="324"/>
      <c r="AO75" s="324"/>
      <c r="AP75" s="324"/>
      <c r="AQ75" s="324"/>
      <c r="AR75" s="324"/>
      <c r="AS75" s="324"/>
      <c r="AT75" s="324"/>
      <c r="AU75" s="324"/>
      <c r="AV75" s="324"/>
      <c r="AW75" s="324"/>
      <c r="AX75" s="324"/>
      <c r="AY75" s="324"/>
      <c r="AZ75" s="324"/>
      <c r="BA75" s="324"/>
      <c r="BB75" s="324"/>
      <c r="BC75" s="324"/>
      <c r="BD75" s="324"/>
      <c r="BE75" s="324"/>
      <c r="BF75" s="324"/>
      <c r="BG75" s="324"/>
      <c r="BH75" s="324"/>
      <c r="BI75" s="324"/>
      <c r="BM75" s="338"/>
      <c r="BN75" s="338"/>
      <c r="BO75" s="338"/>
      <c r="BP75" s="338"/>
      <c r="BQ75" s="338"/>
      <c r="BR75" s="338"/>
      <c r="BS75" s="338"/>
      <c r="BT75" s="338"/>
      <c r="BU75" s="338"/>
      <c r="BV75" s="338"/>
      <c r="BW75" s="338"/>
      <c r="BX75" s="338"/>
      <c r="BY75" s="338"/>
      <c r="BZ75" s="338"/>
    </row>
    <row r="76" spans="1:78" ht="16.5" thickBot="1">
      <c r="A76" s="338"/>
      <c r="B76" s="431"/>
      <c r="C76" s="432"/>
      <c r="D76" s="432"/>
      <c r="E76" s="433"/>
      <c r="F76" s="433"/>
      <c r="G76" s="434"/>
      <c r="H76" s="433"/>
      <c r="I76" s="435"/>
      <c r="J76" s="432"/>
      <c r="K76" s="436"/>
      <c r="L76" s="436"/>
      <c r="M76" s="437"/>
      <c r="N76" s="438" t="s">
        <v>599</v>
      </c>
      <c r="O76" s="439" t="s">
        <v>598</v>
      </c>
      <c r="P76" s="439" t="s">
        <v>597</v>
      </c>
      <c r="Q76" s="440" t="s">
        <v>556</v>
      </c>
      <c r="R76" s="335" t="s">
        <v>596</v>
      </c>
      <c r="S76" s="349"/>
      <c r="T76" s="349"/>
      <c r="U76" s="349"/>
      <c r="V76" s="349"/>
      <c r="W76" s="349"/>
      <c r="X76" s="349"/>
      <c r="Y76" s="349"/>
      <c r="Z76" s="349"/>
      <c r="AA76" s="349"/>
      <c r="AB76" s="349"/>
      <c r="AC76" s="349"/>
      <c r="AD76" s="349"/>
      <c r="AE76" s="349"/>
      <c r="AF76" s="335" t="s">
        <v>595</v>
      </c>
      <c r="AG76" s="349"/>
      <c r="AH76" s="349"/>
      <c r="AI76" s="349"/>
      <c r="AJ76" s="349"/>
      <c r="AK76" s="349"/>
      <c r="AL76" s="349"/>
      <c r="AM76" s="336"/>
      <c r="AN76" s="349"/>
      <c r="AO76" s="349"/>
      <c r="AP76" s="349"/>
      <c r="AQ76" s="336"/>
      <c r="AR76" s="349"/>
      <c r="AS76" s="349"/>
      <c r="AT76" s="350"/>
      <c r="AU76" s="392" t="s">
        <v>594</v>
      </c>
      <c r="AV76" s="394"/>
      <c r="AW76" s="394"/>
      <c r="AX76" s="394"/>
      <c r="AY76" s="394"/>
      <c r="AZ76" s="394"/>
      <c r="BA76" s="394"/>
      <c r="BB76" s="394"/>
      <c r="BC76" s="394"/>
      <c r="BD76" s="394"/>
      <c r="BE76" s="394"/>
      <c r="BF76" s="394"/>
      <c r="BG76" s="394"/>
      <c r="BH76" s="394"/>
      <c r="BI76" s="394"/>
      <c r="BM76" s="338"/>
      <c r="BR76" s="338"/>
      <c r="BS76" s="338"/>
      <c r="BT76" s="338"/>
      <c r="BU76" s="338"/>
      <c r="BV76" s="338"/>
      <c r="BW76" s="338"/>
      <c r="BX76" s="338"/>
      <c r="BY76" s="338"/>
      <c r="BZ76" s="338"/>
    </row>
    <row r="77" spans="1:78" ht="15.5" thickTop="1" thickBot="1">
      <c r="A77" s="338"/>
      <c r="B77" s="431" t="s">
        <v>593</v>
      </c>
      <c r="C77" s="432">
        <v>1</v>
      </c>
      <c r="D77" s="432">
        <v>11.33</v>
      </c>
      <c r="E77" s="433">
        <v>-20.8</v>
      </c>
      <c r="F77" s="433">
        <f>(H88*10%)/($O$86/1000000)</f>
        <v>2166.5778724915649</v>
      </c>
      <c r="G77" s="434">
        <v>6</v>
      </c>
      <c r="H77" s="434"/>
      <c r="I77" s="435"/>
      <c r="J77" s="441"/>
      <c r="K77" s="442"/>
      <c r="L77" s="442"/>
      <c r="M77" s="437"/>
      <c r="N77" s="443" t="s">
        <v>556</v>
      </c>
      <c r="O77" s="444" t="s">
        <v>556</v>
      </c>
      <c r="P77" s="444" t="s">
        <v>592</v>
      </c>
      <c r="Q77" s="445" t="s">
        <v>591</v>
      </c>
      <c r="R77" s="446">
        <f t="shared" ref="R77:BI77" si="25">R$71</f>
        <v>0</v>
      </c>
      <c r="S77" s="447">
        <f t="shared" si="25"/>
        <v>0</v>
      </c>
      <c r="T77" s="447">
        <f t="shared" si="25"/>
        <v>0</v>
      </c>
      <c r="U77" s="448">
        <f t="shared" si="25"/>
        <v>0</v>
      </c>
      <c r="V77" s="448">
        <f t="shared" si="25"/>
        <v>0</v>
      </c>
      <c r="W77" s="448">
        <f t="shared" si="25"/>
        <v>0</v>
      </c>
      <c r="X77" s="448">
        <f t="shared" si="25"/>
        <v>0</v>
      </c>
      <c r="Y77" s="448">
        <f t="shared" si="25"/>
        <v>0</v>
      </c>
      <c r="Z77" s="448">
        <f t="shared" si="25"/>
        <v>0</v>
      </c>
      <c r="AA77" s="448">
        <f t="shared" si="25"/>
        <v>0</v>
      </c>
      <c r="AB77" s="448">
        <f t="shared" si="25"/>
        <v>0</v>
      </c>
      <c r="AC77" s="448">
        <f t="shared" si="25"/>
        <v>0</v>
      </c>
      <c r="AD77" s="448">
        <f t="shared" si="25"/>
        <v>0</v>
      </c>
      <c r="AE77" s="449">
        <f t="shared" si="25"/>
        <v>0</v>
      </c>
      <c r="AF77" s="446" t="str">
        <f t="shared" si="25"/>
        <v>Cu</v>
      </c>
      <c r="AG77" s="446" t="str">
        <f t="shared" si="25"/>
        <v>Fe</v>
      </c>
      <c r="AH77" s="446" t="str">
        <f t="shared" si="25"/>
        <v>S</v>
      </c>
      <c r="AI77" s="446" t="str">
        <f t="shared" si="25"/>
        <v>Mo</v>
      </c>
      <c r="AJ77" s="446">
        <f t="shared" si="25"/>
        <v>0</v>
      </c>
      <c r="AK77" s="446">
        <f t="shared" si="25"/>
        <v>0</v>
      </c>
      <c r="AL77" s="450">
        <f t="shared" si="25"/>
        <v>0</v>
      </c>
      <c r="AM77" s="450">
        <f t="shared" si="25"/>
        <v>0</v>
      </c>
      <c r="AN77" s="450">
        <f t="shared" si="25"/>
        <v>0</v>
      </c>
      <c r="AO77" s="450">
        <f t="shared" si="25"/>
        <v>0</v>
      </c>
      <c r="AP77" s="450">
        <f t="shared" si="25"/>
        <v>0</v>
      </c>
      <c r="AQ77" s="450">
        <f t="shared" si="25"/>
        <v>0</v>
      </c>
      <c r="AR77" s="450">
        <f t="shared" si="25"/>
        <v>0</v>
      </c>
      <c r="AS77" s="450">
        <f t="shared" si="25"/>
        <v>0</v>
      </c>
      <c r="AT77" s="450">
        <f t="shared" si="25"/>
        <v>0</v>
      </c>
      <c r="AU77" s="448">
        <f t="shared" si="25"/>
        <v>0</v>
      </c>
      <c r="AV77" s="447">
        <f t="shared" si="25"/>
        <v>0</v>
      </c>
      <c r="AW77" s="447">
        <f t="shared" si="25"/>
        <v>0</v>
      </c>
      <c r="AX77" s="447">
        <f t="shared" si="25"/>
        <v>0</v>
      </c>
      <c r="AY77" s="447">
        <f t="shared" si="25"/>
        <v>0</v>
      </c>
      <c r="AZ77" s="447">
        <f t="shared" si="25"/>
        <v>0</v>
      </c>
      <c r="BA77" s="447">
        <f t="shared" si="25"/>
        <v>0</v>
      </c>
      <c r="BB77" s="447">
        <f t="shared" si="25"/>
        <v>0</v>
      </c>
      <c r="BC77" s="447">
        <f t="shared" si="25"/>
        <v>0</v>
      </c>
      <c r="BD77" s="447">
        <f t="shared" si="25"/>
        <v>0</v>
      </c>
      <c r="BE77" s="447">
        <f t="shared" si="25"/>
        <v>0</v>
      </c>
      <c r="BF77" s="447">
        <f t="shared" si="25"/>
        <v>0</v>
      </c>
      <c r="BG77" s="447">
        <f t="shared" si="25"/>
        <v>0</v>
      </c>
      <c r="BH77" s="447">
        <f t="shared" si="25"/>
        <v>0</v>
      </c>
      <c r="BI77" s="447">
        <f t="shared" si="25"/>
        <v>0</v>
      </c>
      <c r="BJ77" s="409" t="s">
        <v>589</v>
      </c>
      <c r="BK77" s="409" t="s">
        <v>590</v>
      </c>
      <c r="BM77" s="338"/>
      <c r="BO77" s="451" t="s">
        <v>589</v>
      </c>
      <c r="BP77" s="597" t="s">
        <v>588</v>
      </c>
      <c r="BQ77" s="453" t="s">
        <v>587</v>
      </c>
      <c r="BR77" s="338"/>
      <c r="BS77" s="338"/>
      <c r="BT77" s="338"/>
      <c r="BU77" s="338"/>
      <c r="BV77" s="338"/>
      <c r="BW77" s="338"/>
      <c r="BX77" s="338"/>
      <c r="BY77" s="338"/>
      <c r="BZ77" s="338"/>
    </row>
    <row r="78" spans="1:78" ht="16.5" thickTop="1">
      <c r="A78" s="338"/>
      <c r="B78" s="454" t="s">
        <v>586</v>
      </c>
      <c r="C78" s="455">
        <v>0.75</v>
      </c>
      <c r="D78" s="456">
        <v>11.3</v>
      </c>
      <c r="E78" s="456">
        <v>-17.899999999999999</v>
      </c>
      <c r="F78" s="456">
        <f>(H89*10%)/($O$86/1000000)</f>
        <v>0</v>
      </c>
      <c r="G78" s="457"/>
      <c r="H78" s="457"/>
      <c r="I78" s="458"/>
      <c r="J78" s="456"/>
      <c r="K78" s="455"/>
      <c r="L78" s="455"/>
      <c r="M78" s="459" t="s">
        <v>585</v>
      </c>
      <c r="N78" s="460">
        <f>+BP79-BK78</f>
        <v>310.7</v>
      </c>
      <c r="O78" s="461">
        <v>77.599999999999994</v>
      </c>
      <c r="P78" s="413">
        <f>O78/N78*100</f>
        <v>24.975860959124557</v>
      </c>
      <c r="Q78" s="413">
        <f t="shared" ref="Q78:Q83" si="26">O78/$O$86*100</f>
        <v>13.780855975847986</v>
      </c>
      <c r="R78" s="462">
        <v>0</v>
      </c>
      <c r="S78" s="463"/>
      <c r="T78" s="463"/>
      <c r="U78" s="464"/>
      <c r="V78" s="465"/>
      <c r="W78" s="465"/>
      <c r="X78" s="465"/>
      <c r="Y78" s="465"/>
      <c r="Z78" s="465"/>
      <c r="AA78" s="465"/>
      <c r="AB78" s="465"/>
      <c r="AC78" s="465"/>
      <c r="AD78" s="465"/>
      <c r="AE78" s="466"/>
      <c r="AF78" s="598">
        <v>19.63</v>
      </c>
      <c r="AG78" s="599">
        <v>23.1</v>
      </c>
      <c r="AH78" s="600">
        <v>30.34</v>
      </c>
      <c r="AI78" s="601">
        <v>7.1099999999999997E-2</v>
      </c>
      <c r="AJ78" s="600">
        <v>0</v>
      </c>
      <c r="AK78" s="600">
        <v>0</v>
      </c>
      <c r="AL78" s="471"/>
      <c r="AM78" s="471"/>
      <c r="AN78" s="471"/>
      <c r="AO78" s="471"/>
      <c r="AP78" s="471"/>
      <c r="AQ78" s="471"/>
      <c r="AR78" s="472"/>
      <c r="AS78" s="472"/>
      <c r="AT78" s="473"/>
      <c r="AU78" s="471"/>
      <c r="AV78" s="471"/>
      <c r="AW78" s="471"/>
      <c r="AX78" s="471"/>
      <c r="AY78" s="471"/>
      <c r="AZ78" s="471"/>
      <c r="BA78" s="471"/>
      <c r="BB78" s="471"/>
      <c r="BC78" s="471"/>
      <c r="BD78" s="471"/>
      <c r="BE78" s="471"/>
      <c r="BF78" s="471"/>
      <c r="BG78" s="471"/>
      <c r="BH78" s="471"/>
      <c r="BI78" s="471"/>
      <c r="BJ78" s="474" t="s">
        <v>584</v>
      </c>
      <c r="BK78" s="475">
        <v>385.7</v>
      </c>
      <c r="BM78" s="338"/>
      <c r="BO78" s="476" t="s">
        <v>532</v>
      </c>
      <c r="BP78" s="477"/>
      <c r="BQ78" s="478" t="s">
        <v>545</v>
      </c>
      <c r="BR78" s="338"/>
      <c r="BS78" s="338"/>
      <c r="BT78" s="338"/>
      <c r="BU78" s="338"/>
      <c r="BV78" s="338"/>
      <c r="BW78" s="338"/>
      <c r="BX78" s="338"/>
      <c r="BY78" s="338"/>
      <c r="BZ78" s="338"/>
    </row>
    <row r="79" spans="1:78" ht="16">
      <c r="A79" s="338"/>
      <c r="B79" s="454" t="s">
        <v>583</v>
      </c>
      <c r="C79" s="455">
        <v>2</v>
      </c>
      <c r="D79" s="456">
        <v>11.32</v>
      </c>
      <c r="E79" s="456">
        <v>-17.399999999999999</v>
      </c>
      <c r="F79" s="456">
        <f>(H90*10%)/($O$86/1000000)</f>
        <v>177.58835020422666</v>
      </c>
      <c r="G79" s="457"/>
      <c r="H79" s="457"/>
      <c r="I79" s="458"/>
      <c r="J79" s="479"/>
      <c r="K79" s="455"/>
      <c r="L79" s="455"/>
      <c r="M79" s="459" t="s">
        <v>582</v>
      </c>
      <c r="N79" s="460">
        <f>+BP80-BK79</f>
        <v>558.30000000000007</v>
      </c>
      <c r="O79" s="461">
        <v>35.299999999999997</v>
      </c>
      <c r="P79" s="413">
        <f>O79/N79*100</f>
        <v>6.3227655382410877</v>
      </c>
      <c r="Q79" s="413">
        <f t="shared" si="26"/>
        <v>6.2688687622091992</v>
      </c>
      <c r="R79" s="462">
        <v>0</v>
      </c>
      <c r="S79" s="463"/>
      <c r="T79" s="463"/>
      <c r="U79" s="464"/>
      <c r="V79" s="465"/>
      <c r="W79" s="465"/>
      <c r="X79" s="465"/>
      <c r="Y79" s="465"/>
      <c r="Z79" s="465"/>
      <c r="AA79" s="465"/>
      <c r="AB79" s="465"/>
      <c r="AC79" s="465"/>
      <c r="AD79" s="465"/>
      <c r="AE79" s="466"/>
      <c r="AF79" s="598">
        <v>5.39</v>
      </c>
      <c r="AG79" s="599">
        <v>7.5</v>
      </c>
      <c r="AH79" s="600">
        <v>9.07</v>
      </c>
      <c r="AI79" s="601">
        <v>6.5600000000000006E-2</v>
      </c>
      <c r="AJ79" s="600">
        <v>0</v>
      </c>
      <c r="AK79" s="600">
        <v>0</v>
      </c>
      <c r="AL79" s="471"/>
      <c r="AM79" s="471"/>
      <c r="AN79" s="471"/>
      <c r="AO79" s="471"/>
      <c r="AP79" s="471"/>
      <c r="AQ79" s="471"/>
      <c r="AR79" s="472"/>
      <c r="AS79" s="472"/>
      <c r="AT79" s="473"/>
      <c r="AU79" s="471"/>
      <c r="AV79" s="471"/>
      <c r="AW79" s="471"/>
      <c r="AX79" s="471"/>
      <c r="AY79" s="471"/>
      <c r="AZ79" s="471"/>
      <c r="BA79" s="471"/>
      <c r="BB79" s="471"/>
      <c r="BC79" s="471"/>
      <c r="BD79" s="471"/>
      <c r="BE79" s="471"/>
      <c r="BF79" s="471"/>
      <c r="BG79" s="471"/>
      <c r="BH79" s="471"/>
      <c r="BI79" s="471"/>
      <c r="BJ79" s="480" t="s">
        <v>581</v>
      </c>
      <c r="BK79" s="475">
        <v>391.4</v>
      </c>
      <c r="BM79" s="338"/>
      <c r="BO79" s="476" t="s">
        <v>531</v>
      </c>
      <c r="BP79" s="481">
        <v>696.4</v>
      </c>
      <c r="BQ79" s="478" t="s">
        <v>544</v>
      </c>
      <c r="BR79" s="338"/>
      <c r="BS79" s="338"/>
      <c r="BT79" s="338"/>
      <c r="BU79" s="338"/>
      <c r="BV79" s="338"/>
      <c r="BW79" s="338"/>
      <c r="BX79" s="338"/>
      <c r="BY79" s="338"/>
      <c r="BZ79" s="338"/>
    </row>
    <row r="80" spans="1:78" ht="16">
      <c r="A80" s="338"/>
      <c r="B80" s="454" t="s">
        <v>580</v>
      </c>
      <c r="C80" s="455">
        <v>8</v>
      </c>
      <c r="D80" s="456">
        <v>11.33</v>
      </c>
      <c r="E80" s="456">
        <v>-17.100000000000001</v>
      </c>
      <c r="F80" s="456">
        <f>(H91*10%)/($O$86/1000000)</f>
        <v>284.14136032676271</v>
      </c>
      <c r="G80" s="457"/>
      <c r="H80" s="457"/>
      <c r="I80" s="482"/>
      <c r="J80" s="479"/>
      <c r="K80" s="455"/>
      <c r="L80" s="455"/>
      <c r="M80" s="459" t="s">
        <v>579</v>
      </c>
      <c r="N80" s="460">
        <f>+BP81-BK80</f>
        <v>1176.3999999999999</v>
      </c>
      <c r="O80" s="461">
        <v>68.099999999999994</v>
      </c>
      <c r="P80" s="413">
        <f>O80/N80*100</f>
        <v>5.7888473308398503</v>
      </c>
      <c r="Q80" s="413">
        <f t="shared" si="26"/>
        <v>12.093766648907833</v>
      </c>
      <c r="R80" s="462">
        <v>0</v>
      </c>
      <c r="S80" s="463"/>
      <c r="T80" s="463"/>
      <c r="U80" s="464"/>
      <c r="V80" s="465"/>
      <c r="W80" s="465"/>
      <c r="X80" s="465"/>
      <c r="Y80" s="465"/>
      <c r="Z80" s="465"/>
      <c r="AA80" s="465"/>
      <c r="AB80" s="465"/>
      <c r="AC80" s="465"/>
      <c r="AD80" s="465"/>
      <c r="AE80" s="466"/>
      <c r="AF80" s="598">
        <v>1.1040000000000001</v>
      </c>
      <c r="AG80" s="599">
        <v>2.5299999999999998</v>
      </c>
      <c r="AH80" s="600">
        <v>2.5099999999999998</v>
      </c>
      <c r="AI80" s="601">
        <v>4.3900000000000002E-2</v>
      </c>
      <c r="AJ80" s="600">
        <v>0</v>
      </c>
      <c r="AK80" s="600">
        <v>0</v>
      </c>
      <c r="AL80" s="471"/>
      <c r="AM80" s="471"/>
      <c r="AN80" s="471"/>
      <c r="AO80" s="471"/>
      <c r="AP80" s="471"/>
      <c r="AQ80" s="471"/>
      <c r="AR80" s="472"/>
      <c r="AS80" s="472"/>
      <c r="AT80" s="473"/>
      <c r="AU80" s="471"/>
      <c r="AV80" s="471"/>
      <c r="AW80" s="471"/>
      <c r="AX80" s="471"/>
      <c r="AY80" s="471"/>
      <c r="AZ80" s="471"/>
      <c r="BA80" s="471"/>
      <c r="BB80" s="471"/>
      <c r="BC80" s="471"/>
      <c r="BD80" s="471"/>
      <c r="BE80" s="471"/>
      <c r="BF80" s="471"/>
      <c r="BG80" s="471"/>
      <c r="BH80" s="471"/>
      <c r="BI80" s="471"/>
      <c r="BJ80" s="480" t="s">
        <v>578</v>
      </c>
      <c r="BK80" s="475">
        <v>386.7</v>
      </c>
      <c r="BM80" s="338"/>
      <c r="BO80" s="476" t="s">
        <v>530</v>
      </c>
      <c r="BP80" s="481">
        <v>949.7</v>
      </c>
      <c r="BQ80" s="478" t="s">
        <v>543</v>
      </c>
      <c r="BR80" s="338"/>
      <c r="BS80" s="338"/>
      <c r="BT80" s="338"/>
      <c r="BU80" s="338"/>
      <c r="BV80" s="338"/>
      <c r="BW80" s="338"/>
      <c r="BX80" s="338"/>
      <c r="BY80" s="338"/>
      <c r="BZ80" s="338"/>
    </row>
    <row r="81" spans="1:78" ht="16.5" thickBot="1">
      <c r="A81" s="338"/>
      <c r="B81" s="437" t="s">
        <v>577</v>
      </c>
      <c r="C81" s="483">
        <v>30</v>
      </c>
      <c r="D81" s="432">
        <v>11.3</v>
      </c>
      <c r="E81" s="432">
        <v>-16.3</v>
      </c>
      <c r="F81" s="432">
        <f>(H92*10%)/($O$86/1000000)</f>
        <v>2521.754572900018</v>
      </c>
      <c r="G81" s="457"/>
      <c r="H81" s="457">
        <v>16</v>
      </c>
      <c r="I81" s="458"/>
      <c r="J81" s="432"/>
      <c r="K81" s="483"/>
      <c r="L81" s="483"/>
      <c r="M81" s="484" t="s">
        <v>576</v>
      </c>
      <c r="N81" s="460">
        <f>+BP82-BK81</f>
        <v>3399.1000000000004</v>
      </c>
      <c r="O81" s="485">
        <v>149.9</v>
      </c>
      <c r="P81" s="400">
        <f>O81/N81*100</f>
        <v>4.4099908799388068</v>
      </c>
      <c r="Q81" s="400">
        <f t="shared" si="26"/>
        <v>26.620493695613572</v>
      </c>
      <c r="R81" s="462">
        <v>0</v>
      </c>
      <c r="S81" s="463"/>
      <c r="T81" s="463"/>
      <c r="U81" s="464"/>
      <c r="V81" s="465"/>
      <c r="W81" s="465"/>
      <c r="X81" s="465"/>
      <c r="Y81" s="465"/>
      <c r="Z81" s="465"/>
      <c r="AA81" s="465"/>
      <c r="AB81" s="465"/>
      <c r="AC81" s="465"/>
      <c r="AD81" s="465"/>
      <c r="AE81" s="466"/>
      <c r="AF81" s="598">
        <v>0.56999999999999995</v>
      </c>
      <c r="AG81" s="599">
        <v>3.7</v>
      </c>
      <c r="AH81" s="600">
        <v>3.3</v>
      </c>
      <c r="AI81" s="601">
        <v>4.1500000000000002E-2</v>
      </c>
      <c r="AJ81" s="600">
        <v>0</v>
      </c>
      <c r="AK81" s="600">
        <v>0</v>
      </c>
      <c r="AL81" s="471"/>
      <c r="AM81" s="471"/>
      <c r="AN81" s="471"/>
      <c r="AO81" s="471"/>
      <c r="AP81" s="471"/>
      <c r="AQ81" s="471"/>
      <c r="AR81" s="472"/>
      <c r="AS81" s="472"/>
      <c r="AT81" s="486"/>
      <c r="AU81" s="471"/>
      <c r="AV81" s="471"/>
      <c r="AW81" s="471"/>
      <c r="AX81" s="471"/>
      <c r="AY81" s="471"/>
      <c r="AZ81" s="471"/>
      <c r="BA81" s="471"/>
      <c r="BB81" s="471"/>
      <c r="BC81" s="471"/>
      <c r="BD81" s="471"/>
      <c r="BE81" s="471"/>
      <c r="BF81" s="471"/>
      <c r="BG81" s="471"/>
      <c r="BH81" s="471"/>
      <c r="BI81" s="471"/>
      <c r="BJ81" s="487" t="s">
        <v>575</v>
      </c>
      <c r="BK81" s="475">
        <v>536.20000000000005</v>
      </c>
      <c r="BM81" s="338"/>
      <c r="BO81" s="476" t="s">
        <v>529</v>
      </c>
      <c r="BP81" s="488">
        <v>1563.1</v>
      </c>
      <c r="BQ81" s="478" t="s">
        <v>542</v>
      </c>
      <c r="BR81" s="338"/>
      <c r="BS81" s="338"/>
      <c r="BT81" s="338"/>
      <c r="BU81" s="338"/>
      <c r="BV81" s="338"/>
      <c r="BW81" s="338"/>
      <c r="BX81" s="338"/>
      <c r="BY81" s="338"/>
      <c r="BZ81" s="338"/>
    </row>
    <row r="82" spans="1:78" ht="17" thickTop="1" thickBot="1">
      <c r="A82" s="338"/>
      <c r="B82" s="489" t="s">
        <v>30</v>
      </c>
      <c r="C82" s="490">
        <f>C81</f>
        <v>30</v>
      </c>
      <c r="D82" s="491"/>
      <c r="E82" s="492"/>
      <c r="F82" s="493">
        <f t="shared" ref="F82:L82" si="27">+SUM(F76:F81,F63)</f>
        <v>5650.0621559225729</v>
      </c>
      <c r="G82" s="493">
        <f t="shared" si="27"/>
        <v>6</v>
      </c>
      <c r="H82" s="493">
        <f t="shared" si="27"/>
        <v>16</v>
      </c>
      <c r="I82" s="493">
        <f t="shared" si="27"/>
        <v>0</v>
      </c>
      <c r="J82" s="493">
        <f t="shared" si="27"/>
        <v>0</v>
      </c>
      <c r="K82" s="493">
        <f t="shared" si="27"/>
        <v>0</v>
      </c>
      <c r="L82" s="493">
        <f t="shared" si="27"/>
        <v>0</v>
      </c>
      <c r="M82" s="494" t="s">
        <v>574</v>
      </c>
      <c r="N82" s="495">
        <f>SUM(N78:N81)</f>
        <v>5444.5</v>
      </c>
      <c r="O82" s="495">
        <f>SUM(O78:O81)</f>
        <v>330.9</v>
      </c>
      <c r="P82" s="400">
        <f>O82/N82*100</f>
        <v>6.0776930847644408</v>
      </c>
      <c r="Q82" s="496">
        <f t="shared" si="26"/>
        <v>58.763985082578586</v>
      </c>
      <c r="R82" s="497">
        <v>0</v>
      </c>
      <c r="S82" s="490">
        <v>0</v>
      </c>
      <c r="T82" s="490">
        <v>0</v>
      </c>
      <c r="U82" s="498">
        <v>0</v>
      </c>
      <c r="V82" s="490">
        <v>0</v>
      </c>
      <c r="W82" s="490">
        <v>0</v>
      </c>
      <c r="X82" s="490">
        <v>0</v>
      </c>
      <c r="Y82" s="490">
        <v>0</v>
      </c>
      <c r="Z82" s="490">
        <v>0</v>
      </c>
      <c r="AA82" s="490">
        <v>0</v>
      </c>
      <c r="AB82" s="490">
        <v>0</v>
      </c>
      <c r="AC82" s="490">
        <v>0</v>
      </c>
      <c r="AD82" s="490">
        <v>0</v>
      </c>
      <c r="AE82" s="497">
        <v>0</v>
      </c>
      <c r="AF82" s="602">
        <v>5.6638875793291019</v>
      </c>
      <c r="AG82" s="603">
        <v>8.4141220912662451</v>
      </c>
      <c r="AH82" s="604">
        <v>10.094155333937746</v>
      </c>
      <c r="AI82" s="605">
        <v>5.1506436990027202E-2</v>
      </c>
      <c r="AJ82" s="606">
        <v>0</v>
      </c>
      <c r="AK82" s="606">
        <v>0</v>
      </c>
      <c r="AL82" s="490">
        <f t="shared" ref="AL82:BI82" si="28">IF(AL71=0,0,SUMPRODUCT(AL78:AL81,$Q$78:$Q$81)/$Q$82)</f>
        <v>0</v>
      </c>
      <c r="AM82" s="490">
        <f t="shared" si="28"/>
        <v>0</v>
      </c>
      <c r="AN82" s="490">
        <f t="shared" si="28"/>
        <v>0</v>
      </c>
      <c r="AO82" s="490">
        <f t="shared" si="28"/>
        <v>0</v>
      </c>
      <c r="AP82" s="490">
        <f t="shared" si="28"/>
        <v>0</v>
      </c>
      <c r="AQ82" s="490">
        <f t="shared" si="28"/>
        <v>0</v>
      </c>
      <c r="AR82" s="490">
        <f t="shared" si="28"/>
        <v>0</v>
      </c>
      <c r="AS82" s="490">
        <f t="shared" si="28"/>
        <v>0</v>
      </c>
      <c r="AT82" s="490">
        <f t="shared" si="28"/>
        <v>0</v>
      </c>
      <c r="AU82" s="498">
        <f t="shared" si="28"/>
        <v>0</v>
      </c>
      <c r="AV82" s="490">
        <f t="shared" si="28"/>
        <v>0</v>
      </c>
      <c r="AW82" s="492">
        <f t="shared" si="28"/>
        <v>0</v>
      </c>
      <c r="AX82" s="490">
        <f t="shared" si="28"/>
        <v>0</v>
      </c>
      <c r="AY82" s="490">
        <f t="shared" si="28"/>
        <v>0</v>
      </c>
      <c r="AZ82" s="490">
        <f t="shared" si="28"/>
        <v>0</v>
      </c>
      <c r="BA82" s="490">
        <f t="shared" si="28"/>
        <v>0</v>
      </c>
      <c r="BB82" s="490">
        <f t="shared" si="28"/>
        <v>0</v>
      </c>
      <c r="BC82" s="490">
        <f t="shared" si="28"/>
        <v>0</v>
      </c>
      <c r="BD82" s="490">
        <f t="shared" si="28"/>
        <v>0</v>
      </c>
      <c r="BE82" s="490">
        <f t="shared" si="28"/>
        <v>0</v>
      </c>
      <c r="BF82" s="490">
        <f t="shared" si="28"/>
        <v>0</v>
      </c>
      <c r="BG82" s="490">
        <f t="shared" si="28"/>
        <v>0</v>
      </c>
      <c r="BH82" s="490">
        <f t="shared" si="28"/>
        <v>0</v>
      </c>
      <c r="BI82" s="490">
        <f t="shared" si="28"/>
        <v>0</v>
      </c>
      <c r="BJ82" s="501"/>
      <c r="BK82" s="501"/>
      <c r="BM82" s="338"/>
      <c r="BO82" s="476" t="s">
        <v>528</v>
      </c>
      <c r="BP82" s="488">
        <v>3935.3</v>
      </c>
      <c r="BQ82" s="478" t="s">
        <v>541</v>
      </c>
      <c r="BR82" s="338"/>
      <c r="BS82" s="338"/>
      <c r="BT82" s="338"/>
      <c r="BU82" s="338"/>
      <c r="BV82" s="338"/>
      <c r="BW82" s="338"/>
      <c r="BX82" s="338"/>
      <c r="BY82" s="338"/>
      <c r="BZ82" s="338"/>
    </row>
    <row r="83" spans="1:78" ht="17" thickTop="1" thickBot="1">
      <c r="A83" s="338"/>
      <c r="B83" s="502" t="s">
        <v>573</v>
      </c>
      <c r="C83" s="490"/>
      <c r="D83" s="503">
        <v>11.3</v>
      </c>
      <c r="E83" s="503">
        <v>-16.2</v>
      </c>
      <c r="F83" s="504"/>
      <c r="G83" s="498"/>
      <c r="H83" s="490"/>
      <c r="I83" s="490"/>
      <c r="J83" s="490"/>
      <c r="K83" s="490"/>
      <c r="L83" s="490"/>
      <c r="M83" s="494" t="s">
        <v>573</v>
      </c>
      <c r="N83" s="505">
        <f>+BP83-BK83</f>
        <v>2948</v>
      </c>
      <c r="O83" s="506">
        <v>232.2</v>
      </c>
      <c r="P83" s="507">
        <f>O83/(O83+D87*1000-O83/4.2)*100</f>
        <v>8.361799325047329</v>
      </c>
      <c r="Q83" s="495">
        <f t="shared" si="26"/>
        <v>41.236014917421421</v>
      </c>
      <c r="R83" s="508">
        <v>0</v>
      </c>
      <c r="S83" s="509">
        <v>0</v>
      </c>
      <c r="T83" s="509">
        <v>0</v>
      </c>
      <c r="U83" s="510">
        <v>0</v>
      </c>
      <c r="V83" s="509">
        <v>0</v>
      </c>
      <c r="W83" s="509">
        <v>0</v>
      </c>
      <c r="X83" s="509">
        <v>0</v>
      </c>
      <c r="Y83" s="509">
        <v>0</v>
      </c>
      <c r="Z83" s="509">
        <v>0</v>
      </c>
      <c r="AA83" s="509">
        <v>0</v>
      </c>
      <c r="AB83" s="509">
        <v>0</v>
      </c>
      <c r="AC83" s="509">
        <v>0</v>
      </c>
      <c r="AD83" s="509">
        <v>0</v>
      </c>
      <c r="AE83" s="508">
        <v>0</v>
      </c>
      <c r="AF83" s="607">
        <v>0.57999999999999996</v>
      </c>
      <c r="AG83" s="608">
        <v>3.13</v>
      </c>
      <c r="AH83" s="609">
        <v>3.46</v>
      </c>
      <c r="AI83" s="610">
        <v>4.2900000000000001E-2</v>
      </c>
      <c r="AJ83" s="610">
        <v>0</v>
      </c>
      <c r="AK83" s="610">
        <v>0</v>
      </c>
      <c r="AL83" s="509">
        <f t="shared" ref="AL83:BI83" si="29">IF(AL71=0,0,AVERAGE(AL84:AL85))</f>
        <v>0</v>
      </c>
      <c r="AM83" s="509">
        <f t="shared" si="29"/>
        <v>0</v>
      </c>
      <c r="AN83" s="509">
        <f t="shared" si="29"/>
        <v>0</v>
      </c>
      <c r="AO83" s="512">
        <f t="shared" si="29"/>
        <v>0</v>
      </c>
      <c r="AP83" s="513">
        <f t="shared" si="29"/>
        <v>0</v>
      </c>
      <c r="AQ83" s="512">
        <f t="shared" si="29"/>
        <v>0</v>
      </c>
      <c r="AR83" s="512">
        <f t="shared" si="29"/>
        <v>0</v>
      </c>
      <c r="AS83" s="514">
        <f t="shared" si="29"/>
        <v>0</v>
      </c>
      <c r="AT83" s="514">
        <f t="shared" si="29"/>
        <v>0</v>
      </c>
      <c r="AU83" s="510">
        <f t="shared" si="29"/>
        <v>0</v>
      </c>
      <c r="AV83" s="509">
        <f t="shared" si="29"/>
        <v>0</v>
      </c>
      <c r="AW83" s="509">
        <f t="shared" si="29"/>
        <v>0</v>
      </c>
      <c r="AX83" s="509">
        <f t="shared" si="29"/>
        <v>0</v>
      </c>
      <c r="AY83" s="509">
        <f t="shared" si="29"/>
        <v>0</v>
      </c>
      <c r="AZ83" s="509">
        <f t="shared" si="29"/>
        <v>0</v>
      </c>
      <c r="BA83" s="509">
        <f t="shared" si="29"/>
        <v>0</v>
      </c>
      <c r="BB83" s="509">
        <f t="shared" si="29"/>
        <v>0</v>
      </c>
      <c r="BC83" s="509">
        <f t="shared" si="29"/>
        <v>0</v>
      </c>
      <c r="BD83" s="509">
        <f t="shared" si="29"/>
        <v>0</v>
      </c>
      <c r="BE83" s="509">
        <f t="shared" si="29"/>
        <v>0</v>
      </c>
      <c r="BF83" s="509">
        <f t="shared" si="29"/>
        <v>0</v>
      </c>
      <c r="BG83" s="509">
        <f t="shared" si="29"/>
        <v>0</v>
      </c>
      <c r="BH83" s="509">
        <f t="shared" si="29"/>
        <v>0</v>
      </c>
      <c r="BI83" s="509">
        <f t="shared" si="29"/>
        <v>0</v>
      </c>
      <c r="BJ83" s="474" t="s">
        <v>462</v>
      </c>
      <c r="BK83" s="475">
        <v>1584</v>
      </c>
      <c r="BL83" s="338"/>
      <c r="BM83" s="338"/>
      <c r="BO83" s="515" t="s">
        <v>527</v>
      </c>
      <c r="BP83" s="516">
        <v>4532</v>
      </c>
      <c r="BQ83" s="517" t="s">
        <v>540</v>
      </c>
      <c r="BR83" s="338"/>
      <c r="BS83" s="338"/>
      <c r="BT83" s="338"/>
      <c r="BU83" s="338"/>
      <c r="BV83" s="338"/>
      <c r="BW83" s="338"/>
      <c r="BX83" s="338"/>
      <c r="BY83" s="338"/>
      <c r="BZ83" s="338"/>
    </row>
    <row r="84" spans="1:78" ht="16.5" thickTop="1">
      <c r="A84" s="338"/>
      <c r="B84" s="338"/>
      <c r="C84" s="338"/>
      <c r="D84" s="338"/>
      <c r="E84" s="338"/>
      <c r="F84" s="338"/>
      <c r="G84" s="338"/>
      <c r="H84" s="338"/>
      <c r="I84" s="338"/>
      <c r="J84" s="338"/>
      <c r="K84" s="338"/>
      <c r="L84" s="338"/>
      <c r="M84" s="459" t="s">
        <v>572</v>
      </c>
      <c r="N84" s="518"/>
      <c r="O84" s="518"/>
      <c r="P84" s="519"/>
      <c r="Q84" s="520"/>
      <c r="R84" s="521">
        <v>0</v>
      </c>
      <c r="S84" s="415"/>
      <c r="T84" s="415"/>
      <c r="U84" s="416"/>
      <c r="V84" s="417"/>
      <c r="W84" s="417"/>
      <c r="X84" s="417"/>
      <c r="Y84" s="417"/>
      <c r="Z84" s="417"/>
      <c r="AA84" s="417"/>
      <c r="AB84" s="417"/>
      <c r="AC84" s="417"/>
      <c r="AD84" s="417"/>
      <c r="AE84" s="418"/>
      <c r="AF84" s="611">
        <v>0.57999999999999996</v>
      </c>
      <c r="AG84" s="595">
        <v>3.13</v>
      </c>
      <c r="AH84" s="612">
        <v>3.46</v>
      </c>
      <c r="AI84" s="613">
        <v>4.2900000000000001E-2</v>
      </c>
      <c r="AJ84" s="612">
        <v>0</v>
      </c>
      <c r="AK84" s="612">
        <v>0</v>
      </c>
      <c r="AL84" s="525"/>
      <c r="AM84" s="525"/>
      <c r="AN84" s="525"/>
      <c r="AO84" s="525"/>
      <c r="AP84" s="472"/>
      <c r="AQ84" s="472"/>
      <c r="AR84" s="472"/>
      <c r="AS84" s="526"/>
      <c r="AT84" s="527"/>
      <c r="AU84" s="528"/>
      <c r="AV84" s="525"/>
      <c r="AW84" s="525"/>
      <c r="AX84" s="525"/>
      <c r="AY84" s="525"/>
      <c r="AZ84" s="525"/>
      <c r="BA84" s="525"/>
      <c r="BB84" s="525"/>
      <c r="BC84" s="525"/>
      <c r="BD84" s="525"/>
      <c r="BE84" s="525"/>
      <c r="BF84" s="525"/>
      <c r="BG84" s="525"/>
      <c r="BH84" s="525"/>
      <c r="BI84" s="525"/>
      <c r="BJ84" s="529"/>
      <c r="BK84" s="529"/>
      <c r="BL84" s="338"/>
      <c r="BM84" s="338"/>
    </row>
    <row r="85" spans="1:78" ht="16.5" thickBot="1">
      <c r="A85" s="338"/>
      <c r="B85" s="324"/>
      <c r="C85" s="324"/>
      <c r="D85" s="324"/>
      <c r="E85" s="324"/>
      <c r="F85" s="324"/>
      <c r="G85" s="324"/>
      <c r="H85" s="532" t="s">
        <v>571</v>
      </c>
      <c r="I85" s="532" t="s">
        <v>570</v>
      </c>
      <c r="J85" s="348"/>
      <c r="K85" s="348"/>
      <c r="L85" s="324"/>
      <c r="M85" s="484" t="s">
        <v>569</v>
      </c>
      <c r="N85" s="533"/>
      <c r="O85" s="533"/>
      <c r="P85" s="534"/>
      <c r="Q85" s="535"/>
      <c r="R85" s="536"/>
      <c r="S85" s="537"/>
      <c r="T85" s="537"/>
      <c r="U85" s="537"/>
      <c r="V85" s="537"/>
      <c r="W85" s="537"/>
      <c r="X85" s="537"/>
      <c r="Y85" s="537"/>
      <c r="Z85" s="537"/>
      <c r="AA85" s="537"/>
      <c r="AB85" s="537"/>
      <c r="AC85" s="537"/>
      <c r="AD85" s="537"/>
      <c r="AE85" s="538"/>
      <c r="AF85" s="614"/>
      <c r="AG85" s="614"/>
      <c r="AH85" s="614"/>
      <c r="AI85" s="615"/>
      <c r="AJ85" s="539"/>
      <c r="AK85" s="539"/>
      <c r="AL85" s="540"/>
      <c r="AM85" s="540"/>
      <c r="AN85" s="540"/>
      <c r="AO85" s="540"/>
      <c r="AP85" s="541"/>
      <c r="AQ85" s="541"/>
      <c r="AR85" s="541"/>
      <c r="AS85" s="542"/>
      <c r="AT85" s="542"/>
      <c r="AU85" s="543"/>
      <c r="AV85" s="540"/>
      <c r="AW85" s="540"/>
      <c r="AX85" s="540"/>
      <c r="AY85" s="540"/>
      <c r="AZ85" s="540"/>
      <c r="BA85" s="540"/>
      <c r="BB85" s="540"/>
      <c r="BC85" s="540"/>
      <c r="BD85" s="540"/>
      <c r="BE85" s="540"/>
      <c r="BF85" s="540"/>
      <c r="BG85" s="540"/>
      <c r="BH85" s="540"/>
      <c r="BI85" s="540"/>
      <c r="BJ85" s="529"/>
      <c r="BK85" s="529"/>
      <c r="BL85" s="338"/>
      <c r="BM85" s="338"/>
      <c r="BN85" s="338"/>
    </row>
    <row r="86" spans="1:78" ht="17" thickTop="1" thickBot="1">
      <c r="A86" s="338"/>
      <c r="B86" s="426" t="s">
        <v>568</v>
      </c>
      <c r="C86" s="544"/>
      <c r="D86" s="545"/>
      <c r="E86" s="324"/>
      <c r="F86" s="324"/>
      <c r="G86" s="324"/>
      <c r="H86" s="532" t="s">
        <v>567</v>
      </c>
      <c r="I86" s="532" t="s">
        <v>567</v>
      </c>
      <c r="J86" s="348"/>
      <c r="K86" s="348"/>
      <c r="L86" s="324"/>
      <c r="M86" s="546" t="s">
        <v>566</v>
      </c>
      <c r="N86" s="507">
        <f>SUM(N82:N83)</f>
        <v>8392.5</v>
      </c>
      <c r="O86" s="507">
        <f>SUM(O82:O83)</f>
        <v>563.09999999999991</v>
      </c>
      <c r="P86" s="507">
        <f>O86/(O86+D87*1000-O86/4.2)*100</f>
        <v>18.590118472683365</v>
      </c>
      <c r="Q86" s="495">
        <f>O86/$O$86*100</f>
        <v>100</v>
      </c>
      <c r="R86" s="547">
        <v>0</v>
      </c>
      <c r="S86" s="490">
        <v>0</v>
      </c>
      <c r="T86" s="490">
        <v>0</v>
      </c>
      <c r="U86" s="490">
        <v>0</v>
      </c>
      <c r="V86" s="490">
        <v>0</v>
      </c>
      <c r="W86" s="490">
        <v>0</v>
      </c>
      <c r="X86" s="490">
        <v>0</v>
      </c>
      <c r="Y86" s="490">
        <v>0</v>
      </c>
      <c r="Z86" s="548">
        <v>0</v>
      </c>
      <c r="AA86" s="548">
        <v>0</v>
      </c>
      <c r="AB86" s="548">
        <v>0</v>
      </c>
      <c r="AC86" s="548">
        <v>0</v>
      </c>
      <c r="AD86" s="548">
        <v>0</v>
      </c>
      <c r="AE86" s="549">
        <v>0</v>
      </c>
      <c r="AF86" s="616">
        <v>3.5674949387320192</v>
      </c>
      <c r="AG86" s="616">
        <v>6.2351607174569361</v>
      </c>
      <c r="AH86" s="616">
        <v>7.3584940507902692</v>
      </c>
      <c r="AI86" s="616">
        <v>4.7957485348961111E-2</v>
      </c>
      <c r="AJ86" s="616">
        <v>0</v>
      </c>
      <c r="AK86" s="616">
        <v>0</v>
      </c>
      <c r="AL86" s="548">
        <f t="shared" ref="AL86:BI86" si="30">IF(AL71=0,0,SUMPRODUCT(AL82:AL83,$Q$82:$Q$83)/$Q$86)</f>
        <v>0</v>
      </c>
      <c r="AM86" s="548">
        <f t="shared" si="30"/>
        <v>0</v>
      </c>
      <c r="AN86" s="548">
        <f t="shared" si="30"/>
        <v>0</v>
      </c>
      <c r="AO86" s="548">
        <f t="shared" si="30"/>
        <v>0</v>
      </c>
      <c r="AP86" s="548">
        <f t="shared" si="30"/>
        <v>0</v>
      </c>
      <c r="AQ86" s="548">
        <f t="shared" si="30"/>
        <v>0</v>
      </c>
      <c r="AR86" s="548">
        <f t="shared" si="30"/>
        <v>0</v>
      </c>
      <c r="AS86" s="548">
        <f t="shared" si="30"/>
        <v>0</v>
      </c>
      <c r="AT86" s="548">
        <f t="shared" si="30"/>
        <v>0</v>
      </c>
      <c r="AU86" s="550">
        <f t="shared" si="30"/>
        <v>0</v>
      </c>
      <c r="AV86" s="551">
        <f t="shared" si="30"/>
        <v>0</v>
      </c>
      <c r="AW86" s="551">
        <f t="shared" si="30"/>
        <v>0</v>
      </c>
      <c r="AX86" s="551">
        <f t="shared" si="30"/>
        <v>0</v>
      </c>
      <c r="AY86" s="551">
        <f t="shared" si="30"/>
        <v>0</v>
      </c>
      <c r="AZ86" s="551">
        <f t="shared" si="30"/>
        <v>0</v>
      </c>
      <c r="BA86" s="551">
        <f t="shared" si="30"/>
        <v>0</v>
      </c>
      <c r="BB86" s="551">
        <f t="shared" si="30"/>
        <v>0</v>
      </c>
      <c r="BC86" s="551">
        <f t="shared" si="30"/>
        <v>0</v>
      </c>
      <c r="BD86" s="551">
        <f t="shared" si="30"/>
        <v>0</v>
      </c>
      <c r="BE86" s="551">
        <f t="shared" si="30"/>
        <v>0</v>
      </c>
      <c r="BF86" s="551">
        <f t="shared" si="30"/>
        <v>0</v>
      </c>
      <c r="BG86" s="551">
        <f t="shared" si="30"/>
        <v>0</v>
      </c>
      <c r="BH86" s="551">
        <f t="shared" si="30"/>
        <v>0</v>
      </c>
      <c r="BI86" s="551">
        <f t="shared" si="30"/>
        <v>0</v>
      </c>
      <c r="BJ86" s="338"/>
      <c r="BK86" s="338"/>
      <c r="BL86" s="338"/>
      <c r="BM86" s="338"/>
      <c r="BN86" s="338"/>
    </row>
    <row r="87" spans="1:78" ht="15.5" thickTop="1" thickBot="1">
      <c r="A87" s="338"/>
      <c r="B87" s="356"/>
      <c r="C87" s="357" t="s">
        <v>565</v>
      </c>
      <c r="D87" s="552">
        <v>2.6</v>
      </c>
      <c r="E87" s="324"/>
      <c r="F87" s="324"/>
      <c r="G87" s="532"/>
      <c r="H87" s="553"/>
      <c r="I87" s="553"/>
      <c r="J87" s="324"/>
      <c r="K87" s="324"/>
      <c r="L87" s="324"/>
      <c r="M87" s="324"/>
      <c r="N87" s="324"/>
      <c r="O87" s="324"/>
      <c r="P87" s="411" t="s">
        <v>51</v>
      </c>
      <c r="Q87" s="554"/>
      <c r="R87" s="555">
        <v>0</v>
      </c>
      <c r="S87" s="555">
        <v>0</v>
      </c>
      <c r="T87" s="555">
        <v>0</v>
      </c>
      <c r="U87" s="555">
        <v>0</v>
      </c>
      <c r="V87" s="555">
        <v>0</v>
      </c>
      <c r="W87" s="555">
        <v>0</v>
      </c>
      <c r="X87" s="555">
        <v>0</v>
      </c>
      <c r="Y87" s="555">
        <v>0</v>
      </c>
      <c r="Z87" s="555">
        <v>0</v>
      </c>
      <c r="AA87" s="555">
        <v>0</v>
      </c>
      <c r="AB87" s="555">
        <v>0</v>
      </c>
      <c r="AC87" s="555">
        <v>0</v>
      </c>
      <c r="AD87" s="555">
        <v>0</v>
      </c>
      <c r="AE87" s="556">
        <v>0</v>
      </c>
      <c r="AF87" s="617">
        <v>0</v>
      </c>
      <c r="AG87" s="617">
        <v>0</v>
      </c>
      <c r="AH87" s="617">
        <v>0</v>
      </c>
      <c r="AI87" s="617">
        <v>0</v>
      </c>
      <c r="AJ87" s="617">
        <v>0</v>
      </c>
      <c r="AK87" s="617">
        <v>0</v>
      </c>
      <c r="AL87" s="555">
        <f t="shared" ref="AL87:BI87" si="31">IF(AL71=0,0,ABS(AL86-AL72)/AL72*100)</f>
        <v>0</v>
      </c>
      <c r="AM87" s="555">
        <f t="shared" si="31"/>
        <v>0</v>
      </c>
      <c r="AN87" s="555">
        <f t="shared" si="31"/>
        <v>0</v>
      </c>
      <c r="AO87" s="555">
        <f t="shared" si="31"/>
        <v>0</v>
      </c>
      <c r="AP87" s="555">
        <f t="shared" si="31"/>
        <v>0</v>
      </c>
      <c r="AQ87" s="555">
        <f t="shared" si="31"/>
        <v>0</v>
      </c>
      <c r="AR87" s="555">
        <f t="shared" si="31"/>
        <v>0</v>
      </c>
      <c r="AS87" s="555">
        <f t="shared" si="31"/>
        <v>0</v>
      </c>
      <c r="AT87" s="555">
        <f t="shared" si="31"/>
        <v>0</v>
      </c>
      <c r="AU87" s="557">
        <f t="shared" si="31"/>
        <v>0</v>
      </c>
      <c r="AV87" s="558">
        <f t="shared" si="31"/>
        <v>0</v>
      </c>
      <c r="AW87" s="558">
        <f t="shared" si="31"/>
        <v>0</v>
      </c>
      <c r="AX87" s="558">
        <f t="shared" si="31"/>
        <v>0</v>
      </c>
      <c r="AY87" s="558">
        <f t="shared" si="31"/>
        <v>0</v>
      </c>
      <c r="AZ87" s="558">
        <f t="shared" si="31"/>
        <v>0</v>
      </c>
      <c r="BA87" s="558">
        <f t="shared" si="31"/>
        <v>0</v>
      </c>
      <c r="BB87" s="558">
        <f t="shared" si="31"/>
        <v>0</v>
      </c>
      <c r="BC87" s="558">
        <f t="shared" si="31"/>
        <v>0</v>
      </c>
      <c r="BD87" s="558">
        <f t="shared" si="31"/>
        <v>0</v>
      </c>
      <c r="BE87" s="558">
        <f t="shared" si="31"/>
        <v>0</v>
      </c>
      <c r="BF87" s="558">
        <f t="shared" si="31"/>
        <v>0</v>
      </c>
      <c r="BG87" s="558">
        <f t="shared" si="31"/>
        <v>0</v>
      </c>
      <c r="BH87" s="558">
        <f t="shared" si="31"/>
        <v>0</v>
      </c>
      <c r="BI87" s="558">
        <f t="shared" si="31"/>
        <v>0</v>
      </c>
      <c r="BJ87" s="338"/>
      <c r="BK87" s="338"/>
      <c r="BL87" s="338"/>
      <c r="BM87" s="338"/>
      <c r="BN87" s="338"/>
    </row>
    <row r="88" spans="1:78">
      <c r="A88" s="338"/>
      <c r="B88" s="359"/>
      <c r="C88" s="366" t="s">
        <v>564</v>
      </c>
      <c r="D88" s="559">
        <v>2.4E-2</v>
      </c>
      <c r="E88" s="560"/>
      <c r="F88" s="324"/>
      <c r="G88" s="532" t="s">
        <v>563</v>
      </c>
      <c r="H88" s="553">
        <v>12.2</v>
      </c>
      <c r="I88" s="553"/>
      <c r="J88" s="324"/>
      <c r="K88" s="324"/>
      <c r="L88" s="324"/>
      <c r="M88" s="324"/>
      <c r="N88" s="324"/>
      <c r="O88" s="324"/>
      <c r="P88" s="324"/>
      <c r="Q88" s="324"/>
      <c r="R88" s="324"/>
      <c r="S88" s="324"/>
      <c r="T88" s="324"/>
      <c r="U88" s="324"/>
      <c r="V88" s="324"/>
      <c r="W88" s="324"/>
      <c r="X88" s="324"/>
      <c r="Y88" s="324"/>
      <c r="Z88" s="324"/>
      <c r="AA88" s="324"/>
      <c r="AB88" s="324"/>
      <c r="AC88" s="324"/>
      <c r="AD88" s="324"/>
      <c r="AE88" s="324"/>
      <c r="AF88" s="324"/>
      <c r="AG88" s="334"/>
      <c r="AH88" s="334"/>
      <c r="AI88" s="334"/>
      <c r="AJ88" s="334"/>
      <c r="AK88" s="334"/>
      <c r="AL88" s="334"/>
      <c r="AM88" s="334"/>
      <c r="AN88" s="334"/>
      <c r="AO88" s="334"/>
      <c r="AP88" s="334"/>
      <c r="AQ88" s="334"/>
      <c r="AR88" s="334"/>
      <c r="AS88" s="334"/>
      <c r="AT88" s="334"/>
      <c r="AU88" s="324"/>
      <c r="AV88" s="334"/>
      <c r="AW88" s="334"/>
      <c r="AX88" s="334"/>
      <c r="AY88" s="334"/>
      <c r="AZ88" s="334"/>
      <c r="BA88" s="334"/>
      <c r="BB88" s="334"/>
      <c r="BC88" s="334"/>
      <c r="BD88" s="334"/>
      <c r="BE88" s="334"/>
      <c r="BF88" s="334"/>
      <c r="BG88" s="334"/>
      <c r="BH88" s="334"/>
      <c r="BI88" s="334"/>
      <c r="BJ88" s="338"/>
      <c r="BK88" s="338"/>
      <c r="BL88" s="338"/>
      <c r="BM88" s="338"/>
      <c r="BN88" s="338"/>
    </row>
    <row r="89" spans="1:78" ht="15" thickBot="1">
      <c r="A89" s="338"/>
      <c r="B89" s="359"/>
      <c r="C89" s="366" t="s">
        <v>562</v>
      </c>
      <c r="D89" s="561">
        <v>8</v>
      </c>
      <c r="E89" s="324"/>
      <c r="F89" s="363"/>
      <c r="G89" s="532" t="s">
        <v>531</v>
      </c>
      <c r="H89" s="553">
        <v>0</v>
      </c>
      <c r="I89" s="553"/>
      <c r="J89" s="324"/>
      <c r="K89" s="324"/>
      <c r="L89" s="324"/>
      <c r="M89" s="324"/>
      <c r="N89" s="334"/>
      <c r="O89" s="334"/>
      <c r="P89" s="334"/>
      <c r="Q89" s="334"/>
      <c r="R89" s="334"/>
      <c r="S89" s="334"/>
      <c r="T89" s="334"/>
      <c r="U89" s="334"/>
      <c r="V89" s="334"/>
      <c r="W89" s="334"/>
      <c r="X89" s="334"/>
      <c r="Y89" s="334"/>
      <c r="Z89" s="334"/>
      <c r="AA89" s="324"/>
      <c r="AB89" s="324"/>
      <c r="AC89" s="324"/>
      <c r="AD89" s="324"/>
      <c r="AE89" s="324"/>
      <c r="AF89" s="324"/>
      <c r="AG89" s="324"/>
      <c r="AH89" s="324"/>
      <c r="AI89" s="324"/>
      <c r="AJ89" s="324"/>
      <c r="AK89" s="324"/>
      <c r="AL89" s="324"/>
      <c r="AM89" s="324"/>
      <c r="AN89" s="324"/>
      <c r="AO89" s="324"/>
      <c r="AP89" s="324"/>
      <c r="AQ89" s="324"/>
      <c r="AR89" s="324"/>
      <c r="AS89" s="324"/>
      <c r="AT89" s="324"/>
      <c r="AU89" s="324"/>
      <c r="AV89" s="324"/>
      <c r="AW89" s="324"/>
      <c r="AX89" s="324"/>
      <c r="AY89" s="324"/>
      <c r="AZ89" s="324"/>
      <c r="BA89" s="324"/>
      <c r="BB89" s="324"/>
      <c r="BC89" s="324"/>
      <c r="BD89" s="324"/>
      <c r="BE89" s="324"/>
      <c r="BF89" s="324"/>
      <c r="BG89" s="324"/>
      <c r="BH89" s="324"/>
      <c r="BI89" s="324"/>
      <c r="BJ89" s="338"/>
      <c r="BK89" s="338"/>
      <c r="BL89" s="338"/>
      <c r="BM89" s="338"/>
      <c r="BN89" s="338"/>
    </row>
    <row r="90" spans="1:78" ht="16">
      <c r="A90" s="338"/>
      <c r="B90" s="359"/>
      <c r="C90" s="366" t="s">
        <v>561</v>
      </c>
      <c r="D90" s="559">
        <f>+((D89/60000)/D88)*100</f>
        <v>0.55555555555555558</v>
      </c>
      <c r="E90" s="324"/>
      <c r="F90" s="324"/>
      <c r="G90" s="532" t="s">
        <v>530</v>
      </c>
      <c r="H90" s="553">
        <v>1</v>
      </c>
      <c r="I90" s="553"/>
      <c r="J90" s="324"/>
      <c r="K90" s="324"/>
      <c r="L90" s="324"/>
      <c r="M90" s="324"/>
      <c r="N90" s="324"/>
      <c r="O90" s="562"/>
      <c r="P90" s="563"/>
      <c r="Q90" s="563"/>
      <c r="R90" s="564"/>
      <c r="S90" s="565"/>
      <c r="T90" s="565"/>
      <c r="U90" s="565"/>
      <c r="V90" s="565"/>
      <c r="W90" s="565"/>
      <c r="X90" s="566"/>
      <c r="Y90" s="565"/>
      <c r="Z90" s="565"/>
      <c r="AA90" s="565"/>
      <c r="AB90" s="565"/>
      <c r="AC90" s="565"/>
      <c r="AD90" s="565"/>
      <c r="AE90" s="565"/>
      <c r="AF90" s="567" t="s">
        <v>560</v>
      </c>
      <c r="AG90" s="349"/>
      <c r="AH90" s="350"/>
      <c r="AI90" s="349"/>
      <c r="AJ90" s="349"/>
      <c r="AK90" s="349"/>
      <c r="AL90" s="349"/>
      <c r="AM90" s="336"/>
      <c r="AN90" s="349"/>
      <c r="AO90" s="349"/>
      <c r="AP90" s="349"/>
      <c r="AQ90" s="349"/>
      <c r="AR90" s="349"/>
      <c r="AS90" s="349"/>
      <c r="AT90" s="350"/>
      <c r="AU90" s="394" t="s">
        <v>560</v>
      </c>
      <c r="AV90" s="394"/>
      <c r="AW90" s="394"/>
      <c r="AX90" s="394"/>
      <c r="AY90" s="394"/>
      <c r="AZ90" s="394"/>
      <c r="BA90" s="394"/>
      <c r="BB90" s="394"/>
      <c r="BC90" s="394"/>
      <c r="BD90" s="394"/>
      <c r="BE90" s="394"/>
      <c r="BF90" s="394"/>
      <c r="BG90" s="394"/>
      <c r="BH90" s="394"/>
      <c r="BI90" s="394"/>
      <c r="BJ90" s="338"/>
      <c r="BK90" s="338"/>
      <c r="BL90" s="338"/>
      <c r="BM90" s="338"/>
      <c r="BN90" s="338"/>
    </row>
    <row r="91" spans="1:78" ht="15" thickBot="1">
      <c r="A91" s="338"/>
      <c r="B91" s="359"/>
      <c r="C91" s="366" t="s">
        <v>559</v>
      </c>
      <c r="D91" s="568">
        <v>7.3</v>
      </c>
      <c r="E91" s="324"/>
      <c r="F91" s="324"/>
      <c r="G91" s="532" t="s">
        <v>529</v>
      </c>
      <c r="H91" s="553">
        <v>1.6</v>
      </c>
      <c r="I91" s="553"/>
      <c r="J91" s="324"/>
      <c r="K91" s="324"/>
      <c r="L91" s="324"/>
      <c r="M91" s="324"/>
      <c r="N91" s="569"/>
      <c r="O91" s="570" t="s">
        <v>558</v>
      </c>
      <c r="P91" s="571" t="s">
        <v>557</v>
      </c>
      <c r="Q91" s="572" t="s">
        <v>556</v>
      </c>
      <c r="R91" s="573">
        <f t="shared" ref="R91:BI91" si="32">R$71</f>
        <v>0</v>
      </c>
      <c r="S91" s="574">
        <f t="shared" si="32"/>
        <v>0</v>
      </c>
      <c r="T91" s="574">
        <f t="shared" si="32"/>
        <v>0</v>
      </c>
      <c r="U91" s="574">
        <f t="shared" si="32"/>
        <v>0</v>
      </c>
      <c r="V91" s="574">
        <f t="shared" si="32"/>
        <v>0</v>
      </c>
      <c r="W91" s="574">
        <f t="shared" si="32"/>
        <v>0</v>
      </c>
      <c r="X91" s="574">
        <f t="shared" si="32"/>
        <v>0</v>
      </c>
      <c r="Y91" s="574">
        <f t="shared" si="32"/>
        <v>0</v>
      </c>
      <c r="Z91" s="574">
        <f t="shared" si="32"/>
        <v>0</v>
      </c>
      <c r="AA91" s="574">
        <f t="shared" si="32"/>
        <v>0</v>
      </c>
      <c r="AB91" s="574">
        <f t="shared" si="32"/>
        <v>0</v>
      </c>
      <c r="AC91" s="574">
        <f t="shared" si="32"/>
        <v>0</v>
      </c>
      <c r="AD91" s="574">
        <f t="shared" si="32"/>
        <v>0</v>
      </c>
      <c r="AE91" s="575">
        <f t="shared" si="32"/>
        <v>0</v>
      </c>
      <c r="AF91" s="447" t="str">
        <f t="shared" si="32"/>
        <v>Cu</v>
      </c>
      <c r="AG91" s="447" t="str">
        <f t="shared" si="32"/>
        <v>Fe</v>
      </c>
      <c r="AH91" s="447" t="str">
        <f t="shared" si="32"/>
        <v>S</v>
      </c>
      <c r="AI91" s="448" t="str">
        <f t="shared" si="32"/>
        <v>Mo</v>
      </c>
      <c r="AJ91" s="447">
        <f t="shared" si="32"/>
        <v>0</v>
      </c>
      <c r="AK91" s="447">
        <f t="shared" si="32"/>
        <v>0</v>
      </c>
      <c r="AL91" s="447">
        <f t="shared" si="32"/>
        <v>0</v>
      </c>
      <c r="AM91" s="447">
        <f t="shared" si="32"/>
        <v>0</v>
      </c>
      <c r="AN91" s="447">
        <f t="shared" si="32"/>
        <v>0</v>
      </c>
      <c r="AO91" s="447">
        <f t="shared" si="32"/>
        <v>0</v>
      </c>
      <c r="AP91" s="447">
        <f t="shared" si="32"/>
        <v>0</v>
      </c>
      <c r="AQ91" s="447">
        <f t="shared" si="32"/>
        <v>0</v>
      </c>
      <c r="AR91" s="447">
        <f t="shared" si="32"/>
        <v>0</v>
      </c>
      <c r="AS91" s="447">
        <f t="shared" si="32"/>
        <v>0</v>
      </c>
      <c r="AT91" s="447">
        <f t="shared" si="32"/>
        <v>0</v>
      </c>
      <c r="AU91" s="448">
        <f t="shared" si="32"/>
        <v>0</v>
      </c>
      <c r="AV91" s="447">
        <f t="shared" si="32"/>
        <v>0</v>
      </c>
      <c r="AW91" s="447">
        <f t="shared" si="32"/>
        <v>0</v>
      </c>
      <c r="AX91" s="447">
        <f t="shared" si="32"/>
        <v>0</v>
      </c>
      <c r="AY91" s="447">
        <f t="shared" si="32"/>
        <v>0</v>
      </c>
      <c r="AZ91" s="447">
        <f t="shared" si="32"/>
        <v>0</v>
      </c>
      <c r="BA91" s="447">
        <f t="shared" si="32"/>
        <v>0</v>
      </c>
      <c r="BB91" s="447">
        <f t="shared" si="32"/>
        <v>0</v>
      </c>
      <c r="BC91" s="447">
        <f t="shared" si="32"/>
        <v>0</v>
      </c>
      <c r="BD91" s="447">
        <f t="shared" si="32"/>
        <v>0</v>
      </c>
      <c r="BE91" s="447">
        <f t="shared" si="32"/>
        <v>0</v>
      </c>
      <c r="BF91" s="447">
        <f t="shared" si="32"/>
        <v>0</v>
      </c>
      <c r="BG91" s="447">
        <f t="shared" si="32"/>
        <v>0</v>
      </c>
      <c r="BH91" s="447">
        <f t="shared" si="32"/>
        <v>0</v>
      </c>
      <c r="BI91" s="447">
        <f t="shared" si="32"/>
        <v>0</v>
      </c>
      <c r="BJ91" s="338"/>
      <c r="BK91" s="338"/>
      <c r="BL91" s="338"/>
      <c r="BM91" s="338"/>
      <c r="BN91" s="338"/>
    </row>
    <row r="92" spans="1:78" ht="15" thickTop="1">
      <c r="A92" s="338"/>
      <c r="B92" s="359"/>
      <c r="C92" s="366" t="s">
        <v>555</v>
      </c>
      <c r="D92" s="576">
        <v>1200</v>
      </c>
      <c r="E92" s="324"/>
      <c r="F92" s="324"/>
      <c r="G92" s="532" t="s">
        <v>528</v>
      </c>
      <c r="H92" s="553">
        <v>14.2</v>
      </c>
      <c r="I92" s="553"/>
      <c r="J92" s="324"/>
      <c r="K92" s="324"/>
      <c r="L92" s="324"/>
      <c r="M92" s="324"/>
      <c r="N92" s="569"/>
      <c r="O92" s="412">
        <v>0</v>
      </c>
      <c r="P92" s="412"/>
      <c r="Q92" s="454">
        <v>0</v>
      </c>
      <c r="R92" s="577">
        <v>0</v>
      </c>
      <c r="S92" s="578">
        <v>0</v>
      </c>
      <c r="T92" s="578">
        <v>0</v>
      </c>
      <c r="U92" s="578">
        <v>0</v>
      </c>
      <c r="V92" s="578">
        <v>0</v>
      </c>
      <c r="W92" s="578">
        <v>0</v>
      </c>
      <c r="X92" s="578">
        <v>0</v>
      </c>
      <c r="Y92" s="578">
        <v>0</v>
      </c>
      <c r="Z92" s="578">
        <v>0</v>
      </c>
      <c r="AA92" s="578">
        <v>0</v>
      </c>
      <c r="AB92" s="578">
        <v>0</v>
      </c>
      <c r="AC92" s="578">
        <v>0</v>
      </c>
      <c r="AD92" s="578">
        <v>0</v>
      </c>
      <c r="AE92" s="579">
        <v>0</v>
      </c>
      <c r="AF92" s="580">
        <v>0</v>
      </c>
      <c r="AG92" s="580">
        <v>0</v>
      </c>
      <c r="AH92" s="580">
        <v>0</v>
      </c>
      <c r="AI92" s="581">
        <v>0</v>
      </c>
      <c r="AJ92" s="582">
        <v>0</v>
      </c>
      <c r="AK92" s="582">
        <v>0</v>
      </c>
      <c r="AL92" s="582">
        <v>0</v>
      </c>
      <c r="AM92" s="582">
        <v>0</v>
      </c>
      <c r="AN92" s="582">
        <v>0</v>
      </c>
      <c r="AO92" s="582">
        <v>0</v>
      </c>
      <c r="AP92" s="582">
        <v>0</v>
      </c>
      <c r="AQ92" s="582">
        <v>0</v>
      </c>
      <c r="AR92" s="582">
        <v>0</v>
      </c>
      <c r="AS92" s="582">
        <v>0</v>
      </c>
      <c r="AT92" s="582">
        <v>0</v>
      </c>
      <c r="AU92" s="581">
        <v>0</v>
      </c>
      <c r="AV92" s="582">
        <v>0</v>
      </c>
      <c r="AW92" s="582">
        <v>0</v>
      </c>
      <c r="AX92" s="582">
        <v>0</v>
      </c>
      <c r="AY92" s="582">
        <v>0</v>
      </c>
      <c r="AZ92" s="582">
        <v>0</v>
      </c>
      <c r="BA92" s="582">
        <v>0</v>
      </c>
      <c r="BB92" s="582">
        <v>0</v>
      </c>
      <c r="BC92" s="582">
        <v>0</v>
      </c>
      <c r="BD92" s="582">
        <v>0</v>
      </c>
      <c r="BE92" s="582">
        <v>0</v>
      </c>
      <c r="BF92" s="582">
        <v>0</v>
      </c>
      <c r="BG92" s="582">
        <v>0</v>
      </c>
      <c r="BH92" s="582">
        <v>0</v>
      </c>
      <c r="BI92" s="582">
        <v>0</v>
      </c>
      <c r="BJ92" s="338"/>
      <c r="BK92" s="338"/>
      <c r="BL92" s="338"/>
      <c r="BM92" s="338"/>
      <c r="BN92" s="338"/>
    </row>
    <row r="93" spans="1:78">
      <c r="A93" s="338"/>
      <c r="B93" s="359"/>
      <c r="C93" s="366" t="s">
        <v>554</v>
      </c>
      <c r="D93" s="561">
        <f>D91*PI()*D92/100/60</f>
        <v>4.5867252742410978</v>
      </c>
      <c r="E93" s="324"/>
      <c r="F93" s="324"/>
      <c r="G93" s="324"/>
      <c r="H93" s="324"/>
      <c r="I93" s="324"/>
      <c r="J93" s="324"/>
      <c r="K93" s="324"/>
      <c r="L93" s="324"/>
      <c r="M93" s="324"/>
      <c r="N93" s="569"/>
      <c r="O93" s="583">
        <f>C78</f>
        <v>0.75</v>
      </c>
      <c r="P93" s="583"/>
      <c r="Q93" s="388">
        <f>Q78</f>
        <v>13.780855975847986</v>
      </c>
      <c r="R93" s="584">
        <f t="shared" ref="R93:AA96" si="33">IF(R$91=0,0,R92+R78*$Q78/(R$86*$Q$86)*100)</f>
        <v>0</v>
      </c>
      <c r="S93" s="585">
        <f t="shared" si="33"/>
        <v>0</v>
      </c>
      <c r="T93" s="585">
        <f t="shared" si="33"/>
        <v>0</v>
      </c>
      <c r="U93" s="585">
        <f t="shared" si="33"/>
        <v>0</v>
      </c>
      <c r="V93" s="585">
        <f t="shared" si="33"/>
        <v>0</v>
      </c>
      <c r="W93" s="585">
        <f t="shared" si="33"/>
        <v>0</v>
      </c>
      <c r="X93" s="585">
        <f t="shared" si="33"/>
        <v>0</v>
      </c>
      <c r="Y93" s="585">
        <f t="shared" si="33"/>
        <v>0</v>
      </c>
      <c r="Z93" s="585">
        <f t="shared" si="33"/>
        <v>0</v>
      </c>
      <c r="AA93" s="585">
        <f t="shared" si="33"/>
        <v>0</v>
      </c>
      <c r="AB93" s="585">
        <f t="shared" ref="AB93:AK96" si="34">IF(AB$91=0,0,AB92+AB78*$Q78/(AB$86*$Q$86)*100)</f>
        <v>0</v>
      </c>
      <c r="AC93" s="585">
        <f t="shared" si="34"/>
        <v>0</v>
      </c>
      <c r="AD93" s="585">
        <f t="shared" si="34"/>
        <v>0</v>
      </c>
      <c r="AE93" s="586">
        <f t="shared" si="34"/>
        <v>0</v>
      </c>
      <c r="AF93" s="582">
        <f t="shared" si="34"/>
        <v>75.828615723851641</v>
      </c>
      <c r="AG93" s="582">
        <f t="shared" si="34"/>
        <v>51.055263443461854</v>
      </c>
      <c r="AH93" s="582">
        <f t="shared" si="34"/>
        <v>56.820209056542566</v>
      </c>
      <c r="AI93" s="581">
        <f t="shared" si="34"/>
        <v>20.430989088630717</v>
      </c>
      <c r="AJ93" s="582">
        <f t="shared" si="34"/>
        <v>0</v>
      </c>
      <c r="AK93" s="582">
        <f t="shared" si="34"/>
        <v>0</v>
      </c>
      <c r="AL93" s="582">
        <f t="shared" ref="AL93:AU96" si="35">IF(AL$91=0,0,AL92+AL78*$Q78/(AL$86*$Q$86)*100)</f>
        <v>0</v>
      </c>
      <c r="AM93" s="582">
        <f t="shared" si="35"/>
        <v>0</v>
      </c>
      <c r="AN93" s="582">
        <f t="shared" si="35"/>
        <v>0</v>
      </c>
      <c r="AO93" s="582">
        <f t="shared" si="35"/>
        <v>0</v>
      </c>
      <c r="AP93" s="582">
        <f t="shared" si="35"/>
        <v>0</v>
      </c>
      <c r="AQ93" s="582">
        <f t="shared" si="35"/>
        <v>0</v>
      </c>
      <c r="AR93" s="582">
        <f t="shared" si="35"/>
        <v>0</v>
      </c>
      <c r="AS93" s="582">
        <f t="shared" si="35"/>
        <v>0</v>
      </c>
      <c r="AT93" s="582">
        <f t="shared" si="35"/>
        <v>0</v>
      </c>
      <c r="AU93" s="581">
        <f t="shared" si="35"/>
        <v>0</v>
      </c>
      <c r="AV93" s="582">
        <f t="shared" ref="AV93:BE96" si="36">IF(AV$91=0,0,AV92+AV78*$Q78/(AV$86*$Q$86)*100)</f>
        <v>0</v>
      </c>
      <c r="AW93" s="582">
        <f t="shared" si="36"/>
        <v>0</v>
      </c>
      <c r="AX93" s="582">
        <f t="shared" si="36"/>
        <v>0</v>
      </c>
      <c r="AY93" s="582">
        <f t="shared" si="36"/>
        <v>0</v>
      </c>
      <c r="AZ93" s="582">
        <f t="shared" si="36"/>
        <v>0</v>
      </c>
      <c r="BA93" s="582">
        <f t="shared" si="36"/>
        <v>0</v>
      </c>
      <c r="BB93" s="582">
        <f t="shared" si="36"/>
        <v>0</v>
      </c>
      <c r="BC93" s="582">
        <f t="shared" si="36"/>
        <v>0</v>
      </c>
      <c r="BD93" s="582">
        <f t="shared" si="36"/>
        <v>0</v>
      </c>
      <c r="BE93" s="582">
        <f t="shared" si="36"/>
        <v>0</v>
      </c>
      <c r="BF93" s="582">
        <f t="shared" ref="BF93:BI96" si="37">IF(BF$91=0,0,BF92+BF78*$Q78/(BF$86*$Q$86)*100)</f>
        <v>0</v>
      </c>
      <c r="BG93" s="582">
        <f t="shared" si="37"/>
        <v>0</v>
      </c>
      <c r="BH93" s="582">
        <f t="shared" si="37"/>
        <v>0</v>
      </c>
      <c r="BI93" s="582">
        <f t="shared" si="37"/>
        <v>0</v>
      </c>
      <c r="BJ93" s="338"/>
      <c r="BK93" s="338"/>
      <c r="BL93" s="338"/>
      <c r="BM93" s="338"/>
      <c r="BN93" s="338"/>
    </row>
    <row r="94" spans="1:78">
      <c r="A94" s="338"/>
      <c r="B94" s="324"/>
      <c r="C94" s="324"/>
      <c r="D94" s="324"/>
      <c r="E94" s="334"/>
      <c r="F94" s="334"/>
      <c r="G94" s="324"/>
      <c r="H94" s="324"/>
      <c r="I94" s="324"/>
      <c r="J94" s="324"/>
      <c r="K94" s="324"/>
      <c r="L94" s="334"/>
      <c r="M94" s="324"/>
      <c r="N94" s="569"/>
      <c r="O94" s="583">
        <f>C79</f>
        <v>2</v>
      </c>
      <c r="P94" s="583"/>
      <c r="Q94" s="388">
        <f>Q79+Q93</f>
        <v>20.049724738057186</v>
      </c>
      <c r="R94" s="584">
        <f t="shared" si="33"/>
        <v>0</v>
      </c>
      <c r="S94" s="585">
        <f t="shared" si="33"/>
        <v>0</v>
      </c>
      <c r="T94" s="585">
        <f t="shared" si="33"/>
        <v>0</v>
      </c>
      <c r="U94" s="585">
        <f t="shared" si="33"/>
        <v>0</v>
      </c>
      <c r="V94" s="585">
        <f t="shared" si="33"/>
        <v>0</v>
      </c>
      <c r="W94" s="585">
        <f t="shared" si="33"/>
        <v>0</v>
      </c>
      <c r="X94" s="585">
        <f t="shared" si="33"/>
        <v>0</v>
      </c>
      <c r="Y94" s="585">
        <f t="shared" si="33"/>
        <v>0</v>
      </c>
      <c r="Z94" s="585">
        <f t="shared" si="33"/>
        <v>0</v>
      </c>
      <c r="AA94" s="585">
        <f t="shared" si="33"/>
        <v>0</v>
      </c>
      <c r="AB94" s="585">
        <f t="shared" si="34"/>
        <v>0</v>
      </c>
      <c r="AC94" s="585">
        <f t="shared" si="34"/>
        <v>0</v>
      </c>
      <c r="AD94" s="585">
        <f t="shared" si="34"/>
        <v>0</v>
      </c>
      <c r="AE94" s="586">
        <f t="shared" si="34"/>
        <v>0</v>
      </c>
      <c r="AF94" s="582">
        <f t="shared" si="34"/>
        <v>85.300024431811053</v>
      </c>
      <c r="AG94" s="582">
        <f t="shared" si="34"/>
        <v>58.595809364745676</v>
      </c>
      <c r="AH94" s="582">
        <f t="shared" si="34"/>
        <v>64.547148737513169</v>
      </c>
      <c r="AI94" s="581">
        <f t="shared" si="34"/>
        <v>29.006038172388234</v>
      </c>
      <c r="AJ94" s="582">
        <f t="shared" si="34"/>
        <v>0</v>
      </c>
      <c r="AK94" s="582">
        <f t="shared" si="34"/>
        <v>0</v>
      </c>
      <c r="AL94" s="582">
        <f t="shared" si="35"/>
        <v>0</v>
      </c>
      <c r="AM94" s="582">
        <f t="shared" si="35"/>
        <v>0</v>
      </c>
      <c r="AN94" s="582">
        <f t="shared" si="35"/>
        <v>0</v>
      </c>
      <c r="AO94" s="582">
        <f t="shared" si="35"/>
        <v>0</v>
      </c>
      <c r="AP94" s="582">
        <f t="shared" si="35"/>
        <v>0</v>
      </c>
      <c r="AQ94" s="582">
        <f t="shared" si="35"/>
        <v>0</v>
      </c>
      <c r="AR94" s="582">
        <f t="shared" si="35"/>
        <v>0</v>
      </c>
      <c r="AS94" s="582">
        <f t="shared" si="35"/>
        <v>0</v>
      </c>
      <c r="AT94" s="582">
        <f t="shared" si="35"/>
        <v>0</v>
      </c>
      <c r="AU94" s="581">
        <f t="shared" si="35"/>
        <v>0</v>
      </c>
      <c r="AV94" s="582">
        <f t="shared" si="36"/>
        <v>0</v>
      </c>
      <c r="AW94" s="582">
        <f t="shared" si="36"/>
        <v>0</v>
      </c>
      <c r="AX94" s="582">
        <f t="shared" si="36"/>
        <v>0</v>
      </c>
      <c r="AY94" s="582">
        <f t="shared" si="36"/>
        <v>0</v>
      </c>
      <c r="AZ94" s="582">
        <f t="shared" si="36"/>
        <v>0</v>
      </c>
      <c r="BA94" s="582">
        <f t="shared" si="36"/>
        <v>0</v>
      </c>
      <c r="BB94" s="582">
        <f t="shared" si="36"/>
        <v>0</v>
      </c>
      <c r="BC94" s="582">
        <f t="shared" si="36"/>
        <v>0</v>
      </c>
      <c r="BD94" s="582">
        <f t="shared" si="36"/>
        <v>0</v>
      </c>
      <c r="BE94" s="582">
        <f t="shared" si="36"/>
        <v>0</v>
      </c>
      <c r="BF94" s="582">
        <f t="shared" si="37"/>
        <v>0</v>
      </c>
      <c r="BG94" s="582">
        <f t="shared" si="37"/>
        <v>0</v>
      </c>
      <c r="BH94" s="582">
        <f t="shared" si="37"/>
        <v>0</v>
      </c>
      <c r="BI94" s="582">
        <f t="shared" si="37"/>
        <v>0</v>
      </c>
      <c r="BJ94" s="338"/>
      <c r="BK94" s="338"/>
      <c r="BL94" s="338"/>
      <c r="BM94" s="338"/>
      <c r="BN94" s="338"/>
    </row>
    <row r="95" spans="1:78">
      <c r="A95" s="338"/>
      <c r="B95" s="324"/>
      <c r="C95" s="324"/>
      <c r="D95" s="324"/>
      <c r="E95" s="324"/>
      <c r="F95" s="324"/>
      <c r="G95" s="324"/>
      <c r="H95" s="324"/>
      <c r="I95" s="324"/>
      <c r="J95" s="324"/>
      <c r="K95" s="324"/>
      <c r="L95" s="324"/>
      <c r="M95" s="363"/>
      <c r="N95" s="569"/>
      <c r="O95" s="583">
        <f>C80</f>
        <v>8</v>
      </c>
      <c r="P95" s="583"/>
      <c r="Q95" s="388">
        <f>Q80+Q94</f>
        <v>32.143491386965017</v>
      </c>
      <c r="R95" s="584">
        <f t="shared" si="33"/>
        <v>0</v>
      </c>
      <c r="S95" s="585">
        <f t="shared" si="33"/>
        <v>0</v>
      </c>
      <c r="T95" s="585">
        <f t="shared" si="33"/>
        <v>0</v>
      </c>
      <c r="U95" s="585">
        <f t="shared" si="33"/>
        <v>0</v>
      </c>
      <c r="V95" s="585">
        <f t="shared" si="33"/>
        <v>0</v>
      </c>
      <c r="W95" s="585">
        <f t="shared" si="33"/>
        <v>0</v>
      </c>
      <c r="X95" s="585">
        <f t="shared" si="33"/>
        <v>0</v>
      </c>
      <c r="Y95" s="585">
        <f t="shared" si="33"/>
        <v>0</v>
      </c>
      <c r="Z95" s="585">
        <f t="shared" si="33"/>
        <v>0</v>
      </c>
      <c r="AA95" s="585">
        <f t="shared" si="33"/>
        <v>0</v>
      </c>
      <c r="AB95" s="585">
        <f t="shared" si="34"/>
        <v>0</v>
      </c>
      <c r="AC95" s="585">
        <f t="shared" si="34"/>
        <v>0</v>
      </c>
      <c r="AD95" s="585">
        <f t="shared" si="34"/>
        <v>0</v>
      </c>
      <c r="AE95" s="586">
        <f t="shared" si="34"/>
        <v>0</v>
      </c>
      <c r="AF95" s="582">
        <f t="shared" si="34"/>
        <v>89.042571684068605</v>
      </c>
      <c r="AG95" s="582">
        <f t="shared" si="34"/>
        <v>63.503017215230109</v>
      </c>
      <c r="AH95" s="582">
        <f t="shared" si="34"/>
        <v>68.672361597541041</v>
      </c>
      <c r="AI95" s="581">
        <f t="shared" si="34"/>
        <v>40.07660102663003</v>
      </c>
      <c r="AJ95" s="582">
        <f t="shared" si="34"/>
        <v>0</v>
      </c>
      <c r="AK95" s="582">
        <f t="shared" si="34"/>
        <v>0</v>
      </c>
      <c r="AL95" s="582">
        <f t="shared" si="35"/>
        <v>0</v>
      </c>
      <c r="AM95" s="582">
        <f t="shared" si="35"/>
        <v>0</v>
      </c>
      <c r="AN95" s="582">
        <f t="shared" si="35"/>
        <v>0</v>
      </c>
      <c r="AO95" s="582">
        <f t="shared" si="35"/>
        <v>0</v>
      </c>
      <c r="AP95" s="582">
        <f t="shared" si="35"/>
        <v>0</v>
      </c>
      <c r="AQ95" s="582">
        <f t="shared" si="35"/>
        <v>0</v>
      </c>
      <c r="AR95" s="582">
        <f t="shared" si="35"/>
        <v>0</v>
      </c>
      <c r="AS95" s="582">
        <f t="shared" si="35"/>
        <v>0</v>
      </c>
      <c r="AT95" s="582">
        <f t="shared" si="35"/>
        <v>0</v>
      </c>
      <c r="AU95" s="581">
        <f t="shared" si="35"/>
        <v>0</v>
      </c>
      <c r="AV95" s="582">
        <f t="shared" si="36"/>
        <v>0</v>
      </c>
      <c r="AW95" s="582">
        <f t="shared" si="36"/>
        <v>0</v>
      </c>
      <c r="AX95" s="582">
        <f t="shared" si="36"/>
        <v>0</v>
      </c>
      <c r="AY95" s="582">
        <f t="shared" si="36"/>
        <v>0</v>
      </c>
      <c r="AZ95" s="582">
        <f t="shared" si="36"/>
        <v>0</v>
      </c>
      <c r="BA95" s="582">
        <f t="shared" si="36"/>
        <v>0</v>
      </c>
      <c r="BB95" s="582">
        <f t="shared" si="36"/>
        <v>0</v>
      </c>
      <c r="BC95" s="582">
        <f t="shared" si="36"/>
        <v>0</v>
      </c>
      <c r="BD95" s="582">
        <f t="shared" si="36"/>
        <v>0</v>
      </c>
      <c r="BE95" s="582">
        <f t="shared" si="36"/>
        <v>0</v>
      </c>
      <c r="BF95" s="582">
        <f t="shared" si="37"/>
        <v>0</v>
      </c>
      <c r="BG95" s="582">
        <f t="shared" si="37"/>
        <v>0</v>
      </c>
      <c r="BH95" s="582">
        <f t="shared" si="37"/>
        <v>0</v>
      </c>
      <c r="BI95" s="582">
        <f t="shared" si="37"/>
        <v>0</v>
      </c>
      <c r="BJ95" s="338"/>
      <c r="BK95" s="338"/>
      <c r="BL95" s="338"/>
      <c r="BM95" s="338"/>
      <c r="BN95" s="338"/>
    </row>
    <row r="96" spans="1:78" ht="15" thickBot="1">
      <c r="A96" s="338"/>
      <c r="B96" s="324"/>
      <c r="C96" s="324"/>
      <c r="D96" s="324"/>
      <c r="E96" s="324"/>
      <c r="F96" s="324"/>
      <c r="G96" s="324"/>
      <c r="H96" s="324"/>
      <c r="I96" s="324"/>
      <c r="J96" s="324"/>
      <c r="K96" s="324"/>
      <c r="L96" s="324"/>
      <c r="M96" s="334"/>
      <c r="N96" s="569"/>
      <c r="O96" s="583">
        <f>C81</f>
        <v>30</v>
      </c>
      <c r="P96" s="583"/>
      <c r="Q96" s="388">
        <f>Q81+Q95</f>
        <v>58.763985082578586</v>
      </c>
      <c r="R96" s="584">
        <f t="shared" si="33"/>
        <v>0</v>
      </c>
      <c r="S96" s="585">
        <f t="shared" si="33"/>
        <v>0</v>
      </c>
      <c r="T96" s="585">
        <f t="shared" si="33"/>
        <v>0</v>
      </c>
      <c r="U96" s="585">
        <f t="shared" si="33"/>
        <v>0</v>
      </c>
      <c r="V96" s="585">
        <f t="shared" si="33"/>
        <v>0</v>
      </c>
      <c r="W96" s="585">
        <f t="shared" si="33"/>
        <v>0</v>
      </c>
      <c r="X96" s="585">
        <f t="shared" si="33"/>
        <v>0</v>
      </c>
      <c r="Y96" s="585">
        <f t="shared" si="33"/>
        <v>0</v>
      </c>
      <c r="Z96" s="585">
        <f t="shared" si="33"/>
        <v>0</v>
      </c>
      <c r="AA96" s="585">
        <f t="shared" si="33"/>
        <v>0</v>
      </c>
      <c r="AB96" s="585">
        <f t="shared" si="34"/>
        <v>0</v>
      </c>
      <c r="AC96" s="585">
        <f t="shared" si="34"/>
        <v>0</v>
      </c>
      <c r="AD96" s="585">
        <f t="shared" si="34"/>
        <v>0</v>
      </c>
      <c r="AE96" s="586">
        <f t="shared" si="34"/>
        <v>0</v>
      </c>
      <c r="AF96" s="582">
        <f t="shared" si="34"/>
        <v>93.295887152511241</v>
      </c>
      <c r="AG96" s="582">
        <f t="shared" si="34"/>
        <v>79.299855682922825</v>
      </c>
      <c r="AH96" s="582">
        <f t="shared" si="34"/>
        <v>80.610623501291627</v>
      </c>
      <c r="AI96" s="581">
        <f t="shared" si="34"/>
        <v>63.112639724849544</v>
      </c>
      <c r="AJ96" s="582">
        <f t="shared" si="34"/>
        <v>0</v>
      </c>
      <c r="AK96" s="582">
        <f t="shared" si="34"/>
        <v>0</v>
      </c>
      <c r="AL96" s="582">
        <f t="shared" si="35"/>
        <v>0</v>
      </c>
      <c r="AM96" s="582">
        <f t="shared" si="35"/>
        <v>0</v>
      </c>
      <c r="AN96" s="582">
        <f t="shared" si="35"/>
        <v>0</v>
      </c>
      <c r="AO96" s="582">
        <f t="shared" si="35"/>
        <v>0</v>
      </c>
      <c r="AP96" s="582">
        <f t="shared" si="35"/>
        <v>0</v>
      </c>
      <c r="AQ96" s="582">
        <f t="shared" si="35"/>
        <v>0</v>
      </c>
      <c r="AR96" s="582">
        <f t="shared" si="35"/>
        <v>0</v>
      </c>
      <c r="AS96" s="582">
        <f t="shared" si="35"/>
        <v>0</v>
      </c>
      <c r="AT96" s="582">
        <f t="shared" si="35"/>
        <v>0</v>
      </c>
      <c r="AU96" s="587">
        <f t="shared" si="35"/>
        <v>0</v>
      </c>
      <c r="AV96" s="588">
        <f t="shared" si="36"/>
        <v>0</v>
      </c>
      <c r="AW96" s="588">
        <f t="shared" si="36"/>
        <v>0</v>
      </c>
      <c r="AX96" s="588">
        <f t="shared" si="36"/>
        <v>0</v>
      </c>
      <c r="AY96" s="588">
        <f t="shared" si="36"/>
        <v>0</v>
      </c>
      <c r="AZ96" s="588">
        <f t="shared" si="36"/>
        <v>0</v>
      </c>
      <c r="BA96" s="588">
        <f t="shared" si="36"/>
        <v>0</v>
      </c>
      <c r="BB96" s="588">
        <f t="shared" si="36"/>
        <v>0</v>
      </c>
      <c r="BC96" s="588">
        <f t="shared" si="36"/>
        <v>0</v>
      </c>
      <c r="BD96" s="588">
        <f t="shared" si="36"/>
        <v>0</v>
      </c>
      <c r="BE96" s="588">
        <f t="shared" si="36"/>
        <v>0</v>
      </c>
      <c r="BF96" s="588">
        <f t="shared" si="37"/>
        <v>0</v>
      </c>
      <c r="BG96" s="588">
        <f t="shared" si="37"/>
        <v>0</v>
      </c>
      <c r="BH96" s="588">
        <f t="shared" si="37"/>
        <v>0</v>
      </c>
      <c r="BI96" s="588">
        <f t="shared" si="37"/>
        <v>0</v>
      </c>
      <c r="BJ96" s="338"/>
      <c r="BK96" s="338"/>
      <c r="BL96" s="338"/>
      <c r="BM96" s="338"/>
      <c r="BN96" s="338"/>
    </row>
    <row r="97" spans="1:78">
      <c r="A97" s="338"/>
      <c r="B97" s="324"/>
      <c r="C97" s="324"/>
      <c r="D97" s="324"/>
      <c r="E97" s="324"/>
      <c r="F97" s="324"/>
      <c r="G97" s="324"/>
      <c r="H97" s="324"/>
      <c r="I97" s="324"/>
      <c r="J97" s="324"/>
      <c r="K97" s="324"/>
      <c r="L97" s="324"/>
      <c r="M97" s="324"/>
      <c r="N97" s="324"/>
      <c r="O97" s="382"/>
      <c r="P97" s="382"/>
      <c r="Q97" s="382"/>
      <c r="R97" s="382"/>
      <c r="S97" s="382"/>
      <c r="T97" s="382"/>
      <c r="U97" s="382"/>
      <c r="V97" s="382"/>
      <c r="W97" s="382"/>
      <c r="X97" s="382"/>
      <c r="Y97" s="382"/>
      <c r="Z97" s="382"/>
      <c r="AA97" s="382"/>
      <c r="AB97" s="382"/>
      <c r="AC97" s="363"/>
      <c r="AD97" s="363"/>
      <c r="AE97" s="324"/>
      <c r="AF97" s="324"/>
      <c r="AG97" s="324"/>
      <c r="AH97" s="324"/>
      <c r="AI97" s="324"/>
      <c r="AJ97" s="324"/>
      <c r="AK97" s="324"/>
      <c r="AL97" s="324"/>
      <c r="AM97" s="324"/>
      <c r="AN97" s="324"/>
      <c r="AO97" s="324"/>
      <c r="AP97" s="324"/>
      <c r="AQ97" s="324"/>
      <c r="AR97" s="324"/>
      <c r="AS97" s="324"/>
      <c r="AT97" s="324"/>
      <c r="AU97" s="338"/>
      <c r="AV97" s="338"/>
      <c r="AW97" s="338"/>
      <c r="AX97" s="338"/>
      <c r="AY97" s="338"/>
      <c r="AZ97" s="338"/>
      <c r="BA97" s="338"/>
      <c r="BB97" s="338"/>
      <c r="BC97" s="338"/>
      <c r="BD97" s="338"/>
      <c r="BE97" s="338"/>
      <c r="BF97" s="338"/>
      <c r="BG97" s="338"/>
      <c r="BH97" s="338"/>
      <c r="BI97" s="338"/>
      <c r="BJ97" s="338"/>
      <c r="BK97" s="338"/>
      <c r="BL97" s="338"/>
      <c r="BM97" s="338"/>
      <c r="BN97" s="338"/>
    </row>
    <row r="98" spans="1:78">
      <c r="A98" s="338"/>
      <c r="B98" s="324"/>
      <c r="C98" s="324"/>
      <c r="D98" s="324"/>
      <c r="E98" s="324"/>
      <c r="F98" s="324"/>
      <c r="G98" s="324"/>
      <c r="H98" s="324"/>
      <c r="I98" s="324"/>
      <c r="J98" s="324"/>
      <c r="K98" s="324"/>
      <c r="L98" s="324"/>
      <c r="M98" s="324"/>
      <c r="N98" s="324"/>
      <c r="O98" s="324"/>
      <c r="P98" s="618"/>
      <c r="Q98" s="324"/>
      <c r="R98" s="324"/>
      <c r="S98" s="324"/>
      <c r="T98" s="324"/>
      <c r="U98" s="324"/>
      <c r="V98" s="324"/>
      <c r="W98" s="324"/>
      <c r="X98" s="324"/>
      <c r="Y98" s="324"/>
      <c r="Z98" s="324"/>
      <c r="AA98" s="324"/>
      <c r="AB98" s="338"/>
      <c r="AC98" s="338"/>
      <c r="AD98" s="338"/>
      <c r="AE98" s="324"/>
      <c r="AF98" s="324"/>
      <c r="AG98" s="324"/>
      <c r="AH98" s="324"/>
      <c r="AI98" s="324"/>
      <c r="AJ98" s="324"/>
      <c r="AK98" s="324"/>
      <c r="AL98" s="324"/>
      <c r="AM98" s="324"/>
      <c r="AN98" s="324"/>
      <c r="AO98" s="324"/>
      <c r="AP98" s="324"/>
      <c r="AQ98" s="324"/>
      <c r="AR98" s="324"/>
      <c r="AS98" s="324"/>
      <c r="AT98" s="324"/>
      <c r="AU98" s="338"/>
      <c r="AV98" s="338"/>
      <c r="AW98" s="338"/>
      <c r="AX98" s="338"/>
      <c r="AY98" s="338"/>
      <c r="AZ98" s="338"/>
      <c r="BA98" s="338"/>
      <c r="BB98" s="338"/>
      <c r="BC98" s="338"/>
      <c r="BD98" s="338"/>
      <c r="BE98" s="338"/>
      <c r="BF98" s="338"/>
      <c r="BG98" s="338"/>
      <c r="BH98" s="338"/>
      <c r="BI98" s="338"/>
      <c r="BJ98" s="338"/>
      <c r="BK98" s="338"/>
      <c r="BL98" s="338"/>
      <c r="BM98" s="338"/>
      <c r="BN98" s="338"/>
    </row>
    <row r="102" spans="1:78" ht="14.65" customHeight="1">
      <c r="A102" s="1310" t="s">
        <v>553</v>
      </c>
      <c r="B102" s="1311"/>
      <c r="C102" s="1311"/>
      <c r="D102" s="1311"/>
      <c r="E102" s="1311"/>
      <c r="F102" s="1311"/>
      <c r="G102" s="1311"/>
      <c r="H102" s="1311"/>
      <c r="I102" s="1311"/>
      <c r="J102" s="1311"/>
      <c r="K102" s="1311"/>
      <c r="L102" s="1311"/>
      <c r="M102" s="1311"/>
      <c r="N102" s="1311"/>
      <c r="O102" s="1311"/>
      <c r="P102" s="1311"/>
      <c r="Q102" s="1311"/>
      <c r="R102" s="1311"/>
      <c r="S102" s="1311"/>
      <c r="T102" s="1311"/>
      <c r="U102" s="1311"/>
      <c r="V102" s="1311"/>
      <c r="W102" s="1311"/>
      <c r="X102" s="1311"/>
      <c r="Y102" s="1311"/>
      <c r="Z102" s="1311"/>
      <c r="AA102" s="1311"/>
      <c r="AB102" s="1311"/>
      <c r="AC102" s="1311"/>
      <c r="AD102" s="1311"/>
      <c r="AE102" s="1311"/>
      <c r="AF102" s="1311"/>
      <c r="AG102" s="1311"/>
      <c r="AH102" s="1311"/>
      <c r="AI102" s="1311"/>
      <c r="AJ102" s="1311"/>
      <c r="AK102" s="1311"/>
      <c r="AL102" s="1311"/>
      <c r="AM102" s="1311"/>
      <c r="AN102" s="1311"/>
      <c r="AO102" s="1311"/>
      <c r="AP102" s="1311"/>
      <c r="AQ102" s="1311"/>
      <c r="AR102" s="1311"/>
      <c r="AS102" s="1311"/>
      <c r="AT102" s="1311"/>
      <c r="AU102" s="1311"/>
      <c r="AV102" s="1311"/>
      <c r="AW102" s="1311"/>
      <c r="AX102" s="1311"/>
      <c r="AY102" s="1311"/>
      <c r="AZ102" s="1311"/>
      <c r="BA102" s="1311"/>
      <c r="BB102" s="1311"/>
      <c r="BC102" s="1311"/>
      <c r="BD102" s="1311"/>
      <c r="BE102" s="1311"/>
      <c r="BF102" s="1311"/>
      <c r="BG102" s="1311"/>
      <c r="BH102" s="1311"/>
      <c r="BI102" s="1311"/>
      <c r="BJ102" s="1311"/>
      <c r="BK102" s="1311"/>
      <c r="BL102" s="1311"/>
      <c r="BM102" s="1311"/>
      <c r="BN102" s="1311"/>
      <c r="BO102" s="1311"/>
      <c r="BP102" s="1311"/>
      <c r="BQ102" s="1311"/>
      <c r="BR102" s="1311"/>
      <c r="BS102" s="1311"/>
      <c r="BT102" s="1311"/>
      <c r="BU102" s="1311"/>
      <c r="BV102" s="1311"/>
      <c r="BW102" s="1311"/>
      <c r="BX102" s="1311"/>
      <c r="BY102" s="1311"/>
      <c r="BZ102" s="1311"/>
    </row>
    <row r="103" spans="1:78" ht="14.65" customHeight="1">
      <c r="A103" s="1312"/>
      <c r="B103" s="1313"/>
      <c r="C103" s="1313"/>
      <c r="D103" s="1313"/>
      <c r="E103" s="1313"/>
      <c r="F103" s="1313"/>
      <c r="G103" s="1313"/>
      <c r="H103" s="1313"/>
      <c r="I103" s="1313"/>
      <c r="J103" s="1313"/>
      <c r="K103" s="1313"/>
      <c r="L103" s="1313"/>
      <c r="M103" s="1313"/>
      <c r="N103" s="1313"/>
      <c r="O103" s="1313"/>
      <c r="P103" s="1313"/>
      <c r="Q103" s="1313"/>
      <c r="R103" s="1313"/>
      <c r="S103" s="1313"/>
      <c r="T103" s="1313"/>
      <c r="U103" s="1313"/>
      <c r="V103" s="1313"/>
      <c r="W103" s="1313"/>
      <c r="X103" s="1313"/>
      <c r="Y103" s="1313"/>
      <c r="Z103" s="1313"/>
      <c r="AA103" s="1313"/>
      <c r="AB103" s="1313"/>
      <c r="AC103" s="1313"/>
      <c r="AD103" s="1313"/>
      <c r="AE103" s="1313"/>
      <c r="AF103" s="1313"/>
      <c r="AG103" s="1313"/>
      <c r="AH103" s="1313"/>
      <c r="AI103" s="1313"/>
      <c r="AJ103" s="1313"/>
      <c r="AK103" s="1313"/>
      <c r="AL103" s="1313"/>
      <c r="AM103" s="1313"/>
      <c r="AN103" s="1313"/>
      <c r="AO103" s="1313"/>
      <c r="AP103" s="1313"/>
      <c r="AQ103" s="1313"/>
      <c r="AR103" s="1313"/>
      <c r="AS103" s="1313"/>
      <c r="AT103" s="1313"/>
      <c r="AU103" s="1313"/>
      <c r="AV103" s="1313"/>
      <c r="AW103" s="1313"/>
      <c r="AX103" s="1313"/>
      <c r="AY103" s="1313"/>
      <c r="AZ103" s="1313"/>
      <c r="BA103" s="1313"/>
      <c r="BB103" s="1313"/>
      <c r="BC103" s="1313"/>
      <c r="BD103" s="1313"/>
      <c r="BE103" s="1313"/>
      <c r="BF103" s="1313"/>
      <c r="BG103" s="1313"/>
      <c r="BH103" s="1313"/>
      <c r="BI103" s="1313"/>
      <c r="BJ103" s="1313"/>
      <c r="BK103" s="1313"/>
      <c r="BL103" s="1313"/>
      <c r="BM103" s="1313"/>
      <c r="BN103" s="1313"/>
      <c r="BO103" s="1313"/>
      <c r="BP103" s="1313"/>
      <c r="BQ103" s="1313"/>
      <c r="BR103" s="1313"/>
      <c r="BS103" s="1313"/>
      <c r="BT103" s="1313"/>
      <c r="BU103" s="1313"/>
      <c r="BV103" s="1313"/>
      <c r="BW103" s="1313"/>
      <c r="BX103" s="1313"/>
      <c r="BY103" s="1313"/>
      <c r="BZ103" s="1313"/>
    </row>
    <row r="104" spans="1:78" ht="14.65" customHeight="1">
      <c r="A104" s="1312"/>
      <c r="B104" s="1313"/>
      <c r="C104" s="1313"/>
      <c r="D104" s="1313"/>
      <c r="E104" s="1313"/>
      <c r="F104" s="1313"/>
      <c r="G104" s="1313"/>
      <c r="H104" s="1313"/>
      <c r="I104" s="1313"/>
      <c r="J104" s="1313"/>
      <c r="K104" s="1313"/>
      <c r="L104" s="1313"/>
      <c r="M104" s="1313"/>
      <c r="N104" s="1313"/>
      <c r="O104" s="1313"/>
      <c r="P104" s="1313"/>
      <c r="Q104" s="1313"/>
      <c r="R104" s="1313"/>
      <c r="S104" s="1313"/>
      <c r="T104" s="1313"/>
      <c r="U104" s="1313"/>
      <c r="V104" s="1313"/>
      <c r="W104" s="1313"/>
      <c r="X104" s="1313"/>
      <c r="Y104" s="1313"/>
      <c r="Z104" s="1313"/>
      <c r="AA104" s="1313"/>
      <c r="AB104" s="1313"/>
      <c r="AC104" s="1313"/>
      <c r="AD104" s="1313"/>
      <c r="AE104" s="1313"/>
      <c r="AF104" s="1313"/>
      <c r="AG104" s="1313"/>
      <c r="AH104" s="1313"/>
      <c r="AI104" s="1313"/>
      <c r="AJ104" s="1313"/>
      <c r="AK104" s="1313"/>
      <c r="AL104" s="1313"/>
      <c r="AM104" s="1313"/>
      <c r="AN104" s="1313"/>
      <c r="AO104" s="1313"/>
      <c r="AP104" s="1313"/>
      <c r="AQ104" s="1313"/>
      <c r="AR104" s="1313"/>
      <c r="AS104" s="1313"/>
      <c r="AT104" s="1313"/>
      <c r="AU104" s="1313"/>
      <c r="AV104" s="1313"/>
      <c r="AW104" s="1313"/>
      <c r="AX104" s="1313"/>
      <c r="AY104" s="1313"/>
      <c r="AZ104" s="1313"/>
      <c r="BA104" s="1313"/>
      <c r="BB104" s="1313"/>
      <c r="BC104" s="1313"/>
      <c r="BD104" s="1313"/>
      <c r="BE104" s="1313"/>
      <c r="BF104" s="1313"/>
      <c r="BG104" s="1313"/>
      <c r="BH104" s="1313"/>
      <c r="BI104" s="1313"/>
      <c r="BJ104" s="1313"/>
      <c r="BK104" s="1313"/>
      <c r="BL104" s="1313"/>
      <c r="BM104" s="1313"/>
      <c r="BN104" s="1313"/>
      <c r="BO104" s="1313"/>
      <c r="BP104" s="1313"/>
      <c r="BQ104" s="1313"/>
      <c r="BR104" s="1313"/>
      <c r="BS104" s="1313"/>
      <c r="BT104" s="1313"/>
      <c r="BU104" s="1313"/>
      <c r="BV104" s="1313"/>
      <c r="BW104" s="1313"/>
      <c r="BX104" s="1313"/>
      <c r="BY104" s="1313"/>
      <c r="BZ104" s="1313"/>
    </row>
    <row r="108" spans="1:78">
      <c r="A108" s="619">
        <v>1</v>
      </c>
      <c r="B108" s="619">
        <f t="shared" ref="B108:K108" si="38">A108+1</f>
        <v>2</v>
      </c>
      <c r="C108" s="619">
        <f t="shared" si="38"/>
        <v>3</v>
      </c>
      <c r="D108" s="619">
        <f t="shared" si="38"/>
        <v>4</v>
      </c>
      <c r="E108" s="619">
        <f t="shared" si="38"/>
        <v>5</v>
      </c>
      <c r="F108" s="620">
        <f t="shared" si="38"/>
        <v>6</v>
      </c>
      <c r="G108" s="619">
        <f t="shared" si="38"/>
        <v>7</v>
      </c>
      <c r="H108" s="619">
        <f t="shared" si="38"/>
        <v>8</v>
      </c>
      <c r="I108" s="619">
        <f t="shared" si="38"/>
        <v>9</v>
      </c>
      <c r="J108" s="619">
        <f t="shared" si="38"/>
        <v>10</v>
      </c>
      <c r="K108" s="619">
        <f t="shared" si="38"/>
        <v>11</v>
      </c>
    </row>
    <row r="109" spans="1:78" ht="15" thickBot="1">
      <c r="A109" s="619"/>
      <c r="B109" s="621" t="s">
        <v>552</v>
      </c>
      <c r="C109" s="621" t="s">
        <v>1</v>
      </c>
      <c r="D109" s="621" t="s">
        <v>17</v>
      </c>
      <c r="E109" s="621" t="s">
        <v>52</v>
      </c>
      <c r="F109" s="621" t="s">
        <v>0</v>
      </c>
      <c r="G109" s="621"/>
      <c r="H109" s="622"/>
      <c r="I109" s="622"/>
      <c r="J109" s="622"/>
      <c r="K109" s="622"/>
    </row>
    <row r="110" spans="1:78">
      <c r="A110" s="623" t="s">
        <v>551</v>
      </c>
      <c r="B110" s="624"/>
      <c r="C110" s="625">
        <v>0.66</v>
      </c>
      <c r="D110" s="626">
        <v>2.2400000000000002</v>
      </c>
      <c r="E110" s="626">
        <v>2.13</v>
      </c>
      <c r="F110" s="627">
        <f t="shared" ref="F110:F115" si="39">J110/10000</f>
        <v>1.15E-2</v>
      </c>
      <c r="G110" s="625"/>
      <c r="H110" s="626"/>
      <c r="I110" s="626"/>
      <c r="J110" s="626">
        <v>115</v>
      </c>
      <c r="K110" s="628"/>
    </row>
    <row r="111" spans="1:78">
      <c r="A111" s="629" t="s">
        <v>550</v>
      </c>
      <c r="B111" s="630"/>
      <c r="C111" s="631">
        <v>6.56</v>
      </c>
      <c r="D111" s="292">
        <v>14.4</v>
      </c>
      <c r="E111" s="292">
        <v>17.84</v>
      </c>
      <c r="F111" s="322">
        <f t="shared" si="39"/>
        <v>8.3199999999999996E-2</v>
      </c>
      <c r="G111" s="631"/>
      <c r="H111" s="292"/>
      <c r="I111" s="292"/>
      <c r="J111" s="292">
        <v>832</v>
      </c>
      <c r="K111" s="632"/>
    </row>
    <row r="112" spans="1:78">
      <c r="A112" s="629" t="s">
        <v>549</v>
      </c>
      <c r="B112" s="630"/>
      <c r="C112" s="631">
        <v>3.11</v>
      </c>
      <c r="D112" s="292">
        <v>9.8000000000000007</v>
      </c>
      <c r="E112" s="292">
        <v>11.42</v>
      </c>
      <c r="F112" s="322">
        <f t="shared" si="39"/>
        <v>6.4500000000000002E-2</v>
      </c>
      <c r="G112" s="631"/>
      <c r="H112" s="292"/>
      <c r="I112" s="292"/>
      <c r="J112" s="292">
        <v>645</v>
      </c>
      <c r="K112" s="632"/>
    </row>
    <row r="113" spans="1:19">
      <c r="A113" s="629" t="s">
        <v>548</v>
      </c>
      <c r="B113" s="630"/>
      <c r="C113" s="631">
        <v>0.53</v>
      </c>
      <c r="D113" s="292">
        <v>2.64</v>
      </c>
      <c r="E113" s="292">
        <v>2.39</v>
      </c>
      <c r="F113" s="322">
        <f t="shared" si="39"/>
        <v>1.5699999999999999E-2</v>
      </c>
      <c r="G113" s="631"/>
      <c r="H113" s="292"/>
      <c r="I113" s="292"/>
      <c r="J113" s="292">
        <v>157</v>
      </c>
      <c r="K113" s="632"/>
    </row>
    <row r="114" spans="1:19">
      <c r="A114" s="629" t="s">
        <v>547</v>
      </c>
      <c r="B114" s="633"/>
      <c r="C114" s="631">
        <v>0.34</v>
      </c>
      <c r="D114" s="292">
        <v>1.42</v>
      </c>
      <c r="E114" s="292">
        <v>0.64</v>
      </c>
      <c r="F114" s="322">
        <f t="shared" si="39"/>
        <v>5.5999999999999999E-3</v>
      </c>
      <c r="G114" s="631"/>
      <c r="H114" s="292"/>
      <c r="I114" s="292"/>
      <c r="J114" s="292">
        <v>56</v>
      </c>
      <c r="K114" s="632"/>
      <c r="M114" s="100"/>
      <c r="N114" s="292"/>
      <c r="O114" s="142" t="s">
        <v>1</v>
      </c>
      <c r="P114" s="142" t="s">
        <v>17</v>
      </c>
      <c r="Q114" s="142" t="s">
        <v>52</v>
      </c>
      <c r="R114" s="142" t="s">
        <v>0</v>
      </c>
      <c r="S114" s="292"/>
    </row>
    <row r="115" spans="1:19" ht="15" thickBot="1">
      <c r="A115" s="634" t="s">
        <v>546</v>
      </c>
      <c r="B115" s="635"/>
      <c r="C115" s="636">
        <v>9.6000000000000002E-2</v>
      </c>
      <c r="D115" s="637">
        <v>0.99</v>
      </c>
      <c r="E115" s="637">
        <v>0.45</v>
      </c>
      <c r="F115" s="322">
        <f t="shared" si="39"/>
        <v>3.8E-3</v>
      </c>
      <c r="G115" s="636"/>
      <c r="H115" s="637"/>
      <c r="I115" s="637"/>
      <c r="J115" s="637">
        <v>38</v>
      </c>
      <c r="K115" s="638"/>
      <c r="M115" s="100">
        <v>1</v>
      </c>
      <c r="N115" s="631"/>
      <c r="O115" s="209">
        <f>+AF34</f>
        <v>0.69198891518965422</v>
      </c>
      <c r="P115" s="209">
        <f>+AG34</f>
        <v>2.3523312741758562</v>
      </c>
      <c r="Q115" s="209">
        <f>+AH34</f>
        <v>2.1221095779689398</v>
      </c>
      <c r="R115" s="209">
        <f>+AI34</f>
        <v>1.2170174932163271E-2</v>
      </c>
      <c r="S115" s="631"/>
    </row>
    <row r="116" spans="1:19">
      <c r="A116" s="623" t="s">
        <v>545</v>
      </c>
      <c r="B116" s="624"/>
      <c r="C116" s="625">
        <f>O116</f>
        <v>3.5674949387320192</v>
      </c>
      <c r="D116" s="625">
        <f>P116</f>
        <v>6.2351607174569361</v>
      </c>
      <c r="E116" s="625">
        <f>Q116</f>
        <v>7.3584940507902692</v>
      </c>
      <c r="F116" s="625">
        <f>R116</f>
        <v>4.7957485348961111E-2</v>
      </c>
      <c r="G116" s="625"/>
      <c r="H116" s="626"/>
      <c r="I116" s="292"/>
      <c r="J116" s="292"/>
      <c r="K116" s="632"/>
      <c r="M116" s="69">
        <v>2</v>
      </c>
      <c r="N116" s="631"/>
      <c r="O116" s="209">
        <f>+AF86</f>
        <v>3.5674949387320192</v>
      </c>
      <c r="P116" s="209">
        <f>+AG86</f>
        <v>6.2351607174569361</v>
      </c>
      <c r="Q116" s="209">
        <f>+AH86</f>
        <v>7.3584940507902692</v>
      </c>
      <c r="R116" s="209">
        <f>+AI86</f>
        <v>4.7957485348961111E-2</v>
      </c>
      <c r="S116" s="631"/>
    </row>
    <row r="117" spans="1:19">
      <c r="A117" s="629" t="s">
        <v>544</v>
      </c>
      <c r="B117" s="630"/>
      <c r="C117" s="631">
        <v>19.63</v>
      </c>
      <c r="D117" s="292">
        <v>23.1</v>
      </c>
      <c r="E117" s="292">
        <v>30.34</v>
      </c>
      <c r="F117" s="322">
        <f>J117/10000</f>
        <v>7.1099999999999997E-2</v>
      </c>
      <c r="G117" s="631"/>
      <c r="H117" s="292"/>
      <c r="I117" s="292"/>
      <c r="J117" s="292">
        <v>711</v>
      </c>
      <c r="K117" s="632"/>
      <c r="M117" s="221"/>
      <c r="N117" s="631"/>
      <c r="O117" s="631"/>
      <c r="P117" s="631"/>
      <c r="Q117" s="631"/>
      <c r="R117" s="631"/>
      <c r="S117" s="631"/>
    </row>
    <row r="118" spans="1:19">
      <c r="A118" s="629" t="s">
        <v>543</v>
      </c>
      <c r="B118" s="630"/>
      <c r="C118" s="631">
        <v>5.39</v>
      </c>
      <c r="D118" s="292">
        <v>7.5</v>
      </c>
      <c r="E118" s="292">
        <v>9.07</v>
      </c>
      <c r="F118" s="322">
        <f>J118/10000</f>
        <v>6.5600000000000006E-2</v>
      </c>
      <c r="G118" s="631"/>
      <c r="H118" s="292"/>
      <c r="I118" s="292"/>
      <c r="J118" s="292">
        <v>656</v>
      </c>
      <c r="K118" s="632"/>
      <c r="M118" s="68"/>
      <c r="N118" s="631"/>
      <c r="O118" s="631"/>
      <c r="P118" s="631"/>
      <c r="Q118" s="631"/>
      <c r="R118" s="631"/>
      <c r="S118" s="631"/>
    </row>
    <row r="119" spans="1:19">
      <c r="A119" s="629" t="s">
        <v>542</v>
      </c>
      <c r="B119" s="630"/>
      <c r="C119" s="631">
        <v>1.1040000000000001</v>
      </c>
      <c r="D119" s="292">
        <v>2.5299999999999998</v>
      </c>
      <c r="E119" s="292">
        <v>2.5099999999999998</v>
      </c>
      <c r="F119" s="322">
        <f>J119/10000</f>
        <v>4.3900000000000002E-2</v>
      </c>
      <c r="G119" s="631"/>
      <c r="H119" s="292"/>
      <c r="I119" s="292"/>
      <c r="J119" s="292">
        <v>439</v>
      </c>
      <c r="K119" s="632"/>
      <c r="P119" s="639"/>
      <c r="Q119" s="640"/>
      <c r="R119" s="640"/>
      <c r="S119" s="640"/>
    </row>
    <row r="120" spans="1:19">
      <c r="A120" s="629" t="s">
        <v>541</v>
      </c>
      <c r="B120" s="633"/>
      <c r="C120" s="631">
        <v>0.56999999999999995</v>
      </c>
      <c r="D120" s="292">
        <v>3.7</v>
      </c>
      <c r="E120" s="292">
        <v>3.3</v>
      </c>
      <c r="F120" s="322">
        <f>J120/10000</f>
        <v>4.1500000000000002E-2</v>
      </c>
      <c r="G120" s="631"/>
      <c r="H120" s="292"/>
      <c r="I120" s="292"/>
      <c r="J120" s="292">
        <v>415</v>
      </c>
      <c r="K120" s="632"/>
      <c r="N120" s="93"/>
      <c r="O120" s="631"/>
      <c r="P120" s="631"/>
      <c r="Q120" s="631"/>
      <c r="R120" s="631"/>
      <c r="S120" s="93"/>
    </row>
    <row r="121" spans="1:19" ht="15" thickBot="1">
      <c r="A121" s="634" t="s">
        <v>540</v>
      </c>
      <c r="B121" s="635"/>
      <c r="C121" s="636">
        <v>0.57999999999999996</v>
      </c>
      <c r="D121" s="637">
        <v>3.13</v>
      </c>
      <c r="E121" s="637">
        <v>3.46</v>
      </c>
      <c r="F121" s="322">
        <f>J121/10000</f>
        <v>4.2900000000000001E-2</v>
      </c>
      <c r="G121" s="636"/>
      <c r="H121" s="637"/>
      <c r="I121" s="292"/>
      <c r="J121" s="292">
        <v>429</v>
      </c>
      <c r="K121" s="632"/>
      <c r="P121" s="639"/>
      <c r="Q121" s="640"/>
      <c r="R121" s="640"/>
      <c r="S121" s="640"/>
    </row>
    <row r="122" spans="1:19">
      <c r="A122" s="641"/>
      <c r="B122" s="642"/>
      <c r="C122" s="625"/>
      <c r="D122" s="626"/>
      <c r="E122" s="626"/>
      <c r="F122" s="625"/>
      <c r="G122" s="625"/>
      <c r="H122" s="626"/>
      <c r="I122" s="626"/>
      <c r="J122" s="626"/>
      <c r="K122" s="626"/>
      <c r="N122" s="643"/>
      <c r="O122" s="643"/>
      <c r="P122" s="643"/>
      <c r="Q122" s="643"/>
      <c r="R122" s="643"/>
      <c r="S122" s="643"/>
    </row>
    <row r="123" spans="1:19">
      <c r="A123" s="644"/>
      <c r="B123" s="645"/>
      <c r="C123" s="631"/>
      <c r="D123" s="292"/>
      <c r="E123" s="292"/>
      <c r="F123" s="631"/>
      <c r="G123" s="631"/>
      <c r="H123" s="292"/>
      <c r="I123" s="292"/>
      <c r="J123" s="292"/>
      <c r="K123" s="292"/>
      <c r="N123" s="643"/>
      <c r="O123" s="643"/>
      <c r="P123" s="643"/>
      <c r="Q123" s="643"/>
      <c r="R123" s="643"/>
      <c r="S123" s="643"/>
    </row>
    <row r="124" spans="1:19">
      <c r="A124" s="644"/>
      <c r="B124" s="645"/>
      <c r="C124" s="631"/>
      <c r="D124" s="292"/>
      <c r="E124" s="292"/>
      <c r="F124" s="631"/>
      <c r="G124" s="631"/>
      <c r="H124" s="292"/>
      <c r="I124" s="292"/>
      <c r="J124" s="292"/>
      <c r="K124" s="292"/>
      <c r="N124" s="646"/>
      <c r="O124" s="646"/>
      <c r="P124" s="646"/>
      <c r="Q124" s="646"/>
      <c r="R124" s="646"/>
      <c r="S124" s="646"/>
    </row>
    <row r="125" spans="1:19">
      <c r="A125" s="644"/>
      <c r="B125" s="645"/>
      <c r="C125" s="631"/>
      <c r="D125" s="292"/>
      <c r="E125" s="292"/>
      <c r="F125" s="631"/>
      <c r="G125" s="631"/>
      <c r="H125" s="292"/>
      <c r="I125" s="292"/>
      <c r="J125" s="292"/>
      <c r="K125" s="292"/>
      <c r="N125" s="68"/>
      <c r="O125" s="292"/>
      <c r="P125" s="292"/>
      <c r="Q125" s="292"/>
      <c r="R125" s="292"/>
      <c r="S125" s="68"/>
    </row>
  </sheetData>
  <mergeCells count="4">
    <mergeCell ref="A2:BM4"/>
    <mergeCell ref="A102:BZ104"/>
    <mergeCell ref="A50:BM52"/>
    <mergeCell ref="BN50:BZ52"/>
  </mergeCells>
  <conditionalFormatting sqref="A2">
    <cfRule type="expression" dxfId="143" priority="5">
      <formula>#REF!=0</formula>
    </cfRule>
    <cfRule type="cellIs" dxfId="142" priority="6" operator="equal">
      <formula>0</formula>
    </cfRule>
  </conditionalFormatting>
  <conditionalFormatting sqref="A50 BN50">
    <cfRule type="expression" dxfId="141" priority="3">
      <formula>#REF!=0</formula>
    </cfRule>
    <cfRule type="cellIs" dxfId="140" priority="4" operator="equal">
      <formula>0</formula>
    </cfRule>
  </conditionalFormatting>
  <conditionalFormatting sqref="A102">
    <cfRule type="expression" dxfId="139" priority="1">
      <formula>#REF!=0</formula>
    </cfRule>
    <cfRule type="cellIs" dxfId="138" priority="2" operator="equal">
      <formula>0</formula>
    </cfRule>
  </conditionalFormatting>
  <conditionalFormatting sqref="A8:P8 A9:T9 AH9:AT11 A10:V10 A11:B11 G11:V11 A12:V12 A13:A24 AU18:BI21 B19:D24 E21:AT21 E22:M23 N23:AK24 AL23:AT33 AU23:BI44 E24:F24 J24:M24 B25:E25 F25:F29 E26:E29 B26:D31 A26:A44 E34:F34 H34:Q34 E35:G35 E36:F39 G36:G40 B40:F40 B41:K44">
    <cfRule type="cellIs" dxfId="137" priority="50" operator="equal">
      <formula>0</formula>
    </cfRule>
  </conditionalFormatting>
  <conditionalFormatting sqref="A60:P60 A61:T61 AH61:AT63 A62:B63 G63:V63 A64:V64 A65:A76 AU70:BI73 B71:D76 E73:AT73 E74:M75 N75:AK76 AU75:BI96 E76:F76 J76:M76 B77:E77 F77:F81 E78:E81 B78:D83 A78:A98 E86:F86 H86:Q86 E87:G87 E88:F91 G88:G92 B92:F92 B93:K98 L97:AT98">
    <cfRule type="cellIs" dxfId="136" priority="32" operator="equal">
      <formula>0</formula>
    </cfRule>
  </conditionalFormatting>
  <conditionalFormatting sqref="B15:H18">
    <cfRule type="cellIs" dxfId="135" priority="35" operator="equal">
      <formula>0</formula>
    </cfRule>
  </conditionalFormatting>
  <conditionalFormatting sqref="B67:H70">
    <cfRule type="cellIs" dxfId="134" priority="21" operator="equal">
      <formula>0</formula>
    </cfRule>
  </conditionalFormatting>
  <conditionalFormatting sqref="C62:V62">
    <cfRule type="cellIs" dxfId="133" priority="19" operator="equal">
      <formula>0</formula>
    </cfRule>
  </conditionalFormatting>
  <conditionalFormatting sqref="H24">
    <cfRule type="cellIs" dxfId="132" priority="34" operator="equal">
      <formula>0</formula>
    </cfRule>
  </conditionalFormatting>
  <conditionalFormatting sqref="H76">
    <cfRule type="cellIs" dxfId="131" priority="20" operator="equal">
      <formula>0</formula>
    </cfRule>
  </conditionalFormatting>
  <conditionalFormatting sqref="J25:Q29 E30:Q31">
    <cfRule type="cellIs" dxfId="130" priority="40" operator="equal">
      <formula>0</formula>
    </cfRule>
  </conditionalFormatting>
  <conditionalFormatting sqref="J77:Q81 E82:Q83">
    <cfRule type="cellIs" dxfId="129" priority="26" operator="equal">
      <formula>0</formula>
    </cfRule>
  </conditionalFormatting>
  <conditionalFormatting sqref="O41:Q44">
    <cfRule type="cellIs" dxfId="128" priority="42" operator="equal">
      <formula>0</formula>
    </cfRule>
  </conditionalFormatting>
  <conditionalFormatting sqref="O93:Q96">
    <cfRule type="cellIs" dxfId="127" priority="28" operator="equal">
      <formula>0</formula>
    </cfRule>
  </conditionalFormatting>
  <conditionalFormatting sqref="P16:P19">
    <cfRule type="cellIs" dxfId="126" priority="33" operator="equal">
      <formula>0</formula>
    </cfRule>
  </conditionalFormatting>
  <conditionalFormatting sqref="Q15:Q20">
    <cfRule type="cellIs" dxfId="125" priority="45" operator="equal">
      <formula>0</formula>
    </cfRule>
  </conditionalFormatting>
  <conditionalFormatting sqref="Q67:Q72">
    <cfRule type="cellIs" dxfId="124" priority="30" operator="equal">
      <formula>0</formula>
    </cfRule>
  </conditionalFormatting>
  <conditionalFormatting sqref="R72:AE72 AL72:BI72 AL84:BI84 AJ85:BI85">
    <cfRule type="expression" dxfId="123" priority="24">
      <formula>R$19=0</formula>
    </cfRule>
  </conditionalFormatting>
  <conditionalFormatting sqref="R78:AE81">
    <cfRule type="expression" dxfId="122" priority="16">
      <formula>R$19=0</formula>
    </cfRule>
  </conditionalFormatting>
  <conditionalFormatting sqref="R78:AE84">
    <cfRule type="cellIs" dxfId="121" priority="17" operator="equal">
      <formula>0</formula>
    </cfRule>
  </conditionalFormatting>
  <conditionalFormatting sqref="R84:AE85">
    <cfRule type="expression" dxfId="120" priority="18">
      <formula>R$19=0</formula>
    </cfRule>
  </conditionalFormatting>
  <conditionalFormatting sqref="R17:AI19 R20:AK20 R25:AK32">
    <cfRule type="cellIs" dxfId="119" priority="37" operator="equal">
      <formula>0</formula>
    </cfRule>
  </conditionalFormatting>
  <conditionalFormatting sqref="R69:AI71 R72:AE72 R77:AK77">
    <cfRule type="cellIs" dxfId="118" priority="23" operator="equal">
      <formula>0</formula>
    </cfRule>
  </conditionalFormatting>
  <conditionalFormatting sqref="R34:AT35">
    <cfRule type="cellIs" dxfId="117" priority="44" operator="equal">
      <formula>0</formula>
    </cfRule>
  </conditionalFormatting>
  <conditionalFormatting sqref="R39:AT44">
    <cfRule type="cellIs" dxfId="116" priority="41" operator="equal">
      <formula>0</formula>
    </cfRule>
  </conditionalFormatting>
  <conditionalFormatting sqref="R91:AT96">
    <cfRule type="cellIs" dxfId="115" priority="27" operator="equal">
      <formula>0</formula>
    </cfRule>
  </conditionalFormatting>
  <conditionalFormatting sqref="R19:BI19">
    <cfRule type="cellIs" dxfId="114" priority="39" operator="equal">
      <formula>0</formula>
    </cfRule>
  </conditionalFormatting>
  <conditionalFormatting sqref="R20:BI20 R32:BI33">
    <cfRule type="expression" dxfId="113" priority="38">
      <formula>R$19=0</formula>
    </cfRule>
  </conditionalFormatting>
  <conditionalFormatting sqref="R25:BI29">
    <cfRule type="expression" dxfId="112" priority="36">
      <formula>R$19=0</formula>
    </cfRule>
  </conditionalFormatting>
  <conditionalFormatting sqref="R35:BI35">
    <cfRule type="cellIs" dxfId="111" priority="43" operator="greaterThan">
      <formula>25</formula>
    </cfRule>
  </conditionalFormatting>
  <conditionalFormatting sqref="R71:BI71">
    <cfRule type="cellIs" dxfId="110" priority="25" operator="equal">
      <formula>0</formula>
    </cfRule>
  </conditionalFormatting>
  <conditionalFormatting sqref="R77:BI77 AL78:BI81">
    <cfRule type="expression" dxfId="109" priority="22">
      <formula>R$19=0</formula>
    </cfRule>
  </conditionalFormatting>
  <conditionalFormatting sqref="R87:BI87">
    <cfRule type="cellIs" dxfId="108" priority="12" operator="greaterThan">
      <formula>25</formula>
    </cfRule>
  </conditionalFormatting>
  <conditionalFormatting sqref="W12:AT14 R13:V13 B13:L14 M14:V14 I15:P15 AK15:AT15 R15:R16 Y15:AE16 AK16:AS16 I16:N18 AJ17:AT18 E19:O19 AJ19:AK19 AL19:AT20 E20:P20 M32:Q32 E33:AK33 B33:D39 L35:Q35 J35:K40 L36:AT36 N37:AT38 L37:M41 N39:Q40 N41 L42:N44">
    <cfRule type="cellIs" dxfId="107" priority="49" operator="equal">
      <formula>0</formula>
    </cfRule>
  </conditionalFormatting>
  <conditionalFormatting sqref="W64:AT66 R65:V65 B65:L66 M66:V66 I67:O67 AK67:AT67 R67:R68 Y67:AE68 P67:P71 AK68:AS68 I68:N70 AJ69:AT70 E71:O71 AJ71:AK71 AL71:AT72 E72:P72 M84:Q84 E85:AE85 AJ85:AK85 B85:D91 L87:Q87 J87:K92 L88:AT88 N89:AT90 L89:M93 N91:Q92 N93 L94:N96">
    <cfRule type="cellIs" dxfId="106" priority="31" operator="equal">
      <formula>0</formula>
    </cfRule>
  </conditionalFormatting>
  <conditionalFormatting sqref="AF78:AI85">
    <cfRule type="cellIs" dxfId="105" priority="14" operator="equal">
      <formula>0</formula>
    </cfRule>
  </conditionalFormatting>
  <conditionalFormatting sqref="AF84:AI85">
    <cfRule type="expression" dxfId="104" priority="15">
      <formula>AF$19=0</formula>
    </cfRule>
  </conditionalFormatting>
  <conditionalFormatting sqref="AF72:AK72">
    <cfRule type="cellIs" dxfId="103" priority="10" operator="equal">
      <formula>0</formula>
    </cfRule>
    <cfRule type="expression" dxfId="102" priority="11">
      <formula>AF$19=0</formula>
    </cfRule>
  </conditionalFormatting>
  <conditionalFormatting sqref="AF78:AK81">
    <cfRule type="expression" dxfId="101" priority="7">
      <formula>AF$19=0</formula>
    </cfRule>
  </conditionalFormatting>
  <conditionalFormatting sqref="AF86:AK87">
    <cfRule type="cellIs" dxfId="100" priority="13" operator="equal">
      <formula>0</formula>
    </cfRule>
  </conditionalFormatting>
  <conditionalFormatting sqref="AJ78:AK84">
    <cfRule type="cellIs" dxfId="99" priority="8" operator="equal">
      <formula>0</formula>
    </cfRule>
  </conditionalFormatting>
  <conditionalFormatting sqref="AJ84:AK84">
    <cfRule type="expression" dxfId="98" priority="9">
      <formula>AJ$19=0</formula>
    </cfRule>
  </conditionalFormatting>
  <conditionalFormatting sqref="AL32:AN32">
    <cfRule type="expression" dxfId="97" priority="48">
      <formula>AL$19=0</formula>
    </cfRule>
  </conditionalFormatting>
  <conditionalFormatting sqref="AL75:AT87 R86:AE87">
    <cfRule type="cellIs" dxfId="96" priority="29" operator="equal">
      <formula>0</formula>
    </cfRule>
  </conditionalFormatting>
  <conditionalFormatting sqref="AP32:AR32">
    <cfRule type="expression" dxfId="95" priority="47">
      <formula>AP$19=0</formula>
    </cfRule>
  </conditionalFormatting>
  <conditionalFormatting sqref="AU32:BI32">
    <cfRule type="expression" dxfId="94" priority="46">
      <formula>AU$19=0</formula>
    </cfRule>
  </conditionalFormatting>
  <dataValidations count="1">
    <dataValidation type="decimal" allowBlank="1" showInputMessage="1" showErrorMessage="1" sqref="AF33:AJ33 R33:Y33 AU32:AX33 AU26:AX29 AU78:AX81 R85:Y85 AU84:AX85 AF85:AJ85" xr:uid="{C97A5DE6-B79F-4203-AAB1-41260A519A58}">
      <formula1>0.0000000001</formula1>
      <formula2>1000000</formula2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8675-422F-4FAA-AE67-254643B61EBA}">
  <sheetPr codeName="Hoja7"/>
  <dimension ref="B2:V45"/>
  <sheetViews>
    <sheetView workbookViewId="0"/>
  </sheetViews>
  <sheetFormatPr baseColWidth="10" defaultColWidth="10.7265625" defaultRowHeight="14.5"/>
  <cols>
    <col min="1" max="4" width="10.7265625" style="4"/>
    <col min="5" max="5" width="13.7265625" style="4" customWidth="1"/>
    <col min="6" max="16384" width="10.7265625" style="4"/>
  </cols>
  <sheetData>
    <row r="2" spans="2:22" ht="18.5">
      <c r="B2" s="112" t="s">
        <v>910</v>
      </c>
      <c r="F2" s="4" t="s">
        <v>911</v>
      </c>
    </row>
    <row r="4" spans="2:22">
      <c r="B4" s="1305" t="s">
        <v>298</v>
      </c>
      <c r="C4" s="1305"/>
      <c r="D4" s="1305"/>
      <c r="E4" s="1305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</row>
    <row r="5" spans="2:22">
      <c r="B5" s="178" t="s">
        <v>62</v>
      </c>
      <c r="C5" s="178" t="s">
        <v>211</v>
      </c>
      <c r="D5" s="178" t="s">
        <v>212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</row>
    <row r="6" spans="2:22">
      <c r="B6" s="69">
        <v>28</v>
      </c>
      <c r="C6" s="70">
        <v>600</v>
      </c>
      <c r="D6" s="71">
        <v>100</v>
      </c>
      <c r="E6" s="71">
        <v>100</v>
      </c>
      <c r="F6" s="133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</row>
    <row r="7" spans="2:22">
      <c r="B7" s="72">
        <v>35</v>
      </c>
      <c r="C7" s="73">
        <v>425</v>
      </c>
      <c r="D7" s="74">
        <v>99.770965110039057</v>
      </c>
      <c r="E7" s="74">
        <v>100</v>
      </c>
      <c r="F7" s="133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</row>
    <row r="8" spans="2:22">
      <c r="B8" s="72">
        <v>48</v>
      </c>
      <c r="C8" s="73">
        <v>300</v>
      </c>
      <c r="D8" s="74">
        <v>95.978405248408549</v>
      </c>
      <c r="E8" s="74">
        <v>96.166709210253401</v>
      </c>
      <c r="F8" s="133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</row>
    <row r="9" spans="2:22">
      <c r="B9" s="72">
        <v>65</v>
      </c>
      <c r="C9" s="73">
        <v>212</v>
      </c>
      <c r="D9" s="74">
        <v>87.593976715218815</v>
      </c>
      <c r="E9" s="74">
        <v>87.202154668956069</v>
      </c>
      <c r="F9" s="133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</row>
    <row r="10" spans="2:22">
      <c r="B10" s="72">
        <v>100</v>
      </c>
      <c r="C10" s="73">
        <v>150</v>
      </c>
      <c r="D10" s="74">
        <v>77.099629635315722</v>
      </c>
      <c r="E10" s="74">
        <v>77.319972270571668</v>
      </c>
      <c r="F10" s="133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</row>
    <row r="11" spans="2:22">
      <c r="B11" s="72">
        <v>150</v>
      </c>
      <c r="C11" s="73">
        <v>106</v>
      </c>
      <c r="D11" s="74">
        <v>67.82927052928315</v>
      </c>
      <c r="E11" s="74">
        <v>67.908149875261998</v>
      </c>
      <c r="F11" s="133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</row>
    <row r="12" spans="2:22">
      <c r="B12" s="72">
        <v>200</v>
      </c>
      <c r="C12" s="73">
        <v>75</v>
      </c>
      <c r="D12" s="74">
        <v>59.522313951892841</v>
      </c>
      <c r="E12" s="74">
        <v>59.56562848785839</v>
      </c>
      <c r="F12" s="133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</row>
    <row r="13" spans="2:22">
      <c r="B13" s="75">
        <v>270</v>
      </c>
      <c r="C13" s="76">
        <v>53</v>
      </c>
      <c r="D13" s="77">
        <v>52.457381748604682</v>
      </c>
      <c r="E13" s="77">
        <v>52.339267361668028</v>
      </c>
      <c r="F13" s="133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</row>
    <row r="14" spans="2:22">
      <c r="B14" s="69" t="s">
        <v>214</v>
      </c>
      <c r="C14" s="70">
        <v>41.919750000000001</v>
      </c>
      <c r="D14" s="71">
        <v>50.973497092929762</v>
      </c>
      <c r="E14" s="71">
        <v>48.073393982710719</v>
      </c>
      <c r="F14" s="133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</row>
    <row r="15" spans="2:22">
      <c r="B15" s="72" t="s">
        <v>215</v>
      </c>
      <c r="C15" s="73">
        <v>31.43975</v>
      </c>
      <c r="D15" s="74">
        <v>46.790821927563414</v>
      </c>
      <c r="E15" s="74">
        <v>43.450042739061359</v>
      </c>
      <c r="F15" s="133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</row>
    <row r="16" spans="2:22">
      <c r="B16" s="72" t="s">
        <v>216</v>
      </c>
      <c r="C16" s="73">
        <v>21.912749999999999</v>
      </c>
      <c r="D16" s="74">
        <v>40.510176511445898</v>
      </c>
      <c r="E16" s="74">
        <v>38.47719021231709</v>
      </c>
      <c r="F16" s="133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</row>
    <row r="17" spans="2:17">
      <c r="B17" s="72" t="s">
        <v>217</v>
      </c>
      <c r="C17" s="73">
        <v>15.2455</v>
      </c>
      <c r="D17" s="74">
        <v>35.227156969856978</v>
      </c>
      <c r="E17" s="74">
        <v>34.261865917848127</v>
      </c>
      <c r="F17" s="133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</row>
    <row r="18" spans="2:17">
      <c r="B18" s="75" t="s">
        <v>218</v>
      </c>
      <c r="C18" s="76">
        <v>10.481249999999999</v>
      </c>
      <c r="D18" s="77">
        <v>32.247640931449212</v>
      </c>
      <c r="E18" s="77">
        <v>30.583952039009688</v>
      </c>
      <c r="F18" s="133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</row>
    <row r="19" spans="2:17"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</row>
    <row r="20" spans="2:17">
      <c r="B20" s="68"/>
      <c r="C20" s="68"/>
      <c r="D20" s="78" t="s">
        <v>213</v>
      </c>
      <c r="E20" s="79">
        <v>388.87859641631837</v>
      </c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</row>
    <row r="21" spans="2:17">
      <c r="B21" s="68"/>
      <c r="C21" s="68"/>
      <c r="D21" s="80" t="s">
        <v>20</v>
      </c>
      <c r="E21" s="81">
        <v>164.82010553977352</v>
      </c>
      <c r="F21" s="222">
        <f>+_xlfn.FORECAST.LINEAR(80,C9:C10,E9:E10)</f>
        <v>166.81427366203263</v>
      </c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</row>
    <row r="22" spans="2:17">
      <c r="B22" s="68"/>
      <c r="C22" s="68"/>
      <c r="D22" s="82" t="s">
        <v>63</v>
      </c>
      <c r="E22" s="83">
        <v>46.754147508258306</v>
      </c>
      <c r="F22" s="222">
        <f>+_xlfn.FORECAST.LINEAR(50,C13:C14,E13:E14)</f>
        <v>46.92394830283088</v>
      </c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</row>
    <row r="23" spans="2:17">
      <c r="B23" s="68"/>
      <c r="C23" s="68"/>
      <c r="D23" s="68"/>
      <c r="F23" s="222">
        <f>+_xlfn.FORECAST.LINEAR(25,C17:C18,E17:E18)</f>
        <v>3.2479801687189536</v>
      </c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</row>
    <row r="24" spans="2:17">
      <c r="B24" s="68"/>
      <c r="C24" s="68"/>
      <c r="D24" s="68"/>
      <c r="E24" s="84">
        <f>SUMXMY2(D6:D13,E6:E13)</f>
        <v>0.31203986436433223</v>
      </c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</row>
    <row r="25" spans="2:17"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</row>
    <row r="26" spans="2:17"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</row>
    <row r="27" spans="2:17">
      <c r="B27" s="1305" t="s">
        <v>299</v>
      </c>
      <c r="C27" s="1305"/>
      <c r="D27" s="1305"/>
      <c r="E27" s="1305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</row>
    <row r="28" spans="2:17">
      <c r="B28" s="178" t="s">
        <v>62</v>
      </c>
      <c r="C28" s="178" t="s">
        <v>211</v>
      </c>
      <c r="D28" s="178" t="s">
        <v>212</v>
      </c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</row>
    <row r="29" spans="2:17">
      <c r="B29" s="69">
        <v>20</v>
      </c>
      <c r="C29" s="69">
        <v>850</v>
      </c>
      <c r="D29" s="71">
        <v>100</v>
      </c>
      <c r="E29" s="71">
        <v>100</v>
      </c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</row>
    <row r="30" spans="2:17">
      <c r="B30" s="72">
        <v>30</v>
      </c>
      <c r="C30" s="72">
        <v>600</v>
      </c>
      <c r="D30" s="74">
        <v>100</v>
      </c>
      <c r="E30" s="74">
        <v>100</v>
      </c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</row>
    <row r="31" spans="2:17">
      <c r="B31" s="72">
        <v>40</v>
      </c>
      <c r="C31" s="72">
        <v>425</v>
      </c>
      <c r="D31" s="74">
        <v>100</v>
      </c>
      <c r="E31" s="74">
        <v>100</v>
      </c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</row>
    <row r="32" spans="2:17">
      <c r="B32" s="72">
        <v>50</v>
      </c>
      <c r="C32" s="72">
        <v>300</v>
      </c>
      <c r="D32" s="74">
        <v>99.160906043471968</v>
      </c>
      <c r="E32" s="74">
        <v>99.160933123575006</v>
      </c>
      <c r="F32" s="68"/>
      <c r="G32" s="68"/>
      <c r="H32" s="68"/>
      <c r="I32" s="68" t="s">
        <v>912</v>
      </c>
      <c r="J32" s="68"/>
      <c r="K32" s="68"/>
      <c r="L32" s="68"/>
      <c r="M32" s="68"/>
      <c r="N32" s="68"/>
      <c r="O32" s="68"/>
      <c r="P32" s="68"/>
      <c r="Q32" s="68"/>
    </row>
    <row r="33" spans="2:17">
      <c r="B33" s="72">
        <v>70</v>
      </c>
      <c r="C33" s="72">
        <v>212</v>
      </c>
      <c r="D33" s="74">
        <v>89.221288612871604</v>
      </c>
      <c r="E33" s="74">
        <v>89.221324300824165</v>
      </c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</row>
    <row r="34" spans="2:17">
      <c r="B34" s="72">
        <v>100</v>
      </c>
      <c r="C34" s="72">
        <v>150</v>
      </c>
      <c r="D34" s="74">
        <v>76.901561373466151</v>
      </c>
      <c r="E34" s="74">
        <v>76.901591064337751</v>
      </c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</row>
    <row r="35" spans="2:17">
      <c r="B35" s="72">
        <v>140</v>
      </c>
      <c r="C35" s="72">
        <v>106</v>
      </c>
      <c r="D35" s="74">
        <v>65.389051844532446</v>
      </c>
      <c r="E35" s="74">
        <v>65.389077416613844</v>
      </c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</row>
    <row r="36" spans="2:17">
      <c r="B36" s="72">
        <v>200</v>
      </c>
      <c r="C36" s="72">
        <v>75</v>
      </c>
      <c r="D36" s="74">
        <v>55.627128595334639</v>
      </c>
      <c r="E36" s="74">
        <v>55.627152413829904</v>
      </c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</row>
    <row r="37" spans="2:17">
      <c r="B37" s="72">
        <v>270</v>
      </c>
      <c r="C37" s="72">
        <v>53</v>
      </c>
      <c r="D37" s="74">
        <v>47.565687839370185</v>
      </c>
      <c r="E37" s="74">
        <v>47.565711172271449</v>
      </c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</row>
    <row r="38" spans="2:17">
      <c r="B38" s="69">
        <v>325</v>
      </c>
      <c r="C38" s="69">
        <v>45</v>
      </c>
      <c r="D38" s="71">
        <v>44.303198376031489</v>
      </c>
      <c r="E38" s="71">
        <v>44.30322168161446</v>
      </c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</row>
    <row r="39" spans="2:17">
      <c r="B39" s="75">
        <v>400</v>
      </c>
      <c r="C39" s="75">
        <v>38</v>
      </c>
      <c r="D39" s="77">
        <v>41.249687568664655</v>
      </c>
      <c r="E39" s="77">
        <v>41.249710901726438</v>
      </c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</row>
    <row r="40" spans="2:17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</row>
    <row r="41" spans="2:17">
      <c r="B41" s="68"/>
      <c r="C41" s="68"/>
      <c r="D41" s="78" t="s">
        <v>213</v>
      </c>
      <c r="E41" s="79">
        <v>322.59784049172123</v>
      </c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</row>
    <row r="42" spans="2:17">
      <c r="B42" s="68"/>
      <c r="C42" s="68"/>
      <c r="D42" s="80" t="s">
        <v>20</v>
      </c>
      <c r="E42" s="81">
        <v>163.69212150106407</v>
      </c>
      <c r="F42" s="222">
        <f>+_xlfn.FORECAST.LINEAR(80,C33:C34,E33:E34)</f>
        <v>165.59298000399286</v>
      </c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</row>
    <row r="43" spans="2:17">
      <c r="B43" s="68"/>
      <c r="C43" s="68"/>
      <c r="D43" s="82" t="s">
        <v>63</v>
      </c>
      <c r="E43" s="83">
        <v>59.310477700405144</v>
      </c>
      <c r="F43" s="222">
        <f>+_xlfn.FORECAST.LINEAR(50,C37:C38,E37:E38)</f>
        <v>58.96915658352259</v>
      </c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</row>
    <row r="44" spans="2:17">
      <c r="B44" s="68"/>
      <c r="C44" s="68"/>
      <c r="D44" s="68"/>
      <c r="E44" s="84">
        <f>SUMXMY2(D29:D39,E29:E39)</f>
        <v>5.7417681098437784E-9</v>
      </c>
      <c r="F44" s="222">
        <f>+_xlfn.FORECAST.LINEAR(25,C38:C39,E38:E39)</f>
        <v>0.74846086632895492</v>
      </c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</row>
    <row r="45" spans="2:17"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</row>
  </sheetData>
  <mergeCells count="2">
    <mergeCell ref="B4:E4"/>
    <mergeCell ref="B27:E2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A2E05-0A36-4C07-899A-B26D55421E18}">
  <sheetPr codeName="Hoja8"/>
  <dimension ref="B2:J14"/>
  <sheetViews>
    <sheetView workbookViewId="0"/>
  </sheetViews>
  <sheetFormatPr baseColWidth="10" defaultColWidth="10.7265625" defaultRowHeight="14.5"/>
  <cols>
    <col min="1" max="2" width="10.7265625" style="4"/>
    <col min="3" max="3" width="27.7265625" style="4" customWidth="1"/>
    <col min="4" max="16384" width="10.7265625" style="4"/>
  </cols>
  <sheetData>
    <row r="2" spans="2:10" ht="18.5">
      <c r="B2" s="112" t="s">
        <v>768</v>
      </c>
    </row>
    <row r="3" spans="2:10" ht="18.5">
      <c r="B3" s="112"/>
    </row>
    <row r="4" spans="2:10">
      <c r="B4" s="45"/>
      <c r="C4" s="45"/>
      <c r="D4" s="157" t="s">
        <v>1</v>
      </c>
      <c r="E4" s="157" t="s">
        <v>17</v>
      </c>
      <c r="F4" s="157" t="s">
        <v>0</v>
      </c>
      <c r="G4" s="157" t="s">
        <v>100</v>
      </c>
      <c r="H4" s="157" t="s">
        <v>52</v>
      </c>
      <c r="I4" s="157" t="s">
        <v>101</v>
      </c>
      <c r="J4" s="157"/>
    </row>
    <row r="5" spans="2:10">
      <c r="B5" s="45"/>
      <c r="C5" s="45"/>
      <c r="D5" s="157" t="s">
        <v>31</v>
      </c>
      <c r="E5" s="157" t="s">
        <v>31</v>
      </c>
      <c r="F5" s="157" t="s">
        <v>102</v>
      </c>
      <c r="G5" s="157" t="s">
        <v>31</v>
      </c>
      <c r="H5" s="157" t="s">
        <v>31</v>
      </c>
      <c r="I5" s="157" t="s">
        <v>31</v>
      </c>
      <c r="J5" s="157"/>
    </row>
    <row r="6" spans="2:10">
      <c r="B6" s="157" t="s">
        <v>26</v>
      </c>
      <c r="C6" s="157" t="s">
        <v>38</v>
      </c>
      <c r="D6" s="157" t="s">
        <v>103</v>
      </c>
      <c r="E6" s="157" t="s">
        <v>103</v>
      </c>
      <c r="F6" s="157" t="s">
        <v>104</v>
      </c>
      <c r="G6" s="157" t="s">
        <v>105</v>
      </c>
      <c r="H6" s="157" t="s">
        <v>106</v>
      </c>
      <c r="I6" s="157" t="s">
        <v>107</v>
      </c>
      <c r="J6" s="157" t="s">
        <v>108</v>
      </c>
    </row>
    <row r="7" spans="2:10">
      <c r="B7" s="85" t="s">
        <v>109</v>
      </c>
      <c r="C7" s="34" t="s">
        <v>110</v>
      </c>
      <c r="D7" s="86">
        <v>0.66</v>
      </c>
      <c r="E7" s="86">
        <v>2.2400000000000002</v>
      </c>
      <c r="F7" s="87">
        <v>115</v>
      </c>
      <c r="G7" s="88">
        <v>5.3999999999999999E-2</v>
      </c>
      <c r="H7" s="88">
        <v>2.13</v>
      </c>
      <c r="I7" s="88">
        <v>86.92</v>
      </c>
      <c r="J7" s="88" t="s">
        <v>111</v>
      </c>
    </row>
    <row r="8" spans="2:10">
      <c r="B8" s="85" t="s">
        <v>112</v>
      </c>
      <c r="C8" s="34" t="s">
        <v>113</v>
      </c>
      <c r="D8" s="86">
        <v>0.43</v>
      </c>
      <c r="E8" s="86">
        <v>3.37</v>
      </c>
      <c r="F8" s="87">
        <v>78</v>
      </c>
      <c r="G8" s="88">
        <v>2.8000000000000001E-2</v>
      </c>
      <c r="H8" s="88">
        <v>0.92</v>
      </c>
      <c r="I8" s="88">
        <v>87.09</v>
      </c>
      <c r="J8" s="88" t="s">
        <v>111</v>
      </c>
    </row>
    <row r="9" spans="2:10">
      <c r="B9" s="85" t="s">
        <v>114</v>
      </c>
      <c r="C9" s="34" t="s">
        <v>115</v>
      </c>
      <c r="D9" s="86">
        <v>0.85</v>
      </c>
      <c r="E9" s="86">
        <v>2.5</v>
      </c>
      <c r="F9" s="87">
        <v>203</v>
      </c>
      <c r="G9" s="88">
        <v>3.4000000000000002E-2</v>
      </c>
      <c r="H9" s="89">
        <v>3</v>
      </c>
      <c r="I9" s="88">
        <v>87.03</v>
      </c>
      <c r="J9" s="88" t="s">
        <v>111</v>
      </c>
    </row>
    <row r="10" spans="2:10">
      <c r="B10" s="85" t="s">
        <v>258</v>
      </c>
      <c r="C10" s="34" t="s">
        <v>300</v>
      </c>
      <c r="D10" s="1360">
        <v>0.64</v>
      </c>
      <c r="E10" s="88" t="s">
        <v>111</v>
      </c>
      <c r="F10" s="88" t="s">
        <v>111</v>
      </c>
      <c r="G10" s="88" t="s">
        <v>111</v>
      </c>
      <c r="H10" s="88" t="s">
        <v>111</v>
      </c>
      <c r="I10" s="88" t="s">
        <v>111</v>
      </c>
      <c r="J10" s="88" t="s">
        <v>111</v>
      </c>
    </row>
    <row r="11" spans="2:10">
      <c r="B11" s="85" t="s">
        <v>260</v>
      </c>
      <c r="C11" s="34" t="s">
        <v>301</v>
      </c>
      <c r="D11" s="1361"/>
      <c r="E11" s="88" t="s">
        <v>111</v>
      </c>
      <c r="F11" s="88" t="s">
        <v>111</v>
      </c>
      <c r="G11" s="88" t="s">
        <v>111</v>
      </c>
      <c r="H11" s="88" t="s">
        <v>111</v>
      </c>
      <c r="I11" s="88" t="s">
        <v>111</v>
      </c>
      <c r="J11" s="88" t="s">
        <v>111</v>
      </c>
    </row>
    <row r="12" spans="2:10">
      <c r="D12" s="105"/>
    </row>
    <row r="13" spans="2:10">
      <c r="D13" s="93"/>
    </row>
    <row r="14" spans="2:10">
      <c r="C14" s="90" t="s">
        <v>304</v>
      </c>
      <c r="D14" s="106"/>
    </row>
  </sheetData>
  <mergeCells count="1">
    <mergeCell ref="D10:D1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03E7D-1009-445E-BCDF-ABDBA1CFF6F5}">
  <sheetPr codeName="Hoja9"/>
  <dimension ref="B2:C51"/>
  <sheetViews>
    <sheetView workbookViewId="0"/>
  </sheetViews>
  <sheetFormatPr baseColWidth="10" defaultColWidth="10.7265625" defaultRowHeight="14.5"/>
  <cols>
    <col min="1" max="1" width="10.7265625" style="4"/>
    <col min="2" max="2" width="17.26953125" style="4" bestFit="1" customWidth="1"/>
    <col min="3" max="3" width="21.26953125" style="95" bestFit="1" customWidth="1"/>
    <col min="4" max="16384" width="10.7265625" style="4"/>
  </cols>
  <sheetData>
    <row r="2" spans="2:3" ht="18.5">
      <c r="B2" s="112" t="s">
        <v>401</v>
      </c>
    </row>
    <row r="4" spans="2:3" ht="37.4" customHeight="1">
      <c r="B4" s="179"/>
      <c r="C4" s="180" t="s">
        <v>245</v>
      </c>
    </row>
    <row r="5" spans="2:3">
      <c r="B5" s="91" t="s">
        <v>219</v>
      </c>
      <c r="C5" s="92">
        <v>56.12</v>
      </c>
    </row>
    <row r="6" spans="2:3">
      <c r="B6" s="91" t="s">
        <v>220</v>
      </c>
      <c r="C6" s="92">
        <v>32.207999999999998</v>
      </c>
    </row>
    <row r="7" spans="2:3">
      <c r="B7" s="91" t="s">
        <v>221</v>
      </c>
      <c r="C7" s="92">
        <v>3.6320000000000001</v>
      </c>
    </row>
    <row r="8" spans="2:3">
      <c r="B8" s="91" t="s">
        <v>222</v>
      </c>
      <c r="C8" s="92">
        <v>2.69</v>
      </c>
    </row>
    <row r="9" spans="2:3">
      <c r="B9" s="91" t="s">
        <v>223</v>
      </c>
      <c r="C9" s="92">
        <v>1.3540000000000001</v>
      </c>
    </row>
    <row r="10" spans="2:3">
      <c r="B10" s="91" t="s">
        <v>2</v>
      </c>
      <c r="C10" s="92">
        <v>1.3109999999999999</v>
      </c>
    </row>
    <row r="11" spans="2:3">
      <c r="B11" s="91" t="s">
        <v>224</v>
      </c>
      <c r="C11" s="92">
        <v>1.2390000000000001</v>
      </c>
    </row>
    <row r="12" spans="2:3">
      <c r="B12" s="91" t="s">
        <v>225</v>
      </c>
      <c r="C12" s="92">
        <v>0.28199999999999997</v>
      </c>
    </row>
    <row r="13" spans="2:3">
      <c r="B13" s="91" t="s">
        <v>226</v>
      </c>
      <c r="C13" s="92">
        <v>0.19600000000000001</v>
      </c>
    </row>
    <row r="14" spans="2:3">
      <c r="B14" s="91" t="s">
        <v>227</v>
      </c>
      <c r="C14" s="92">
        <v>0.15</v>
      </c>
    </row>
    <row r="15" spans="2:3">
      <c r="B15" s="91" t="s">
        <v>228</v>
      </c>
      <c r="C15" s="92">
        <v>0.122</v>
      </c>
    </row>
    <row r="16" spans="2:3">
      <c r="B16" s="91" t="s">
        <v>229</v>
      </c>
      <c r="C16" s="92">
        <v>0.121</v>
      </c>
    </row>
    <row r="17" spans="2:3">
      <c r="B17" s="91" t="s">
        <v>230</v>
      </c>
      <c r="C17" s="92">
        <v>0.10299999999999999</v>
      </c>
    </row>
    <row r="18" spans="2:3">
      <c r="B18" s="91" t="s">
        <v>231</v>
      </c>
      <c r="C18" s="92">
        <v>9.6000000000000002E-2</v>
      </c>
    </row>
    <row r="19" spans="2:3">
      <c r="B19" s="91" t="s">
        <v>232</v>
      </c>
      <c r="C19" s="92">
        <v>9.0999999999999998E-2</v>
      </c>
    </row>
    <row r="20" spans="2:3">
      <c r="B20" s="91" t="s">
        <v>233</v>
      </c>
      <c r="C20" s="92">
        <v>7.6999999999999999E-2</v>
      </c>
    </row>
    <row r="21" spans="2:3">
      <c r="B21" s="91" t="s">
        <v>234</v>
      </c>
      <c r="C21" s="92">
        <v>6.7000000000000004E-2</v>
      </c>
    </row>
    <row r="22" spans="2:3">
      <c r="B22" s="91" t="s">
        <v>235</v>
      </c>
      <c r="C22" s="92">
        <v>4.4999999999999998E-2</v>
      </c>
    </row>
    <row r="23" spans="2:3">
      <c r="B23" s="91" t="s">
        <v>236</v>
      </c>
      <c r="C23" s="92">
        <v>2.7E-2</v>
      </c>
    </row>
    <row r="24" spans="2:3">
      <c r="B24" s="91" t="s">
        <v>237</v>
      </c>
      <c r="C24" s="92">
        <v>1.4999999999999999E-2</v>
      </c>
    </row>
    <row r="25" spans="2:3">
      <c r="B25" s="91" t="s">
        <v>3</v>
      </c>
      <c r="C25" s="92">
        <v>1.2E-2</v>
      </c>
    </row>
    <row r="26" spans="2:3">
      <c r="B26" s="91" t="s">
        <v>238</v>
      </c>
      <c r="C26" s="92">
        <v>1.0999999999999999E-2</v>
      </c>
    </row>
    <row r="27" spans="2:3">
      <c r="B27" s="91" t="s">
        <v>239</v>
      </c>
      <c r="C27" s="92">
        <v>0.01</v>
      </c>
    </row>
    <row r="28" spans="2:3">
      <c r="B28" s="91" t="s">
        <v>240</v>
      </c>
      <c r="C28" s="92">
        <v>6.0000000000000001E-3</v>
      </c>
    </row>
    <row r="29" spans="2:3">
      <c r="B29" s="91" t="s">
        <v>241</v>
      </c>
      <c r="C29" s="92">
        <v>4.0000000000000001E-3</v>
      </c>
    </row>
    <row r="30" spans="2:3">
      <c r="B30" s="91" t="s">
        <v>242</v>
      </c>
      <c r="C30" s="92">
        <v>4.0000000000000001E-3</v>
      </c>
    </row>
    <row r="31" spans="2:3">
      <c r="B31" s="91" t="s">
        <v>243</v>
      </c>
      <c r="C31" s="92">
        <v>2E-3</v>
      </c>
    </row>
    <row r="32" spans="2:3">
      <c r="B32" s="91" t="s">
        <v>244</v>
      </c>
      <c r="C32" s="92">
        <v>3.0000000000000001E-3</v>
      </c>
    </row>
    <row r="34" spans="2:3">
      <c r="C34" s="93">
        <f>SUM(C5:C32)</f>
        <v>99.99799999999999</v>
      </c>
    </row>
    <row r="36" spans="2:3" ht="16">
      <c r="B36" s="94"/>
    </row>
    <row r="39" spans="2:3">
      <c r="B39" s="4" t="s">
        <v>246</v>
      </c>
    </row>
    <row r="40" spans="2:3" ht="16">
      <c r="B40" s="180" t="s">
        <v>61</v>
      </c>
      <c r="C40" s="180" t="s">
        <v>245</v>
      </c>
    </row>
    <row r="41" spans="2:3">
      <c r="B41" s="91" t="s">
        <v>224</v>
      </c>
      <c r="C41" s="96">
        <v>67.243099999999998</v>
      </c>
    </row>
    <row r="42" spans="2:3">
      <c r="B42" s="91" t="s">
        <v>230</v>
      </c>
      <c r="C42" s="96">
        <v>12.9536</v>
      </c>
    </row>
    <row r="43" spans="2:3">
      <c r="B43" s="91" t="s">
        <v>231</v>
      </c>
      <c r="C43" s="96">
        <v>9.9657999999999998</v>
      </c>
    </row>
    <row r="44" spans="2:3">
      <c r="B44" s="91" t="s">
        <v>232</v>
      </c>
      <c r="C44" s="96">
        <v>9.0528999999999993</v>
      </c>
    </row>
    <row r="45" spans="2:3">
      <c r="B45" s="91" t="s">
        <v>238</v>
      </c>
      <c r="C45" s="96">
        <v>0.75009999999999999</v>
      </c>
    </row>
    <row r="46" spans="2:3">
      <c r="B46" s="91" t="s">
        <v>247</v>
      </c>
      <c r="C46" s="96">
        <v>3.4099999999999998E-2</v>
      </c>
    </row>
    <row r="47" spans="2:3">
      <c r="B47" s="91" t="s">
        <v>244</v>
      </c>
      <c r="C47" s="96">
        <v>4.0000000000000002E-4</v>
      </c>
    </row>
    <row r="48" spans="2:3">
      <c r="C48" s="97">
        <f>SUM(C41:C47)</f>
        <v>99.999999999999986</v>
      </c>
    </row>
    <row r="51" spans="2:3">
      <c r="B51" s="99" t="s">
        <v>20</v>
      </c>
      <c r="C51" s="98" t="s">
        <v>307</v>
      </c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4C991-2B68-43B9-874D-19BD8B533BDF}">
  <sheetPr codeName="Hoja11"/>
  <dimension ref="B2:I71"/>
  <sheetViews>
    <sheetView workbookViewId="0"/>
  </sheetViews>
  <sheetFormatPr baseColWidth="10" defaultColWidth="10.7265625" defaultRowHeight="14.5"/>
  <cols>
    <col min="1" max="1" width="10.7265625" style="4"/>
    <col min="2" max="2" width="15.7265625" style="4" customWidth="1"/>
    <col min="3" max="9" width="14.54296875" style="4" customWidth="1"/>
    <col min="10" max="10" width="10.7265625" style="4" customWidth="1"/>
    <col min="11" max="13" width="10.7265625" style="4"/>
    <col min="14" max="14" width="27.453125" style="4" bestFit="1" customWidth="1"/>
    <col min="15" max="16384" width="10.7265625" style="4"/>
  </cols>
  <sheetData>
    <row r="2" spans="2:9" ht="18.5">
      <c r="B2" s="112" t="s">
        <v>399</v>
      </c>
    </row>
    <row r="4" spans="2:9" ht="15" thickBot="1">
      <c r="B4" s="4" t="s">
        <v>40</v>
      </c>
    </row>
    <row r="5" spans="2:9" ht="16">
      <c r="B5" s="1362" t="s">
        <v>4</v>
      </c>
      <c r="C5" s="1364" t="s">
        <v>245</v>
      </c>
      <c r="D5" s="1365"/>
      <c r="E5" s="1365"/>
      <c r="F5" s="1365"/>
      <c r="G5" s="1365"/>
      <c r="H5" s="1365"/>
      <c r="I5" s="1365"/>
    </row>
    <row r="6" spans="2:9" ht="32.5" thickBot="1">
      <c r="B6" s="1363"/>
      <c r="C6" s="181" t="s">
        <v>224</v>
      </c>
      <c r="D6" s="180" t="s">
        <v>230</v>
      </c>
      <c r="E6" s="180" t="s">
        <v>231</v>
      </c>
      <c r="F6" s="180" t="s">
        <v>232</v>
      </c>
      <c r="G6" s="180" t="s">
        <v>238</v>
      </c>
      <c r="H6" s="180" t="s">
        <v>3</v>
      </c>
      <c r="I6" s="180" t="s">
        <v>222</v>
      </c>
    </row>
    <row r="7" spans="2:9">
      <c r="B7" s="182" t="s">
        <v>41</v>
      </c>
      <c r="C7" s="183">
        <v>41.243099999999998</v>
      </c>
      <c r="D7" s="184">
        <v>69.747900000000001</v>
      </c>
      <c r="E7" s="184">
        <v>52.291400000000003</v>
      </c>
      <c r="F7" s="184">
        <v>30.662199999999999</v>
      </c>
      <c r="G7" s="184">
        <v>22.803899999999999</v>
      </c>
      <c r="H7" s="184">
        <v>100</v>
      </c>
      <c r="I7" s="184">
        <v>63.515799999999999</v>
      </c>
    </row>
    <row r="8" spans="2:9">
      <c r="B8" s="185" t="s">
        <v>42</v>
      </c>
      <c r="C8" s="186">
        <v>3.0790999999999999</v>
      </c>
      <c r="D8" s="187">
        <v>0</v>
      </c>
      <c r="E8" s="187">
        <v>14.2186</v>
      </c>
      <c r="F8" s="187">
        <v>0</v>
      </c>
      <c r="G8" s="187">
        <v>0</v>
      </c>
      <c r="H8" s="187">
        <v>0</v>
      </c>
      <c r="I8" s="187">
        <v>17.1462</v>
      </c>
    </row>
    <row r="9" spans="2:9">
      <c r="B9" s="185" t="s">
        <v>43</v>
      </c>
      <c r="C9" s="186">
        <v>9.6372999999999998</v>
      </c>
      <c r="D9" s="187">
        <v>0</v>
      </c>
      <c r="E9" s="187">
        <v>9.2832000000000008</v>
      </c>
      <c r="F9" s="187">
        <v>0</v>
      </c>
      <c r="G9" s="187">
        <v>0</v>
      </c>
      <c r="H9" s="187">
        <v>0</v>
      </c>
      <c r="I9" s="187">
        <v>5.3361999999999998</v>
      </c>
    </row>
    <row r="10" spans="2:9">
      <c r="B10" s="185" t="s">
        <v>44</v>
      </c>
      <c r="C10" s="186">
        <v>0.53169999999999995</v>
      </c>
      <c r="D10" s="187">
        <v>0</v>
      </c>
      <c r="E10" s="187">
        <v>3.8778000000000001</v>
      </c>
      <c r="F10" s="187">
        <v>0</v>
      </c>
      <c r="G10" s="187">
        <v>0</v>
      </c>
      <c r="H10" s="187">
        <v>0</v>
      </c>
      <c r="I10" s="187">
        <v>1.4242999999999999</v>
      </c>
    </row>
    <row r="11" spans="2:9">
      <c r="B11" s="185" t="s">
        <v>45</v>
      </c>
      <c r="C11" s="186">
        <v>1.2065999999999999</v>
      </c>
      <c r="D11" s="187">
        <v>2.8010999999999999</v>
      </c>
      <c r="E11" s="187">
        <v>0</v>
      </c>
      <c r="F11" s="187">
        <v>0</v>
      </c>
      <c r="G11" s="187">
        <v>0</v>
      </c>
      <c r="H11" s="187">
        <v>0</v>
      </c>
      <c r="I11" s="187">
        <v>1.6492</v>
      </c>
    </row>
    <row r="12" spans="2:9">
      <c r="B12" s="185" t="s">
        <v>46</v>
      </c>
      <c r="C12" s="186">
        <v>4.2967000000000004</v>
      </c>
      <c r="D12" s="187">
        <v>0.98040000000000005</v>
      </c>
      <c r="E12" s="187">
        <v>9.1656999999999993</v>
      </c>
      <c r="F12" s="187">
        <v>8.7108000000000008</v>
      </c>
      <c r="G12" s="187">
        <v>1.331</v>
      </c>
      <c r="H12" s="187">
        <v>0</v>
      </c>
      <c r="I12" s="187">
        <v>2.9346000000000001</v>
      </c>
    </row>
    <row r="13" spans="2:9">
      <c r="B13" s="185" t="s">
        <v>47</v>
      </c>
      <c r="C13" s="186">
        <v>2.2057000000000002</v>
      </c>
      <c r="D13" s="187">
        <v>0</v>
      </c>
      <c r="E13" s="187">
        <v>0</v>
      </c>
      <c r="F13" s="187">
        <v>21.6187</v>
      </c>
      <c r="G13" s="187">
        <v>11.7125</v>
      </c>
      <c r="H13" s="187">
        <v>0</v>
      </c>
      <c r="I13" s="187">
        <v>0.624</v>
      </c>
    </row>
    <row r="14" spans="2:9">
      <c r="B14" s="188" t="s">
        <v>48</v>
      </c>
      <c r="C14" s="189">
        <v>5.1082000000000001</v>
      </c>
      <c r="D14" s="190">
        <v>11.064399999999999</v>
      </c>
      <c r="E14" s="190">
        <v>0.23499999999999999</v>
      </c>
      <c r="F14" s="190">
        <v>10.150600000000001</v>
      </c>
      <c r="G14" s="190">
        <v>3.9929000000000001</v>
      </c>
      <c r="H14" s="190">
        <v>0</v>
      </c>
      <c r="I14" s="190">
        <v>1.2254</v>
      </c>
    </row>
    <row r="15" spans="2:9">
      <c r="B15" s="188" t="s">
        <v>49</v>
      </c>
      <c r="C15" s="191">
        <v>17.791799999999999</v>
      </c>
      <c r="D15" s="192">
        <v>0.28010000000000002</v>
      </c>
      <c r="E15" s="192">
        <v>7.1680000000000001</v>
      </c>
      <c r="F15" s="192">
        <v>11.8087</v>
      </c>
      <c r="G15" s="192">
        <v>7.9858000000000002</v>
      </c>
      <c r="H15" s="192">
        <v>0</v>
      </c>
      <c r="I15" s="192">
        <v>3.4655999999999998</v>
      </c>
    </row>
    <row r="16" spans="2:9" ht="15" thickBot="1">
      <c r="B16" s="193" t="s">
        <v>50</v>
      </c>
      <c r="C16" s="194">
        <v>14.899900000000001</v>
      </c>
      <c r="D16" s="195">
        <v>15.126099999999999</v>
      </c>
      <c r="E16" s="195">
        <v>3.7603</v>
      </c>
      <c r="F16" s="195">
        <v>17.048999999999999</v>
      </c>
      <c r="G16" s="195">
        <v>52.173900000000003</v>
      </c>
      <c r="H16" s="195">
        <v>0</v>
      </c>
      <c r="I16" s="195">
        <v>2.6785999999999999</v>
      </c>
    </row>
    <row r="19" spans="3:9">
      <c r="C19" s="132">
        <f>+SUM(C7:C16)</f>
        <v>100.00009999999999</v>
      </c>
      <c r="D19" s="132">
        <f t="shared" ref="D19:I19" si="0">+SUM(D7:D16)</f>
        <v>100.00000000000001</v>
      </c>
      <c r="E19" s="132">
        <f t="shared" si="0"/>
        <v>100.00000000000001</v>
      </c>
      <c r="F19" s="132">
        <f t="shared" si="0"/>
        <v>100</v>
      </c>
      <c r="G19" s="132">
        <f t="shared" si="0"/>
        <v>100</v>
      </c>
      <c r="H19" s="132">
        <f t="shared" si="0"/>
        <v>100</v>
      </c>
      <c r="I19" s="132">
        <f t="shared" si="0"/>
        <v>99.999899999999997</v>
      </c>
    </row>
    <row r="25" spans="3:9">
      <c r="C25" s="110"/>
    </row>
    <row r="50" spans="3:3">
      <c r="C50" s="110"/>
    </row>
    <row r="71" ht="29.65" customHeight="1"/>
  </sheetData>
  <mergeCells count="2">
    <mergeCell ref="B5:B6"/>
    <mergeCell ref="C5:I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1EEE7-FC31-4173-85C3-643282EFCAC6}">
  <sheetPr codeName="Hoja10"/>
  <dimension ref="B2:AA33"/>
  <sheetViews>
    <sheetView workbookViewId="0"/>
  </sheetViews>
  <sheetFormatPr baseColWidth="10" defaultColWidth="10.7265625" defaultRowHeight="14.5"/>
  <cols>
    <col min="1" max="1" width="10.7265625" style="4"/>
    <col min="2" max="2" width="23.26953125" style="4" bestFit="1" customWidth="1"/>
    <col min="3" max="3" width="12.7265625" style="4" bestFit="1" customWidth="1"/>
    <col min="4" max="4" width="15" style="4" bestFit="1" customWidth="1"/>
    <col min="5" max="5" width="9.7265625" style="4" bestFit="1" customWidth="1"/>
    <col min="6" max="6" width="7.26953125" style="4" bestFit="1" customWidth="1"/>
    <col min="7" max="7" width="11.26953125" style="4" bestFit="1" customWidth="1"/>
    <col min="8" max="8" width="9.26953125" style="4" bestFit="1" customWidth="1"/>
    <col min="9" max="9" width="16.7265625" style="4" bestFit="1" customWidth="1"/>
    <col min="10" max="10" width="19.54296875" style="4" bestFit="1" customWidth="1"/>
    <col min="11" max="12" width="7.453125" style="4" bestFit="1" customWidth="1"/>
    <col min="13" max="13" width="16.26953125" style="4" bestFit="1" customWidth="1"/>
    <col min="14" max="14" width="7.26953125" style="4" bestFit="1" customWidth="1"/>
    <col min="15" max="15" width="7.7265625" style="4" bestFit="1" customWidth="1"/>
    <col min="16" max="16" width="18.26953125" style="4" bestFit="1" customWidth="1"/>
    <col min="17" max="17" width="19.7265625" style="4" bestFit="1" customWidth="1"/>
    <col min="18" max="18" width="7.54296875" style="4" bestFit="1" customWidth="1"/>
    <col min="19" max="19" width="11.7265625" style="4" bestFit="1" customWidth="1"/>
    <col min="20" max="20" width="7.7265625" style="4" bestFit="1" customWidth="1"/>
    <col min="21" max="21" width="9.54296875" style="4" bestFit="1" customWidth="1"/>
    <col min="22" max="22" width="8.7265625" style="4" bestFit="1" customWidth="1"/>
    <col min="23" max="23" width="10.7265625" style="4"/>
    <col min="24" max="24" width="7.453125" style="4" bestFit="1" customWidth="1"/>
    <col min="25" max="25" width="14.453125" style="4" bestFit="1" customWidth="1"/>
    <col min="26" max="26" width="6" style="4" bestFit="1" customWidth="1"/>
    <col min="27" max="27" width="8.7265625" style="4" bestFit="1" customWidth="1"/>
    <col min="28" max="16384" width="10.7265625" style="4"/>
  </cols>
  <sheetData>
    <row r="2" spans="2:27" ht="18.5">
      <c r="B2" s="112" t="s">
        <v>400</v>
      </c>
    </row>
    <row r="4" spans="2:27">
      <c r="B4" s="198" t="s">
        <v>248</v>
      </c>
      <c r="C4" s="199" t="s">
        <v>233</v>
      </c>
      <c r="D4" s="199" t="s">
        <v>220</v>
      </c>
      <c r="E4" s="199" t="s">
        <v>223</v>
      </c>
      <c r="F4" s="199" t="s">
        <v>249</v>
      </c>
      <c r="G4" s="199" t="s">
        <v>221</v>
      </c>
      <c r="H4" s="199" t="s">
        <v>234</v>
      </c>
      <c r="I4" s="199" t="s">
        <v>242</v>
      </c>
      <c r="J4" s="199" t="s">
        <v>225</v>
      </c>
      <c r="K4" s="199" t="s">
        <v>12</v>
      </c>
      <c r="L4" s="199" t="s">
        <v>236</v>
      </c>
      <c r="M4" s="199" t="s">
        <v>227</v>
      </c>
      <c r="N4" s="199" t="s">
        <v>2</v>
      </c>
      <c r="O4" s="199" t="s">
        <v>232</v>
      </c>
      <c r="P4" s="199" t="s">
        <v>230</v>
      </c>
      <c r="Q4" s="199" t="s">
        <v>238</v>
      </c>
      <c r="R4" s="199" t="s">
        <v>226</v>
      </c>
      <c r="S4" s="199" t="s">
        <v>3</v>
      </c>
      <c r="T4" s="199" t="s">
        <v>235</v>
      </c>
      <c r="U4" s="199" t="s">
        <v>250</v>
      </c>
      <c r="V4" s="199" t="s">
        <v>228</v>
      </c>
      <c r="W4" s="199" t="s">
        <v>224</v>
      </c>
      <c r="X4" s="199" t="s">
        <v>219</v>
      </c>
      <c r="Y4" s="199" t="s">
        <v>229</v>
      </c>
      <c r="Z4" s="199" t="s">
        <v>222</v>
      </c>
      <c r="AA4" s="199" t="s">
        <v>231</v>
      </c>
    </row>
    <row r="5" spans="2:27">
      <c r="B5" s="198" t="s">
        <v>245</v>
      </c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</row>
    <row r="6" spans="2:27">
      <c r="B6" s="200" t="s">
        <v>251</v>
      </c>
      <c r="C6" s="201">
        <v>9.69</v>
      </c>
      <c r="D6" s="201">
        <v>24.95</v>
      </c>
      <c r="E6" s="201">
        <v>14.4</v>
      </c>
      <c r="F6" s="201">
        <v>14.29</v>
      </c>
      <c r="G6" s="201">
        <v>14.42</v>
      </c>
      <c r="H6" s="201">
        <v>0.23</v>
      </c>
      <c r="I6" s="201">
        <v>91.8</v>
      </c>
      <c r="J6" s="201">
        <v>28.19</v>
      </c>
      <c r="K6" s="201">
        <v>0</v>
      </c>
      <c r="L6" s="201">
        <v>2.1</v>
      </c>
      <c r="M6" s="201">
        <v>12.21</v>
      </c>
      <c r="N6" s="201">
        <v>10.199999999999999</v>
      </c>
      <c r="O6" s="201">
        <v>17.79</v>
      </c>
      <c r="P6" s="201">
        <v>44.54</v>
      </c>
      <c r="Q6" s="201">
        <v>22.8</v>
      </c>
      <c r="R6" s="201">
        <v>44.03</v>
      </c>
      <c r="S6" s="201">
        <v>100</v>
      </c>
      <c r="T6" s="201">
        <v>30.26</v>
      </c>
      <c r="U6" s="201">
        <v>0</v>
      </c>
      <c r="V6" s="201">
        <v>10.39</v>
      </c>
      <c r="W6" s="201">
        <v>30.11</v>
      </c>
      <c r="X6" s="201">
        <v>24.51</v>
      </c>
      <c r="Y6" s="201">
        <v>30.76</v>
      </c>
      <c r="Z6" s="201">
        <v>32.729999999999997</v>
      </c>
      <c r="AA6" s="201">
        <v>52.29</v>
      </c>
    </row>
    <row r="7" spans="2:27">
      <c r="B7" s="200" t="s">
        <v>252</v>
      </c>
      <c r="C7" s="201">
        <v>2.1800000000000002</v>
      </c>
      <c r="D7" s="201">
        <v>46.03</v>
      </c>
      <c r="E7" s="201">
        <v>19.21</v>
      </c>
      <c r="F7" s="201">
        <v>0</v>
      </c>
      <c r="G7" s="201">
        <v>12.38</v>
      </c>
      <c r="H7" s="201">
        <v>3.95</v>
      </c>
      <c r="I7" s="201">
        <v>8.1999999999999993</v>
      </c>
      <c r="J7" s="201">
        <v>19.87</v>
      </c>
      <c r="K7" s="201">
        <v>0</v>
      </c>
      <c r="L7" s="201">
        <v>5.92</v>
      </c>
      <c r="M7" s="201">
        <v>4.8499999999999996</v>
      </c>
      <c r="N7" s="201">
        <v>6.41</v>
      </c>
      <c r="O7" s="201">
        <v>15.16</v>
      </c>
      <c r="P7" s="201">
        <v>29.97</v>
      </c>
      <c r="Q7" s="201">
        <v>7.99</v>
      </c>
      <c r="R7" s="201">
        <v>22.35</v>
      </c>
      <c r="S7" s="201">
        <v>0</v>
      </c>
      <c r="T7" s="201">
        <v>11.11</v>
      </c>
      <c r="U7" s="201">
        <v>0</v>
      </c>
      <c r="V7" s="201">
        <v>4.03</v>
      </c>
      <c r="W7" s="201">
        <v>28.18</v>
      </c>
      <c r="X7" s="201">
        <v>52.19</v>
      </c>
      <c r="Y7" s="201">
        <v>28.46</v>
      </c>
      <c r="Z7" s="201">
        <v>34.5</v>
      </c>
      <c r="AA7" s="201">
        <v>8.34</v>
      </c>
    </row>
    <row r="8" spans="2:27">
      <c r="B8" s="196" t="s">
        <v>233</v>
      </c>
      <c r="C8" s="98"/>
      <c r="D8" s="98">
        <v>0</v>
      </c>
      <c r="E8" s="98">
        <v>0.03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0.01</v>
      </c>
      <c r="Y8" s="98">
        <v>0</v>
      </c>
      <c r="Z8" s="98">
        <v>0</v>
      </c>
      <c r="AA8" s="98">
        <v>0</v>
      </c>
    </row>
    <row r="9" spans="2:27">
      <c r="B9" s="196" t="s">
        <v>220</v>
      </c>
      <c r="C9" s="98">
        <v>0</v>
      </c>
      <c r="D9" s="98"/>
      <c r="E9" s="98">
        <v>10.6</v>
      </c>
      <c r="F9" s="98">
        <v>0</v>
      </c>
      <c r="G9" s="98">
        <v>9.5</v>
      </c>
      <c r="H9" s="98">
        <v>0.57999999999999996</v>
      </c>
      <c r="I9" s="98">
        <v>8.1999999999999993</v>
      </c>
      <c r="J9" s="98">
        <v>10.7</v>
      </c>
      <c r="K9" s="98">
        <v>0</v>
      </c>
      <c r="L9" s="98">
        <v>0</v>
      </c>
      <c r="M9" s="98">
        <v>0.9</v>
      </c>
      <c r="N9" s="98">
        <v>3.79</v>
      </c>
      <c r="O9" s="98">
        <v>0</v>
      </c>
      <c r="P9" s="98">
        <v>10.78</v>
      </c>
      <c r="Q9" s="98">
        <v>0</v>
      </c>
      <c r="R9" s="98">
        <v>14.94</v>
      </c>
      <c r="S9" s="98">
        <v>0</v>
      </c>
      <c r="T9" s="98">
        <v>7.52</v>
      </c>
      <c r="U9" s="98">
        <v>0</v>
      </c>
      <c r="V9" s="98">
        <v>1.03</v>
      </c>
      <c r="W9" s="98">
        <v>24.77</v>
      </c>
      <c r="X9" s="98">
        <v>50.33</v>
      </c>
      <c r="Y9" s="98">
        <v>27.44</v>
      </c>
      <c r="Z9" s="98">
        <v>16.8</v>
      </c>
      <c r="AA9" s="98">
        <v>0</v>
      </c>
    </row>
    <row r="10" spans="2:27">
      <c r="B10" s="196" t="s">
        <v>223</v>
      </c>
      <c r="C10" s="98">
        <v>0.48</v>
      </c>
      <c r="D10" s="98">
        <v>1.1000000000000001</v>
      </c>
      <c r="E10" s="98"/>
      <c r="F10" s="98">
        <v>0</v>
      </c>
      <c r="G10" s="98">
        <v>0.1</v>
      </c>
      <c r="H10" s="98">
        <v>0</v>
      </c>
      <c r="I10" s="98">
        <v>0</v>
      </c>
      <c r="J10" s="98">
        <v>1.1499999999999999</v>
      </c>
      <c r="K10" s="98">
        <v>0</v>
      </c>
      <c r="L10" s="98">
        <v>0</v>
      </c>
      <c r="M10" s="98">
        <v>0</v>
      </c>
      <c r="N10" s="98">
        <v>7.0000000000000007E-2</v>
      </c>
      <c r="O10" s="98">
        <v>0</v>
      </c>
      <c r="P10" s="98">
        <v>0</v>
      </c>
      <c r="Q10" s="98">
        <v>0</v>
      </c>
      <c r="R10" s="98">
        <v>0.88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0.36</v>
      </c>
      <c r="Y10" s="98">
        <v>0.08</v>
      </c>
      <c r="Z10" s="98">
        <v>1.65</v>
      </c>
      <c r="AA10" s="98">
        <v>0</v>
      </c>
    </row>
    <row r="11" spans="2:27">
      <c r="B11" s="196" t="s">
        <v>221</v>
      </c>
      <c r="C11" s="98">
        <v>0</v>
      </c>
      <c r="D11" s="98">
        <v>1.05</v>
      </c>
      <c r="E11" s="98">
        <v>0.3</v>
      </c>
      <c r="F11" s="98">
        <v>0</v>
      </c>
      <c r="G11" s="98"/>
      <c r="H11" s="98">
        <v>0</v>
      </c>
      <c r="I11" s="98">
        <v>0</v>
      </c>
      <c r="J11" s="98">
        <v>0</v>
      </c>
      <c r="K11" s="98">
        <v>0</v>
      </c>
      <c r="L11" s="98">
        <v>2.2999999999999998</v>
      </c>
      <c r="M11" s="98">
        <v>0.3</v>
      </c>
      <c r="N11" s="98">
        <v>0.3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0.28000000000000003</v>
      </c>
      <c r="Y11" s="98">
        <v>0</v>
      </c>
      <c r="Z11" s="98">
        <v>0.34</v>
      </c>
      <c r="AA11" s="98">
        <v>0</v>
      </c>
    </row>
    <row r="12" spans="2:27">
      <c r="B12" s="196" t="s">
        <v>234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/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0.02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0.11</v>
      </c>
      <c r="Y12" s="98">
        <v>0</v>
      </c>
      <c r="Z12" s="98">
        <v>0</v>
      </c>
      <c r="AA12" s="98">
        <v>0</v>
      </c>
    </row>
    <row r="13" spans="2:27">
      <c r="B13" s="196" t="s">
        <v>225</v>
      </c>
      <c r="C13" s="98">
        <v>0</v>
      </c>
      <c r="D13" s="98">
        <v>0</v>
      </c>
      <c r="E13" s="98">
        <v>0.02</v>
      </c>
      <c r="F13" s="98">
        <v>0</v>
      </c>
      <c r="G13" s="98">
        <v>0</v>
      </c>
      <c r="H13" s="98">
        <v>0</v>
      </c>
      <c r="I13" s="98">
        <v>0</v>
      </c>
      <c r="J13" s="98"/>
      <c r="K13" s="98">
        <v>0</v>
      </c>
      <c r="L13" s="98">
        <v>0</v>
      </c>
      <c r="M13" s="98">
        <v>0</v>
      </c>
      <c r="N13" s="98">
        <v>0.01</v>
      </c>
      <c r="O13" s="98">
        <v>0</v>
      </c>
      <c r="P13" s="98">
        <v>0</v>
      </c>
      <c r="Q13" s="98">
        <v>0</v>
      </c>
      <c r="R13" s="98">
        <v>0</v>
      </c>
      <c r="S13" s="98">
        <v>0</v>
      </c>
      <c r="T13" s="98">
        <v>0</v>
      </c>
      <c r="U13" s="98">
        <v>0</v>
      </c>
      <c r="V13" s="98">
        <v>0</v>
      </c>
      <c r="W13" s="98">
        <v>0</v>
      </c>
      <c r="X13" s="98">
        <v>0</v>
      </c>
      <c r="Y13" s="98">
        <v>0</v>
      </c>
      <c r="Z13" s="98">
        <v>0</v>
      </c>
      <c r="AA13" s="98">
        <v>0</v>
      </c>
    </row>
    <row r="14" spans="2:27">
      <c r="B14" s="196" t="s">
        <v>236</v>
      </c>
      <c r="C14" s="98">
        <v>0</v>
      </c>
      <c r="D14" s="98">
        <v>0</v>
      </c>
      <c r="E14" s="98">
        <v>0</v>
      </c>
      <c r="F14" s="98">
        <v>0</v>
      </c>
      <c r="G14" s="98">
        <v>0.01</v>
      </c>
      <c r="H14" s="98">
        <v>0</v>
      </c>
      <c r="I14" s="98">
        <v>0</v>
      </c>
      <c r="J14" s="98">
        <v>0</v>
      </c>
      <c r="K14" s="98">
        <v>0</v>
      </c>
      <c r="L14" s="98"/>
      <c r="M14" s="98">
        <v>0.65</v>
      </c>
      <c r="N14" s="98">
        <v>0</v>
      </c>
      <c r="O14" s="98">
        <v>0</v>
      </c>
      <c r="P14" s="98">
        <v>0</v>
      </c>
      <c r="Q14" s="98">
        <v>0</v>
      </c>
      <c r="R14" s="98">
        <v>0</v>
      </c>
      <c r="S14" s="98">
        <v>0</v>
      </c>
      <c r="T14" s="98">
        <v>0</v>
      </c>
      <c r="U14" s="98">
        <v>0</v>
      </c>
      <c r="V14" s="98">
        <v>0</v>
      </c>
      <c r="W14" s="98">
        <v>0</v>
      </c>
      <c r="X14" s="98">
        <v>0</v>
      </c>
      <c r="Y14" s="98">
        <v>0</v>
      </c>
      <c r="Z14" s="98">
        <v>0</v>
      </c>
      <c r="AA14" s="98">
        <v>0</v>
      </c>
    </row>
    <row r="15" spans="2:27">
      <c r="B15" s="196" t="s">
        <v>227</v>
      </c>
      <c r="C15" s="98">
        <v>0</v>
      </c>
      <c r="D15" s="98">
        <v>0.02</v>
      </c>
      <c r="E15" s="98">
        <v>0</v>
      </c>
      <c r="F15" s="98">
        <v>0</v>
      </c>
      <c r="G15" s="98">
        <v>0.08</v>
      </c>
      <c r="H15" s="98">
        <v>0</v>
      </c>
      <c r="I15" s="98">
        <v>0</v>
      </c>
      <c r="J15" s="98">
        <v>0</v>
      </c>
      <c r="K15" s="98">
        <v>0</v>
      </c>
      <c r="L15" s="98">
        <v>3.62</v>
      </c>
      <c r="M15" s="98"/>
      <c r="N15" s="98">
        <v>0.71</v>
      </c>
      <c r="O15" s="98">
        <v>0</v>
      </c>
      <c r="P15" s="98">
        <v>0</v>
      </c>
      <c r="Q15" s="98">
        <v>0</v>
      </c>
      <c r="R15" s="98">
        <v>0</v>
      </c>
      <c r="S15" s="98">
        <v>0</v>
      </c>
      <c r="T15" s="98">
        <v>0</v>
      </c>
      <c r="U15" s="98">
        <v>0</v>
      </c>
      <c r="V15" s="98">
        <v>0</v>
      </c>
      <c r="W15" s="98">
        <v>0</v>
      </c>
      <c r="X15" s="98">
        <v>0.01</v>
      </c>
      <c r="Y15" s="98">
        <v>0</v>
      </c>
      <c r="Z15" s="98">
        <v>0</v>
      </c>
      <c r="AA15" s="98">
        <v>0</v>
      </c>
    </row>
    <row r="16" spans="2:27" ht="17.149999999999999" customHeight="1">
      <c r="B16" s="196" t="s">
        <v>2</v>
      </c>
      <c r="C16" s="98">
        <v>0</v>
      </c>
      <c r="D16" s="98">
        <v>0.38</v>
      </c>
      <c r="E16" s="98">
        <v>0.08</v>
      </c>
      <c r="F16" s="98">
        <v>0</v>
      </c>
      <c r="G16" s="98">
        <v>0.38</v>
      </c>
      <c r="H16" s="98">
        <v>0.69</v>
      </c>
      <c r="I16" s="98">
        <v>0</v>
      </c>
      <c r="J16" s="98">
        <v>4.3600000000000003</v>
      </c>
      <c r="K16" s="98">
        <v>0</v>
      </c>
      <c r="L16" s="98">
        <v>0</v>
      </c>
      <c r="M16" s="98">
        <v>0.75</v>
      </c>
      <c r="N16" s="98"/>
      <c r="O16" s="98">
        <v>12.87</v>
      </c>
      <c r="P16" s="98">
        <v>0</v>
      </c>
      <c r="Q16" s="98">
        <v>0</v>
      </c>
      <c r="R16" s="98">
        <v>0</v>
      </c>
      <c r="S16" s="98">
        <v>0</v>
      </c>
      <c r="T16" s="98">
        <v>3.59</v>
      </c>
      <c r="U16" s="98">
        <v>0</v>
      </c>
      <c r="V16" s="98">
        <v>3</v>
      </c>
      <c r="W16" s="98">
        <v>0</v>
      </c>
      <c r="X16" s="98">
        <v>0.31</v>
      </c>
      <c r="Y16" s="98">
        <v>0</v>
      </c>
      <c r="Z16" s="98">
        <v>0</v>
      </c>
      <c r="AA16" s="98">
        <v>0</v>
      </c>
    </row>
    <row r="17" spans="2:27" ht="17.149999999999999" customHeight="1">
      <c r="B17" s="196" t="s">
        <v>232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0.02</v>
      </c>
      <c r="O17" s="98"/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0.14000000000000001</v>
      </c>
      <c r="X17" s="98">
        <v>0</v>
      </c>
      <c r="Y17" s="98">
        <v>0</v>
      </c>
      <c r="Z17" s="98">
        <v>1.94</v>
      </c>
      <c r="AA17" s="98">
        <v>0.71</v>
      </c>
    </row>
    <row r="18" spans="2:27" ht="17.149999999999999" customHeight="1">
      <c r="B18" s="196" t="s">
        <v>230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/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Z18" s="98">
        <v>0</v>
      </c>
      <c r="AA18" s="98">
        <v>3.64</v>
      </c>
    </row>
    <row r="19" spans="2:27" ht="17.149999999999999" customHeight="1">
      <c r="B19" s="196" t="s">
        <v>238</v>
      </c>
      <c r="C19" s="98">
        <v>0</v>
      </c>
      <c r="D19" s="98">
        <v>0</v>
      </c>
      <c r="E19" s="98">
        <v>0</v>
      </c>
      <c r="F19" s="98">
        <v>0</v>
      </c>
      <c r="G19" s="98">
        <v>0</v>
      </c>
      <c r="H19" s="98">
        <v>0</v>
      </c>
      <c r="I19" s="98">
        <v>0</v>
      </c>
      <c r="J19" s="98">
        <v>0</v>
      </c>
      <c r="K19" s="98">
        <v>0</v>
      </c>
      <c r="L19" s="98">
        <v>0</v>
      </c>
      <c r="M19" s="98">
        <v>0</v>
      </c>
      <c r="N19" s="98">
        <v>0</v>
      </c>
      <c r="O19" s="98">
        <v>0</v>
      </c>
      <c r="P19" s="98">
        <v>0</v>
      </c>
      <c r="Q19" s="98"/>
      <c r="R19" s="98">
        <v>0</v>
      </c>
      <c r="S19" s="98">
        <v>0</v>
      </c>
      <c r="T19" s="98">
        <v>0</v>
      </c>
      <c r="U19" s="98">
        <v>0</v>
      </c>
      <c r="V19" s="98">
        <v>0</v>
      </c>
      <c r="W19" s="98">
        <v>0.31</v>
      </c>
      <c r="X19" s="98">
        <v>0</v>
      </c>
      <c r="Y19" s="98">
        <v>0</v>
      </c>
      <c r="Z19" s="98">
        <v>0</v>
      </c>
      <c r="AA19" s="98">
        <v>3.17</v>
      </c>
    </row>
    <row r="20" spans="2:27" ht="17.149999999999999" customHeight="1">
      <c r="B20" s="196" t="s">
        <v>226</v>
      </c>
      <c r="C20" s="98">
        <v>0</v>
      </c>
      <c r="D20" s="98">
        <v>0.02</v>
      </c>
      <c r="E20" s="98">
        <v>0.34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/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0.17</v>
      </c>
      <c r="Y20" s="98">
        <v>0</v>
      </c>
      <c r="Z20" s="98">
        <v>0</v>
      </c>
      <c r="AA20" s="98">
        <v>0</v>
      </c>
    </row>
    <row r="21" spans="2:27" ht="17.149999999999999" customHeight="1">
      <c r="B21" s="196" t="s">
        <v>235</v>
      </c>
      <c r="C21" s="98">
        <v>0</v>
      </c>
      <c r="D21" s="98">
        <v>0.01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0.05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/>
      <c r="U21" s="98">
        <v>0</v>
      </c>
      <c r="V21" s="98">
        <v>0</v>
      </c>
      <c r="W21" s="98">
        <v>0</v>
      </c>
      <c r="X21" s="98">
        <v>0</v>
      </c>
      <c r="Y21" s="98">
        <v>0</v>
      </c>
      <c r="Z21" s="98">
        <v>0</v>
      </c>
      <c r="AA21" s="98">
        <v>0</v>
      </c>
    </row>
    <row r="22" spans="2:27" ht="17.149999999999999" customHeight="1">
      <c r="B22" s="196" t="s">
        <v>228</v>
      </c>
      <c r="C22" s="98">
        <v>0</v>
      </c>
      <c r="D22" s="98">
        <v>0.05</v>
      </c>
      <c r="E22" s="98">
        <v>0</v>
      </c>
      <c r="F22" s="98">
        <v>0</v>
      </c>
      <c r="G22" s="98">
        <v>0</v>
      </c>
      <c r="H22" s="98">
        <v>0</v>
      </c>
      <c r="I22" s="98">
        <v>0</v>
      </c>
      <c r="J22" s="98">
        <v>0</v>
      </c>
      <c r="K22" s="98">
        <v>0</v>
      </c>
      <c r="L22" s="98">
        <v>0</v>
      </c>
      <c r="M22" s="98">
        <v>0</v>
      </c>
      <c r="N22" s="98">
        <v>0.38</v>
      </c>
      <c r="O22" s="98">
        <v>0</v>
      </c>
      <c r="P22" s="98">
        <v>0</v>
      </c>
      <c r="Q22" s="98">
        <v>0</v>
      </c>
      <c r="R22" s="98">
        <v>0</v>
      </c>
      <c r="S22" s="98">
        <v>0</v>
      </c>
      <c r="T22" s="98">
        <v>0</v>
      </c>
      <c r="U22" s="98">
        <v>0</v>
      </c>
      <c r="V22" s="98"/>
      <c r="W22" s="98">
        <v>0</v>
      </c>
      <c r="X22" s="98">
        <v>0</v>
      </c>
      <c r="Y22" s="98">
        <v>0</v>
      </c>
      <c r="Z22" s="98">
        <v>0</v>
      </c>
      <c r="AA22" s="98">
        <v>0</v>
      </c>
    </row>
    <row r="23" spans="2:27" ht="17.149999999999999" customHeight="1">
      <c r="B23" s="196" t="s">
        <v>224</v>
      </c>
      <c r="C23" s="98">
        <v>0</v>
      </c>
      <c r="D23" s="98">
        <v>0.67</v>
      </c>
      <c r="E23" s="98">
        <v>0</v>
      </c>
      <c r="F23" s="98">
        <v>0</v>
      </c>
      <c r="G23" s="98">
        <v>0</v>
      </c>
      <c r="H23" s="98">
        <v>0</v>
      </c>
      <c r="I23" s="98">
        <v>0</v>
      </c>
      <c r="J23" s="98">
        <v>0</v>
      </c>
      <c r="K23" s="98">
        <v>0</v>
      </c>
      <c r="L23" s="98">
        <v>0</v>
      </c>
      <c r="M23" s="98">
        <v>0</v>
      </c>
      <c r="N23" s="98">
        <v>0</v>
      </c>
      <c r="O23" s="98">
        <v>1.36</v>
      </c>
      <c r="P23" s="98">
        <v>0</v>
      </c>
      <c r="Q23" s="98">
        <v>3.33</v>
      </c>
      <c r="R23" s="98">
        <v>0</v>
      </c>
      <c r="S23" s="98">
        <v>0</v>
      </c>
      <c r="T23" s="98">
        <v>0</v>
      </c>
      <c r="U23" s="98">
        <v>0</v>
      </c>
      <c r="V23" s="98">
        <v>0</v>
      </c>
      <c r="W23" s="98"/>
      <c r="X23" s="98">
        <v>0.43</v>
      </c>
      <c r="Y23" s="98">
        <v>0.59</v>
      </c>
      <c r="Z23" s="98">
        <v>8.86</v>
      </c>
      <c r="AA23" s="98">
        <v>0.47</v>
      </c>
    </row>
    <row r="24" spans="2:27" ht="17.149999999999999" customHeight="1">
      <c r="B24" s="196" t="s">
        <v>219</v>
      </c>
      <c r="C24" s="98">
        <v>1.69</v>
      </c>
      <c r="D24" s="98">
        <v>40.78</v>
      </c>
      <c r="E24" s="98">
        <v>4.4400000000000004</v>
      </c>
      <c r="F24" s="98">
        <v>0</v>
      </c>
      <c r="G24" s="98">
        <v>2.2799999999999998</v>
      </c>
      <c r="H24" s="98">
        <v>2.68</v>
      </c>
      <c r="I24" s="98">
        <v>0</v>
      </c>
      <c r="J24" s="98">
        <v>3.67</v>
      </c>
      <c r="K24" s="98">
        <v>0</v>
      </c>
      <c r="L24" s="98">
        <v>0</v>
      </c>
      <c r="M24" s="98">
        <v>2.25</v>
      </c>
      <c r="N24" s="98">
        <v>1.07</v>
      </c>
      <c r="O24" s="98">
        <v>0</v>
      </c>
      <c r="P24" s="98">
        <v>15.27</v>
      </c>
      <c r="Q24" s="98">
        <v>2.66</v>
      </c>
      <c r="R24" s="98">
        <v>6.53</v>
      </c>
      <c r="S24" s="98">
        <v>0</v>
      </c>
      <c r="T24" s="98">
        <v>0</v>
      </c>
      <c r="U24" s="98">
        <v>0</v>
      </c>
      <c r="V24" s="98">
        <v>0</v>
      </c>
      <c r="W24" s="98">
        <v>1.1399999999999999</v>
      </c>
      <c r="X24" s="98"/>
      <c r="Y24" s="98">
        <v>0.34</v>
      </c>
      <c r="Z24" s="98">
        <v>2.2999999999999998</v>
      </c>
      <c r="AA24" s="98">
        <v>0.35</v>
      </c>
    </row>
    <row r="25" spans="2:27" ht="17.149999999999999" customHeight="1">
      <c r="B25" s="196" t="s">
        <v>229</v>
      </c>
      <c r="C25" s="98">
        <v>0</v>
      </c>
      <c r="D25" s="98">
        <v>1.19</v>
      </c>
      <c r="E25" s="98">
        <v>3.36</v>
      </c>
      <c r="F25" s="98">
        <v>0</v>
      </c>
      <c r="G25" s="98">
        <v>0</v>
      </c>
      <c r="H25" s="98">
        <v>0</v>
      </c>
      <c r="I25" s="98">
        <v>0</v>
      </c>
      <c r="J25" s="98">
        <v>0</v>
      </c>
      <c r="K25" s="98">
        <v>0</v>
      </c>
      <c r="L25" s="98">
        <v>0</v>
      </c>
      <c r="M25" s="98">
        <v>0</v>
      </c>
      <c r="N25" s="98">
        <v>0</v>
      </c>
      <c r="O25" s="98">
        <v>0</v>
      </c>
      <c r="P25" s="98">
        <v>0</v>
      </c>
      <c r="Q25" s="98">
        <v>0</v>
      </c>
      <c r="R25" s="98">
        <v>0</v>
      </c>
      <c r="S25" s="98">
        <v>0</v>
      </c>
      <c r="T25" s="98">
        <v>0</v>
      </c>
      <c r="U25" s="98">
        <v>0</v>
      </c>
      <c r="V25" s="98">
        <v>0</v>
      </c>
      <c r="W25" s="98">
        <v>0.47</v>
      </c>
      <c r="X25" s="98">
        <v>0.01</v>
      </c>
      <c r="Y25" s="98"/>
      <c r="Z25" s="98">
        <v>0</v>
      </c>
      <c r="AA25" s="98">
        <v>0</v>
      </c>
    </row>
    <row r="26" spans="2:27" ht="17.149999999999999" customHeight="1">
      <c r="B26" s="196" t="s">
        <v>222</v>
      </c>
      <c r="C26" s="98">
        <v>0</v>
      </c>
      <c r="D26" s="98">
        <v>0.41</v>
      </c>
      <c r="E26" s="98">
        <v>0.03</v>
      </c>
      <c r="F26" s="98">
        <v>0</v>
      </c>
      <c r="G26" s="98">
        <v>0.03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0.54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1.26</v>
      </c>
      <c r="X26" s="98">
        <v>0.03</v>
      </c>
      <c r="Y26" s="98">
        <v>0</v>
      </c>
      <c r="Z26" s="98"/>
      <c r="AA26" s="98">
        <v>0</v>
      </c>
    </row>
    <row r="27" spans="2:27" ht="17.149999999999999" customHeight="1">
      <c r="B27" s="196" t="s">
        <v>231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0.39</v>
      </c>
      <c r="P27" s="98">
        <v>3.92</v>
      </c>
      <c r="Q27" s="98">
        <v>2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0.02</v>
      </c>
      <c r="X27" s="98">
        <v>0</v>
      </c>
      <c r="Y27" s="98">
        <v>0</v>
      </c>
      <c r="Z27" s="98">
        <v>0</v>
      </c>
      <c r="AA27" s="98"/>
    </row>
    <row r="28" spans="2:27" ht="17.149999999999999" customHeight="1">
      <c r="B28" s="196" t="s">
        <v>244</v>
      </c>
      <c r="C28" s="98">
        <v>0.01</v>
      </c>
      <c r="D28" s="98">
        <v>0.35</v>
      </c>
      <c r="E28" s="98">
        <v>0.01</v>
      </c>
      <c r="F28" s="98">
        <v>0</v>
      </c>
      <c r="G28" s="98">
        <v>0</v>
      </c>
      <c r="H28" s="98">
        <v>0</v>
      </c>
      <c r="I28" s="98">
        <v>0</v>
      </c>
      <c r="J28" s="98">
        <v>0</v>
      </c>
      <c r="K28" s="98">
        <v>0</v>
      </c>
      <c r="L28" s="98">
        <v>0</v>
      </c>
      <c r="M28" s="98">
        <v>0</v>
      </c>
      <c r="N28" s="98">
        <v>0</v>
      </c>
      <c r="O28" s="98">
        <v>0</v>
      </c>
      <c r="P28" s="98">
        <v>0</v>
      </c>
      <c r="Q28" s="98">
        <v>0</v>
      </c>
      <c r="R28" s="98">
        <v>0</v>
      </c>
      <c r="S28" s="98">
        <v>0</v>
      </c>
      <c r="T28" s="98">
        <v>0</v>
      </c>
      <c r="U28" s="98">
        <v>0</v>
      </c>
      <c r="V28" s="98">
        <v>0</v>
      </c>
      <c r="W28" s="98">
        <v>7.0000000000000007E-2</v>
      </c>
      <c r="X28" s="98">
        <v>0.14000000000000001</v>
      </c>
      <c r="Y28" s="98">
        <v>0.01</v>
      </c>
      <c r="Z28" s="98">
        <v>2.61</v>
      </c>
      <c r="AA28" s="98">
        <v>0</v>
      </c>
    </row>
    <row r="29" spans="2:27" ht="17.149999999999999" customHeight="1">
      <c r="B29" s="200" t="s">
        <v>253</v>
      </c>
      <c r="C29" s="201">
        <v>88.14</v>
      </c>
      <c r="D29" s="201">
        <v>29.02</v>
      </c>
      <c r="E29" s="201">
        <v>66.39</v>
      </c>
      <c r="F29" s="201">
        <v>85.71</v>
      </c>
      <c r="G29" s="201">
        <v>73.2</v>
      </c>
      <c r="H29" s="201">
        <v>95.82</v>
      </c>
      <c r="I29" s="201">
        <v>0</v>
      </c>
      <c r="J29" s="201">
        <v>51.95</v>
      </c>
      <c r="K29" s="201">
        <v>100</v>
      </c>
      <c r="L29" s="201">
        <v>91.98</v>
      </c>
      <c r="M29" s="201">
        <v>82.94</v>
      </c>
      <c r="N29" s="201">
        <v>83.39</v>
      </c>
      <c r="O29" s="201">
        <v>67.05</v>
      </c>
      <c r="P29" s="201">
        <v>25.49</v>
      </c>
      <c r="Q29" s="201">
        <v>69.209999999999994</v>
      </c>
      <c r="R29" s="201">
        <v>33.619999999999997</v>
      </c>
      <c r="S29" s="201">
        <v>0</v>
      </c>
      <c r="T29" s="201">
        <v>58.63</v>
      </c>
      <c r="U29" s="201">
        <v>0</v>
      </c>
      <c r="V29" s="201">
        <v>85.58</v>
      </c>
      <c r="W29" s="201">
        <v>41.71</v>
      </c>
      <c r="X29" s="201">
        <v>23.3</v>
      </c>
      <c r="Y29" s="201">
        <v>40.78</v>
      </c>
      <c r="Z29" s="201">
        <v>32.770000000000003</v>
      </c>
      <c r="AA29" s="201">
        <v>39.369999999999997</v>
      </c>
    </row>
    <row r="30" spans="2:27" ht="17.149999999999999" customHeight="1">
      <c r="B30" s="200" t="s">
        <v>30</v>
      </c>
      <c r="C30" s="201">
        <v>100</v>
      </c>
      <c r="D30" s="201">
        <v>100</v>
      </c>
      <c r="E30" s="201">
        <v>100</v>
      </c>
      <c r="F30" s="201">
        <v>100</v>
      </c>
      <c r="G30" s="201">
        <v>100</v>
      </c>
      <c r="H30" s="201">
        <v>100</v>
      </c>
      <c r="I30" s="201">
        <v>100</v>
      </c>
      <c r="J30" s="201">
        <v>100</v>
      </c>
      <c r="K30" s="201">
        <v>100</v>
      </c>
      <c r="L30" s="201">
        <v>100</v>
      </c>
      <c r="M30" s="201">
        <v>100</v>
      </c>
      <c r="N30" s="201">
        <v>100</v>
      </c>
      <c r="O30" s="201">
        <v>100</v>
      </c>
      <c r="P30" s="201">
        <v>100</v>
      </c>
      <c r="Q30" s="201">
        <v>100</v>
      </c>
      <c r="R30" s="201">
        <v>100</v>
      </c>
      <c r="S30" s="201">
        <v>100</v>
      </c>
      <c r="T30" s="201">
        <v>100</v>
      </c>
      <c r="U30" s="201">
        <v>0</v>
      </c>
      <c r="V30" s="201">
        <v>100</v>
      </c>
      <c r="W30" s="201">
        <v>100</v>
      </c>
      <c r="X30" s="201">
        <v>100</v>
      </c>
      <c r="Y30" s="201">
        <v>100</v>
      </c>
      <c r="Z30" s="201">
        <v>100</v>
      </c>
      <c r="AA30" s="201">
        <v>100</v>
      </c>
    </row>
    <row r="31" spans="2:27" ht="17.149999999999999" customHeight="1">
      <c r="B31" s="197" t="s">
        <v>24</v>
      </c>
      <c r="C31" s="197">
        <v>3.0394586782663993</v>
      </c>
      <c r="D31" s="197">
        <v>8.2155206136495451</v>
      </c>
      <c r="E31" s="197">
        <v>2.5146455999632025</v>
      </c>
      <c r="F31" s="197">
        <v>5.5570135008181438</v>
      </c>
      <c r="G31" s="197">
        <v>5.6698778060080928</v>
      </c>
      <c r="H31" s="197">
        <v>10.803138845576498</v>
      </c>
      <c r="I31" s="197">
        <v>5.6257241962585827</v>
      </c>
      <c r="J31" s="197">
        <v>1.286725980255818</v>
      </c>
      <c r="K31" s="197">
        <v>2.8295505498156208</v>
      </c>
      <c r="L31" s="197">
        <v>10.224848693124008</v>
      </c>
      <c r="M31" s="197">
        <v>5.1643226071040562</v>
      </c>
    </row>
    <row r="32" spans="2:27" ht="17.149999999999999" customHeight="1"/>
    <row r="33" ht="17.149999999999999" customHeight="1"/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D13C7-5F97-4BE8-AE0A-1956D0DBAD1C}">
  <sheetPr codeName="Hoja12"/>
  <dimension ref="B2:S70"/>
  <sheetViews>
    <sheetView workbookViewId="0"/>
  </sheetViews>
  <sheetFormatPr baseColWidth="10" defaultColWidth="10.7265625" defaultRowHeight="14.5"/>
  <cols>
    <col min="1" max="1" width="10.7265625" style="4"/>
    <col min="2" max="2" width="22.7265625" style="4" customWidth="1"/>
    <col min="3" max="3" width="12" style="4" bestFit="1" customWidth="1"/>
    <col min="4" max="5" width="10.7265625" style="4"/>
    <col min="6" max="6" width="13.26953125" style="4" bestFit="1" customWidth="1"/>
    <col min="7" max="8" width="11.26953125" style="4" bestFit="1" customWidth="1"/>
    <col min="9" max="16384" width="10.7265625" style="4"/>
  </cols>
  <sheetData>
    <row r="2" spans="2:19" ht="18.5">
      <c r="B2" s="112" t="s">
        <v>478</v>
      </c>
    </row>
    <row r="4" spans="2:19">
      <c r="J4" s="1370" t="s">
        <v>437</v>
      </c>
      <c r="K4" s="1370"/>
      <c r="L4" s="1370"/>
      <c r="M4" s="1370"/>
      <c r="N4" s="1371" t="s">
        <v>438</v>
      </c>
      <c r="O4" s="1371"/>
      <c r="P4" s="1371" t="s">
        <v>439</v>
      </c>
      <c r="Q4" s="1371"/>
    </row>
    <row r="5" spans="2:19" ht="43.5">
      <c r="B5" s="178" t="s">
        <v>65</v>
      </c>
      <c r="C5" s="244" t="s">
        <v>440</v>
      </c>
      <c r="D5" s="244" t="s">
        <v>441</v>
      </c>
      <c r="E5" s="244" t="s">
        <v>442</v>
      </c>
      <c r="F5" s="244" t="s">
        <v>35</v>
      </c>
      <c r="G5" s="244" t="s">
        <v>443</v>
      </c>
      <c r="H5" s="244" t="s">
        <v>444</v>
      </c>
      <c r="I5" s="245" t="s">
        <v>445</v>
      </c>
      <c r="J5" s="244" t="s">
        <v>446</v>
      </c>
      <c r="K5" s="244" t="s">
        <v>447</v>
      </c>
      <c r="L5" s="244" t="s">
        <v>448</v>
      </c>
      <c r="M5" s="244" t="s">
        <v>449</v>
      </c>
      <c r="N5" s="244" t="s">
        <v>450</v>
      </c>
      <c r="O5" s="244" t="s">
        <v>451</v>
      </c>
      <c r="P5" s="244" t="s">
        <v>450</v>
      </c>
      <c r="Q5" s="244" t="s">
        <v>451</v>
      </c>
      <c r="R5" s="244" t="s">
        <v>452</v>
      </c>
      <c r="S5" s="244" t="s">
        <v>453</v>
      </c>
    </row>
    <row r="6" spans="2:19">
      <c r="B6" s="246" t="s">
        <v>454</v>
      </c>
      <c r="C6" s="246" t="s">
        <v>455</v>
      </c>
      <c r="D6" s="246" t="s">
        <v>455</v>
      </c>
      <c r="E6" s="246" t="s">
        <v>455</v>
      </c>
      <c r="F6" s="247">
        <v>8.4</v>
      </c>
      <c r="G6" s="248">
        <v>82.9</v>
      </c>
      <c r="H6" s="249" t="s">
        <v>456</v>
      </c>
      <c r="I6" s="246" t="s">
        <v>455</v>
      </c>
      <c r="J6" s="250">
        <v>28</v>
      </c>
      <c r="K6" s="246"/>
      <c r="L6" s="248"/>
      <c r="M6" s="246">
        <v>300</v>
      </c>
      <c r="N6" s="246" t="s">
        <v>455</v>
      </c>
      <c r="O6" s="246" t="s">
        <v>455</v>
      </c>
      <c r="P6" s="246" t="s">
        <v>455</v>
      </c>
      <c r="Q6" s="246" t="s">
        <v>455</v>
      </c>
      <c r="R6" s="246" t="s">
        <v>455</v>
      </c>
      <c r="S6" s="246" t="s">
        <v>455</v>
      </c>
    </row>
    <row r="7" spans="2:19">
      <c r="B7" s="246" t="s">
        <v>344</v>
      </c>
      <c r="C7" s="246">
        <v>4.7</v>
      </c>
      <c r="D7" s="246">
        <v>1200</v>
      </c>
      <c r="E7" s="246" t="s">
        <v>455</v>
      </c>
      <c r="F7" s="247">
        <v>10.210000000000001</v>
      </c>
      <c r="G7" s="248">
        <v>38.799999999999997</v>
      </c>
      <c r="H7" s="249" t="s">
        <v>457</v>
      </c>
      <c r="I7" s="246" t="s">
        <v>455</v>
      </c>
      <c r="J7" s="250"/>
      <c r="K7" s="246">
        <v>16</v>
      </c>
      <c r="L7" s="248"/>
      <c r="M7" s="248"/>
      <c r="N7" s="246" t="s">
        <v>455</v>
      </c>
      <c r="O7" s="246" t="s">
        <v>455</v>
      </c>
      <c r="P7" s="246" t="s">
        <v>455</v>
      </c>
      <c r="Q7" s="246" t="s">
        <v>455</v>
      </c>
      <c r="R7" s="246"/>
      <c r="S7" s="246">
        <v>3.2</v>
      </c>
    </row>
    <row r="8" spans="2:19">
      <c r="B8" s="246" t="s">
        <v>458</v>
      </c>
      <c r="C8" s="246">
        <v>4.7</v>
      </c>
      <c r="D8" s="246">
        <v>1200</v>
      </c>
      <c r="E8" s="246">
        <v>10</v>
      </c>
      <c r="F8" s="247">
        <v>10.220000000000001</v>
      </c>
      <c r="G8" s="248">
        <v>39.200000000000003</v>
      </c>
      <c r="H8" s="249" t="s">
        <v>459</v>
      </c>
      <c r="I8" s="246" t="s">
        <v>460</v>
      </c>
      <c r="J8" s="250"/>
      <c r="K8" s="246">
        <v>8</v>
      </c>
      <c r="L8" s="248"/>
      <c r="M8" s="248"/>
      <c r="N8" s="246">
        <v>3417.7</v>
      </c>
      <c r="O8" s="246" t="s">
        <v>461</v>
      </c>
      <c r="P8" s="246">
        <v>7420.6</v>
      </c>
      <c r="Q8" s="246" t="s">
        <v>455</v>
      </c>
      <c r="R8" s="246" t="s">
        <v>462</v>
      </c>
      <c r="S8" s="246">
        <v>2.6</v>
      </c>
    </row>
    <row r="9" spans="2:19">
      <c r="B9" s="246" t="s">
        <v>463</v>
      </c>
      <c r="C9" s="246" t="s">
        <v>455</v>
      </c>
      <c r="D9" s="246" t="s">
        <v>455</v>
      </c>
      <c r="E9" s="246" t="s">
        <v>455</v>
      </c>
      <c r="F9" s="247">
        <v>11.38</v>
      </c>
      <c r="G9" s="248">
        <v>79.7</v>
      </c>
      <c r="H9" s="249" t="s">
        <v>464</v>
      </c>
      <c r="I9" s="246" t="s">
        <v>455</v>
      </c>
      <c r="J9" s="248"/>
      <c r="K9" s="246"/>
      <c r="L9" s="248"/>
      <c r="M9" s="246">
        <v>500</v>
      </c>
      <c r="N9" s="246"/>
      <c r="O9" s="246" t="s">
        <v>455</v>
      </c>
      <c r="P9" s="246" t="s">
        <v>455</v>
      </c>
      <c r="Q9" s="246" t="s">
        <v>455</v>
      </c>
      <c r="R9" s="246" t="s">
        <v>455</v>
      </c>
      <c r="S9" s="246" t="s">
        <v>455</v>
      </c>
    </row>
    <row r="10" spans="2:19">
      <c r="B10" s="246" t="s">
        <v>465</v>
      </c>
      <c r="C10" s="246">
        <v>3</v>
      </c>
      <c r="D10" s="246">
        <v>1200</v>
      </c>
      <c r="E10" s="246">
        <v>2</v>
      </c>
      <c r="F10" s="247">
        <v>11.3</v>
      </c>
      <c r="G10" s="248">
        <v>51.6</v>
      </c>
      <c r="H10" s="249" t="s">
        <v>457</v>
      </c>
      <c r="I10" s="246" t="s">
        <v>466</v>
      </c>
      <c r="J10" s="250"/>
      <c r="K10" s="246"/>
      <c r="L10" s="248">
        <v>6</v>
      </c>
      <c r="M10" s="248"/>
      <c r="N10" s="246">
        <v>632.79999999999995</v>
      </c>
      <c r="O10" s="246" t="s">
        <v>467</v>
      </c>
      <c r="P10" s="246" t="s">
        <v>455</v>
      </c>
      <c r="Q10" s="246" t="s">
        <v>455</v>
      </c>
      <c r="R10" s="246" t="s">
        <v>468</v>
      </c>
      <c r="S10" s="246">
        <v>0</v>
      </c>
    </row>
    <row r="11" spans="2:19">
      <c r="B11" s="246" t="s">
        <v>469</v>
      </c>
      <c r="C11" s="246">
        <v>3</v>
      </c>
      <c r="D11" s="246">
        <v>1200</v>
      </c>
      <c r="E11" s="246">
        <v>6</v>
      </c>
      <c r="F11" s="247">
        <v>11.32</v>
      </c>
      <c r="G11" s="248">
        <v>19.600000000000001</v>
      </c>
      <c r="H11" s="249" t="s">
        <v>470</v>
      </c>
      <c r="I11" s="246" t="s">
        <v>471</v>
      </c>
      <c r="J11" s="250"/>
      <c r="K11" s="246"/>
      <c r="L11" s="248"/>
      <c r="M11" s="248"/>
      <c r="N11" s="246">
        <v>2099</v>
      </c>
      <c r="O11" s="246" t="s">
        <v>472</v>
      </c>
      <c r="P11" s="246">
        <v>4828.5</v>
      </c>
      <c r="Q11" s="246" t="s">
        <v>473</v>
      </c>
      <c r="R11" s="246" t="s">
        <v>468</v>
      </c>
      <c r="S11" s="246">
        <v>6.2</v>
      </c>
    </row>
    <row r="12" spans="2:19">
      <c r="B12" s="246" t="s">
        <v>474</v>
      </c>
      <c r="C12" s="246">
        <v>1.3</v>
      </c>
      <c r="D12" s="246">
        <v>800</v>
      </c>
      <c r="E12" s="246">
        <v>1.5</v>
      </c>
      <c r="F12" s="247">
        <v>11.34</v>
      </c>
      <c r="G12" s="248">
        <v>-5.3</v>
      </c>
      <c r="H12" s="249" t="s">
        <v>457</v>
      </c>
      <c r="I12" s="246" t="s">
        <v>466</v>
      </c>
      <c r="J12" s="250"/>
      <c r="K12" s="246"/>
      <c r="L12" s="248"/>
      <c r="M12" s="248"/>
      <c r="N12" s="246">
        <v>486.7</v>
      </c>
      <c r="O12" s="246" t="s">
        <v>475</v>
      </c>
      <c r="P12" s="246">
        <v>2336.6</v>
      </c>
      <c r="Q12" s="246" t="s">
        <v>476</v>
      </c>
      <c r="R12" s="246" t="s">
        <v>477</v>
      </c>
      <c r="S12" s="246">
        <v>1.2</v>
      </c>
    </row>
    <row r="14" spans="2:19">
      <c r="B14" s="1372" t="s">
        <v>479</v>
      </c>
      <c r="C14" s="1373" t="s">
        <v>480</v>
      </c>
      <c r="D14" s="1373"/>
      <c r="E14" s="1373" t="s">
        <v>481</v>
      </c>
      <c r="F14" s="1373"/>
      <c r="G14" s="1373"/>
      <c r="H14" s="1373"/>
    </row>
    <row r="15" spans="2:19">
      <c r="B15" s="1372"/>
      <c r="C15" s="252" t="s">
        <v>482</v>
      </c>
      <c r="D15" s="252" t="s">
        <v>31</v>
      </c>
      <c r="E15" s="253" t="s">
        <v>483</v>
      </c>
      <c r="F15" s="253" t="s">
        <v>0</v>
      </c>
      <c r="G15" s="253" t="s">
        <v>17</v>
      </c>
      <c r="H15" s="253" t="s">
        <v>52</v>
      </c>
    </row>
    <row r="16" spans="2:19">
      <c r="B16" s="254" t="s">
        <v>484</v>
      </c>
      <c r="C16" s="255">
        <v>2922.7</v>
      </c>
      <c r="D16" s="255"/>
      <c r="E16" s="256">
        <v>0.09</v>
      </c>
      <c r="F16" s="256">
        <v>38</v>
      </c>
      <c r="G16" s="256">
        <v>1.5329999999999999</v>
      </c>
      <c r="H16" s="256">
        <v>1.1499999999999999</v>
      </c>
    </row>
    <row r="17" spans="2:13">
      <c r="B17" s="254" t="s">
        <v>485</v>
      </c>
      <c r="C17" s="255">
        <v>69.2</v>
      </c>
      <c r="D17" s="255"/>
      <c r="E17" s="256">
        <v>17.5</v>
      </c>
      <c r="F17" s="256">
        <v>1375</v>
      </c>
      <c r="G17" s="256">
        <v>19.77</v>
      </c>
      <c r="H17" s="256">
        <v>25.21</v>
      </c>
    </row>
    <row r="18" spans="2:13">
      <c r="B18" s="254" t="s">
        <v>486</v>
      </c>
      <c r="C18" s="255">
        <v>361</v>
      </c>
      <c r="D18" s="255"/>
      <c r="E18" s="256">
        <v>0.14199999999999999</v>
      </c>
      <c r="F18" s="256">
        <v>178</v>
      </c>
      <c r="G18" s="256">
        <v>1.9690000000000001</v>
      </c>
      <c r="H18" s="256">
        <v>1.61</v>
      </c>
    </row>
    <row r="19" spans="2:13">
      <c r="B19" s="254" t="s">
        <v>487</v>
      </c>
      <c r="C19" s="255">
        <v>105.8</v>
      </c>
      <c r="D19" s="255"/>
      <c r="E19" s="256">
        <v>2.27</v>
      </c>
      <c r="F19" s="256">
        <v>725</v>
      </c>
      <c r="G19" s="256">
        <v>5.3979999999999997</v>
      </c>
      <c r="H19" s="256">
        <v>5.96</v>
      </c>
    </row>
    <row r="20" spans="2:13">
      <c r="B20" s="254" t="s">
        <v>488</v>
      </c>
      <c r="C20" s="255">
        <v>35</v>
      </c>
      <c r="D20" s="255"/>
      <c r="E20" s="256">
        <v>14.98</v>
      </c>
      <c r="F20" s="256">
        <v>1751</v>
      </c>
      <c r="G20" s="256">
        <v>21.1</v>
      </c>
      <c r="H20" s="256">
        <v>24.01</v>
      </c>
    </row>
    <row r="21" spans="2:13">
      <c r="B21" s="257"/>
      <c r="C21" s="258"/>
      <c r="D21" s="259"/>
      <c r="E21" s="260"/>
      <c r="F21" s="261"/>
      <c r="G21" s="260"/>
      <c r="H21" s="260"/>
    </row>
    <row r="22" spans="2:13">
      <c r="B22" s="257" t="s">
        <v>489</v>
      </c>
      <c r="C22" s="258" t="s">
        <v>455</v>
      </c>
      <c r="D22" s="259"/>
      <c r="E22" s="262">
        <v>3.57</v>
      </c>
      <c r="F22" s="261">
        <v>479.6</v>
      </c>
      <c r="G22" s="262">
        <v>6.24</v>
      </c>
      <c r="H22" s="262">
        <v>7.36</v>
      </c>
    </row>
    <row r="25" spans="2:13" ht="16">
      <c r="B25" s="263" t="s">
        <v>490</v>
      </c>
    </row>
    <row r="27" spans="2:13" ht="15" thickBot="1">
      <c r="B27" s="45"/>
      <c r="C27" s="45"/>
      <c r="D27" s="45"/>
      <c r="E27" s="45" t="s">
        <v>31</v>
      </c>
      <c r="F27" s="45"/>
      <c r="G27" s="45"/>
      <c r="H27" s="45"/>
      <c r="I27" s="45"/>
      <c r="J27" s="45" t="s">
        <v>181</v>
      </c>
      <c r="K27" s="45"/>
      <c r="L27" s="45"/>
      <c r="M27" s="45"/>
    </row>
    <row r="28" spans="2:13" ht="15" thickBot="1">
      <c r="B28" s="68"/>
      <c r="C28" s="68"/>
      <c r="D28" s="286" t="s">
        <v>491</v>
      </c>
      <c r="E28" s="287" t="str">
        <f>E15</f>
        <v>Cu-T</v>
      </c>
      <c r="F28" s="287" t="str">
        <f>F15</f>
        <v>Mo</v>
      </c>
      <c r="G28" s="287" t="str">
        <f>G15</f>
        <v>Fe</v>
      </c>
      <c r="H28" s="288" t="str">
        <f>H15</f>
        <v>S</v>
      </c>
      <c r="I28" s="68"/>
      <c r="J28" s="280" t="str">
        <f>E28</f>
        <v>Cu-T</v>
      </c>
      <c r="K28" s="281" t="str">
        <f>F28</f>
        <v>Mo</v>
      </c>
      <c r="L28" s="281" t="str">
        <f>G28</f>
        <v>Fe</v>
      </c>
      <c r="M28" s="282" t="str">
        <f>H28</f>
        <v>S</v>
      </c>
    </row>
    <row r="29" spans="2:13">
      <c r="B29" s="283"/>
      <c r="C29" s="265" t="s">
        <v>492</v>
      </c>
      <c r="D29" s="266">
        <f>D30+D31</f>
        <v>3493.7</v>
      </c>
      <c r="E29" s="267">
        <f>J29*100/$D29</f>
        <v>0.65540000572459012</v>
      </c>
      <c r="F29" s="267">
        <f>K29*100/$D29</f>
        <v>116.91347282250909</v>
      </c>
      <c r="G29" s="267">
        <f>L29*100/$D29</f>
        <v>2.2523400692675382</v>
      </c>
      <c r="H29" s="268">
        <f>M29*100/$D29</f>
        <v>2.0487634885651316</v>
      </c>
      <c r="I29" s="68"/>
      <c r="J29" s="269">
        <f>SUM(J30:J31)</f>
        <v>22.89771</v>
      </c>
      <c r="K29" s="265">
        <f>SUM(K30:K31)</f>
        <v>4084.6059999999998</v>
      </c>
      <c r="L29" s="265">
        <f>SUM(L30:L31)</f>
        <v>78.690004999999985</v>
      </c>
      <c r="M29" s="270">
        <f>SUM(M30:M31)</f>
        <v>71.577650000000006</v>
      </c>
    </row>
    <row r="30" spans="2:13">
      <c r="B30" s="284" t="s">
        <v>16</v>
      </c>
      <c r="C30" s="100" t="s">
        <v>493</v>
      </c>
      <c r="D30" s="271">
        <f>D35</f>
        <v>571</v>
      </c>
      <c r="E30" s="272">
        <f>E35</f>
        <v>3.5494360770577935</v>
      </c>
      <c r="F30" s="272">
        <f>F35</f>
        <v>520.83712784588442</v>
      </c>
      <c r="G30" s="272">
        <f>G35</f>
        <v>5.9343281961471099</v>
      </c>
      <c r="H30" s="289">
        <f>H35</f>
        <v>6.6491418563922942</v>
      </c>
      <c r="I30" s="68"/>
      <c r="J30" s="273">
        <f t="shared" ref="J30:M31" si="0">E30*$D30/100</f>
        <v>20.26728</v>
      </c>
      <c r="K30" s="100">
        <f t="shared" si="0"/>
        <v>2973.98</v>
      </c>
      <c r="L30" s="100">
        <f t="shared" si="0"/>
        <v>33.885013999999998</v>
      </c>
      <c r="M30" s="274">
        <f t="shared" si="0"/>
        <v>37.9666</v>
      </c>
    </row>
    <row r="31" spans="2:13" ht="15" thickBot="1">
      <c r="B31" s="285"/>
      <c r="C31" s="275" t="s">
        <v>494</v>
      </c>
      <c r="D31" s="276">
        <f>C16</f>
        <v>2922.7</v>
      </c>
      <c r="E31" s="277">
        <f>E16</f>
        <v>0.09</v>
      </c>
      <c r="F31" s="277">
        <f>F16</f>
        <v>38</v>
      </c>
      <c r="G31" s="277">
        <f>G16</f>
        <v>1.5329999999999999</v>
      </c>
      <c r="H31" s="290">
        <f>H16</f>
        <v>1.1499999999999999</v>
      </c>
      <c r="I31" s="68"/>
      <c r="J31" s="278">
        <f t="shared" si="0"/>
        <v>2.6304299999999996</v>
      </c>
      <c r="K31" s="275">
        <f t="shared" si="0"/>
        <v>1110.626</v>
      </c>
      <c r="L31" s="275">
        <f t="shared" si="0"/>
        <v>44.804990999999994</v>
      </c>
      <c r="M31" s="279">
        <f t="shared" si="0"/>
        <v>33.611049999999999</v>
      </c>
    </row>
    <row r="32" spans="2:13">
      <c r="B32" s="283"/>
      <c r="C32" s="265" t="s">
        <v>492</v>
      </c>
      <c r="D32" s="266">
        <f>D33+D34</f>
        <v>501.8</v>
      </c>
      <c r="E32" s="267">
        <f>J32*100/$D32</f>
        <v>1.6256038262255881</v>
      </c>
      <c r="F32" s="267">
        <f>K32*100/$D32</f>
        <v>403.04503786369071</v>
      </c>
      <c r="G32" s="267">
        <f>L32*100/$D32</f>
        <v>4.0263399760860894</v>
      </c>
      <c r="H32" s="268">
        <f>M32*100/$D32</f>
        <v>4.0895336787564762</v>
      </c>
      <c r="I32" s="68"/>
      <c r="J32" s="269">
        <f>SUM(J33:J34)</f>
        <v>8.1572800000000001</v>
      </c>
      <c r="K32" s="265">
        <f>SUM(K33:K34)</f>
        <v>2022.48</v>
      </c>
      <c r="L32" s="265">
        <f>SUM(L33:L34)</f>
        <v>20.204173999999998</v>
      </c>
      <c r="M32" s="270">
        <f>SUM(M33:M34)</f>
        <v>20.521279999999997</v>
      </c>
    </row>
    <row r="33" spans="2:13">
      <c r="B33" s="284" t="s">
        <v>358</v>
      </c>
      <c r="C33" s="100" t="s">
        <v>493</v>
      </c>
      <c r="D33" s="271">
        <f>D38</f>
        <v>140.80000000000001</v>
      </c>
      <c r="E33" s="272">
        <f>E38</f>
        <v>5.4294460227272721</v>
      </c>
      <c r="F33" s="272">
        <f>F38</f>
        <v>980.04261363636351</v>
      </c>
      <c r="G33" s="272">
        <f>G38</f>
        <v>9.3011960227272716</v>
      </c>
      <c r="H33" s="289">
        <f>H38</f>
        <v>10.446860795454544</v>
      </c>
      <c r="I33" s="68"/>
      <c r="J33" s="273">
        <f t="shared" ref="J33:M34" si="1">E33*$D33/100</f>
        <v>7.64466</v>
      </c>
      <c r="K33" s="100">
        <f t="shared" si="1"/>
        <v>1379.9</v>
      </c>
      <c r="L33" s="100">
        <f t="shared" si="1"/>
        <v>13.096083999999998</v>
      </c>
      <c r="M33" s="274">
        <f t="shared" si="1"/>
        <v>14.709179999999998</v>
      </c>
    </row>
    <row r="34" spans="2:13" ht="15" thickBot="1">
      <c r="B34" s="285"/>
      <c r="C34" s="275" t="s">
        <v>494</v>
      </c>
      <c r="D34" s="276">
        <f>C18</f>
        <v>361</v>
      </c>
      <c r="E34" s="277">
        <f>E18</f>
        <v>0.14199999999999999</v>
      </c>
      <c r="F34" s="277">
        <f>F18</f>
        <v>178</v>
      </c>
      <c r="G34" s="277">
        <f>G18</f>
        <v>1.9690000000000001</v>
      </c>
      <c r="H34" s="290">
        <f>H18</f>
        <v>1.61</v>
      </c>
      <c r="I34" s="68"/>
      <c r="J34" s="278">
        <f t="shared" si="1"/>
        <v>0.51261999999999996</v>
      </c>
      <c r="K34" s="275">
        <f t="shared" si="1"/>
        <v>642.58000000000004</v>
      </c>
      <c r="L34" s="275">
        <f t="shared" si="1"/>
        <v>7.1080900000000007</v>
      </c>
      <c r="M34" s="279">
        <f t="shared" si="1"/>
        <v>5.8121</v>
      </c>
    </row>
    <row r="35" spans="2:13">
      <c r="B35" s="283"/>
      <c r="C35" s="265" t="s">
        <v>492</v>
      </c>
      <c r="D35" s="266">
        <f>D36+D37</f>
        <v>571</v>
      </c>
      <c r="E35" s="267">
        <f>J35*100/$D35</f>
        <v>3.5494360770577935</v>
      </c>
      <c r="F35" s="267">
        <f>K35*100/$D35</f>
        <v>520.83712784588442</v>
      </c>
      <c r="G35" s="267">
        <f>L35*100/$D35</f>
        <v>5.9343281961471099</v>
      </c>
      <c r="H35" s="268">
        <f>M35*100/$D35</f>
        <v>6.6491418563922942</v>
      </c>
      <c r="I35" s="68"/>
      <c r="J35" s="269">
        <f>SUM(J36:J37)</f>
        <v>20.26728</v>
      </c>
      <c r="K35" s="265">
        <f>SUM(K36:K37)</f>
        <v>2973.98</v>
      </c>
      <c r="L35" s="265">
        <f>SUM(L36:L37)</f>
        <v>33.885013999999998</v>
      </c>
      <c r="M35" s="270">
        <f>SUM(M36:M37)</f>
        <v>37.9666</v>
      </c>
    </row>
    <row r="36" spans="2:13">
      <c r="B36" s="284" t="s">
        <v>465</v>
      </c>
      <c r="C36" s="100" t="s">
        <v>493</v>
      </c>
      <c r="D36" s="271">
        <f>C17</f>
        <v>69.2</v>
      </c>
      <c r="E36" s="272">
        <f>E17</f>
        <v>17.5</v>
      </c>
      <c r="F36" s="272">
        <f>F17</f>
        <v>1375</v>
      </c>
      <c r="G36" s="272">
        <f>G17</f>
        <v>19.77</v>
      </c>
      <c r="H36" s="289">
        <f>H17</f>
        <v>25.21</v>
      </c>
      <c r="I36" s="68"/>
      <c r="J36" s="273">
        <f t="shared" ref="J36:M37" si="2">E36*$D36/100</f>
        <v>12.11</v>
      </c>
      <c r="K36" s="100">
        <f t="shared" si="2"/>
        <v>951.5</v>
      </c>
      <c r="L36" s="100">
        <f t="shared" si="2"/>
        <v>13.68084</v>
      </c>
      <c r="M36" s="274">
        <f t="shared" si="2"/>
        <v>17.445320000000002</v>
      </c>
    </row>
    <row r="37" spans="2:13" ht="15" thickBot="1">
      <c r="B37" s="285"/>
      <c r="C37" s="275" t="s">
        <v>494</v>
      </c>
      <c r="D37" s="276">
        <f>D32</f>
        <v>501.8</v>
      </c>
      <c r="E37" s="277">
        <f>E32</f>
        <v>1.6256038262255881</v>
      </c>
      <c r="F37" s="277">
        <f>F32</f>
        <v>403.04503786369071</v>
      </c>
      <c r="G37" s="277">
        <f>G32</f>
        <v>4.0263399760860894</v>
      </c>
      <c r="H37" s="290">
        <f>H32</f>
        <v>4.0895336787564762</v>
      </c>
      <c r="I37" s="68"/>
      <c r="J37" s="278">
        <f t="shared" si="2"/>
        <v>8.1572800000000001</v>
      </c>
      <c r="K37" s="236">
        <f t="shared" si="2"/>
        <v>2022.48</v>
      </c>
      <c r="L37" s="275">
        <f t="shared" si="2"/>
        <v>20.204173999999998</v>
      </c>
      <c r="M37" s="279">
        <f t="shared" si="2"/>
        <v>20.521279999999997</v>
      </c>
    </row>
    <row r="38" spans="2:13">
      <c r="B38" s="283"/>
      <c r="C38" s="265" t="s">
        <v>492</v>
      </c>
      <c r="D38" s="266">
        <f>D39+D40</f>
        <v>140.80000000000001</v>
      </c>
      <c r="E38" s="267">
        <f>J38*100/$D38</f>
        <v>5.4294460227272721</v>
      </c>
      <c r="F38" s="267">
        <f>K38*100/$D38</f>
        <v>980.04261363636351</v>
      </c>
      <c r="G38" s="267">
        <f>L38*100/$D38</f>
        <v>9.3011960227272716</v>
      </c>
      <c r="H38" s="268">
        <f>M38*100/$D38</f>
        <v>10.446860795454544</v>
      </c>
      <c r="I38" s="68"/>
      <c r="J38" s="269">
        <f>SUM(J39:J40)</f>
        <v>7.64466</v>
      </c>
      <c r="K38" s="265">
        <f>SUM(K39:K40)</f>
        <v>1379.9</v>
      </c>
      <c r="L38" s="265">
        <f>SUM(L39:L40)</f>
        <v>13.096083999999999</v>
      </c>
      <c r="M38" s="270">
        <f>SUM(M39:M40)</f>
        <v>14.70918</v>
      </c>
    </row>
    <row r="39" spans="2:13">
      <c r="B39" s="284" t="s">
        <v>474</v>
      </c>
      <c r="C39" s="100" t="s">
        <v>493</v>
      </c>
      <c r="D39" s="271">
        <f>C20</f>
        <v>35</v>
      </c>
      <c r="E39" s="272">
        <f>E20</f>
        <v>14.98</v>
      </c>
      <c r="F39" s="272">
        <f>F20</f>
        <v>1751</v>
      </c>
      <c r="G39" s="272">
        <f>G20</f>
        <v>21.1</v>
      </c>
      <c r="H39" s="289">
        <f>H20</f>
        <v>24.01</v>
      </c>
      <c r="I39" s="68"/>
      <c r="J39" s="273">
        <f t="shared" ref="J39:M40" si="3">E39*$D39/100</f>
        <v>5.2430000000000003</v>
      </c>
      <c r="K39" s="100">
        <f t="shared" si="3"/>
        <v>612.85</v>
      </c>
      <c r="L39" s="100">
        <f t="shared" si="3"/>
        <v>7.3849999999999998</v>
      </c>
      <c r="M39" s="274">
        <f t="shared" si="3"/>
        <v>8.4035000000000011</v>
      </c>
    </row>
    <row r="40" spans="2:13" ht="15" thickBot="1">
      <c r="B40" s="285"/>
      <c r="C40" s="275" t="s">
        <v>494</v>
      </c>
      <c r="D40" s="276">
        <f>C19</f>
        <v>105.8</v>
      </c>
      <c r="E40" s="277">
        <f>E19</f>
        <v>2.27</v>
      </c>
      <c r="F40" s="277">
        <f>F19</f>
        <v>725</v>
      </c>
      <c r="G40" s="277">
        <f>G19</f>
        <v>5.3979999999999997</v>
      </c>
      <c r="H40" s="290">
        <f>H19</f>
        <v>5.96</v>
      </c>
      <c r="I40" s="68"/>
      <c r="J40" s="278">
        <f t="shared" si="3"/>
        <v>2.4016600000000001</v>
      </c>
      <c r="K40" s="275">
        <f t="shared" si="3"/>
        <v>767.05</v>
      </c>
      <c r="L40" s="275">
        <f t="shared" si="3"/>
        <v>5.7110839999999996</v>
      </c>
      <c r="M40" s="279">
        <f t="shared" si="3"/>
        <v>6.3056799999999997</v>
      </c>
    </row>
    <row r="41" spans="2:13" ht="15" thickBot="1"/>
    <row r="42" spans="2:13">
      <c r="B42" s="1367" t="s">
        <v>496</v>
      </c>
      <c r="C42" s="836" t="str">
        <f>B30</f>
        <v>Rougher</v>
      </c>
      <c r="D42" s="837">
        <f>D30/D29</f>
        <v>0.16343704382173627</v>
      </c>
      <c r="E42" s="837">
        <f>J30/J29</f>
        <v>0.88512257339271039</v>
      </c>
      <c r="F42" s="837">
        <f>K30/K29</f>
        <v>0.72809470485035765</v>
      </c>
      <c r="G42" s="837">
        <f>L30/L29</f>
        <v>0.43061395154314713</v>
      </c>
      <c r="H42" s="838">
        <f>M30/M29</f>
        <v>0.53042534925357288</v>
      </c>
    </row>
    <row r="43" spans="2:13">
      <c r="B43" s="1368"/>
      <c r="C43" s="839" t="str">
        <f>B33</f>
        <v>Scavenger</v>
      </c>
      <c r="D43" s="840">
        <f>D33/D32</f>
        <v>0.28058987644479871</v>
      </c>
      <c r="E43" s="840">
        <f>J33/J32</f>
        <v>0.93715797422670299</v>
      </c>
      <c r="F43" s="840">
        <f>K33/K32</f>
        <v>0.68228115976424986</v>
      </c>
      <c r="G43" s="840">
        <f>L33/L32</f>
        <v>0.64818705283373612</v>
      </c>
      <c r="H43" s="841">
        <f>M33/M32</f>
        <v>0.71677692619563693</v>
      </c>
    </row>
    <row r="44" spans="2:13">
      <c r="B44" s="1368"/>
      <c r="C44" s="839" t="str">
        <f>B36</f>
        <v>Cleaner 1</v>
      </c>
      <c r="D44" s="840">
        <f>D36/D35</f>
        <v>0.12119089316987741</v>
      </c>
      <c r="E44" s="840">
        <f>J36/J35</f>
        <v>0.59751481205174051</v>
      </c>
      <c r="F44" s="840">
        <f>K36/K35</f>
        <v>0.31994162704523904</v>
      </c>
      <c r="G44" s="840">
        <f>L36/L35</f>
        <v>0.40374308241395446</v>
      </c>
      <c r="H44" s="841">
        <f>M36/M35</f>
        <v>0.45949123703465683</v>
      </c>
    </row>
    <row r="45" spans="2:13" ht="15" thickBot="1">
      <c r="B45" s="1369"/>
      <c r="C45" s="842" t="str">
        <f>B39</f>
        <v>Cleaner 2</v>
      </c>
      <c r="D45" s="843">
        <f>D39/D38</f>
        <v>0.24857954545454544</v>
      </c>
      <c r="E45" s="843">
        <f>J39/J38</f>
        <v>0.68583821909672904</v>
      </c>
      <c r="F45" s="843">
        <f>K39/K38</f>
        <v>0.44412638596999782</v>
      </c>
      <c r="G45" s="843">
        <f>L39/L38</f>
        <v>0.56390902807281928</v>
      </c>
      <c r="H45" s="844">
        <f>M39/M38</f>
        <v>0.57130988947038519</v>
      </c>
    </row>
    <row r="46" spans="2:13" ht="15" thickBot="1">
      <c r="C46" s="68"/>
      <c r="D46" s="68"/>
      <c r="E46" s="68"/>
      <c r="F46" s="68"/>
      <c r="G46" s="68"/>
      <c r="H46" s="68"/>
    </row>
    <row r="47" spans="2:13">
      <c r="B47" s="1366" t="s">
        <v>495</v>
      </c>
      <c r="C47" s="836" t="s">
        <v>16</v>
      </c>
      <c r="D47" s="837">
        <f>D42</f>
        <v>0.16343704382173627</v>
      </c>
      <c r="E47" s="837">
        <f>E42</f>
        <v>0.88512257339271039</v>
      </c>
      <c r="F47" s="837">
        <f>F42</f>
        <v>0.72809470485035765</v>
      </c>
      <c r="G47" s="837">
        <f>G42</f>
        <v>0.43061395154314713</v>
      </c>
      <c r="H47" s="838">
        <f>H42</f>
        <v>0.53042534925357288</v>
      </c>
    </row>
    <row r="48" spans="2:13">
      <c r="B48" s="1305"/>
      <c r="C48" s="839" t="s">
        <v>357</v>
      </c>
      <c r="D48" s="840">
        <f>(D30-D34)/D30</f>
        <v>0.36777583187390545</v>
      </c>
      <c r="E48" s="840">
        <f>(J30-J34)/J30</f>
        <v>0.97470701544558525</v>
      </c>
      <c r="F48" s="840">
        <f>(K30-K34)/K30</f>
        <v>0.78393264245220218</v>
      </c>
      <c r="G48" s="840">
        <f>(L30-L34)/L30</f>
        <v>0.79022909655578122</v>
      </c>
      <c r="H48" s="841">
        <f>(M30-M34)/M30</f>
        <v>0.8469154467347616</v>
      </c>
    </row>
    <row r="49" spans="2:8" ht="15" thickBot="1">
      <c r="B49" s="1305"/>
      <c r="C49" s="842" t="s">
        <v>760</v>
      </c>
      <c r="D49" s="843">
        <f>+D48*D47</f>
        <v>6.0108194750550993E-2</v>
      </c>
      <c r="E49" s="843">
        <f>+E48*E47</f>
        <v>0.86273518181512476</v>
      </c>
      <c r="F49" s="843">
        <f>+F48*F47</f>
        <v>0.5707772059287971</v>
      </c>
      <c r="G49" s="843">
        <f>+G48*G47</f>
        <v>0.34028367389225611</v>
      </c>
      <c r="H49" s="844">
        <f>+H47*H48</f>
        <v>0.4492254216225316</v>
      </c>
    </row>
    <row r="51" spans="2:8" ht="15" thickBot="1"/>
    <row r="52" spans="2:8">
      <c r="B52" s="848" t="s">
        <v>744</v>
      </c>
      <c r="C52" s="800">
        <v>3.5494360770577935</v>
      </c>
    </row>
    <row r="53" spans="2:8">
      <c r="B53" s="849" t="s">
        <v>746</v>
      </c>
      <c r="C53" s="800">
        <v>17.5</v>
      </c>
    </row>
    <row r="54" spans="2:8">
      <c r="B54" s="849" t="s">
        <v>745</v>
      </c>
      <c r="C54" s="800">
        <v>1.6256038262255881</v>
      </c>
    </row>
    <row r="55" spans="2:8">
      <c r="B55" s="849" t="s">
        <v>747</v>
      </c>
      <c r="C55" s="800">
        <v>1.6256038262255881</v>
      </c>
    </row>
    <row r="56" spans="2:8">
      <c r="B56" s="849" t="s">
        <v>748</v>
      </c>
      <c r="C56" s="800">
        <v>5.4294460227272721</v>
      </c>
    </row>
    <row r="57" spans="2:8">
      <c r="B57" s="849" t="s">
        <v>749</v>
      </c>
      <c r="C57" s="800">
        <v>14.98</v>
      </c>
    </row>
    <row r="58" spans="2:8">
      <c r="B58" s="849" t="s">
        <v>750</v>
      </c>
      <c r="C58" s="800">
        <v>2.27</v>
      </c>
    </row>
    <row r="59" spans="2:8" ht="15" thickBot="1">
      <c r="B59" s="850" t="s">
        <v>751</v>
      </c>
      <c r="C59" s="800">
        <v>0.14199999999999999</v>
      </c>
    </row>
    <row r="60" spans="2:8" ht="15" thickBot="1">
      <c r="C60" s="95"/>
    </row>
    <row r="61" spans="2:8">
      <c r="B61" s="846" t="s">
        <v>756</v>
      </c>
      <c r="C61" s="845">
        <f>+C53/C52</f>
        <v>4.9303606601379171</v>
      </c>
    </row>
    <row r="62" spans="2:8" ht="15" thickBot="1">
      <c r="B62" s="706" t="s">
        <v>764</v>
      </c>
      <c r="C62" s="845">
        <f>+C57/C56</f>
        <v>2.7590291785376988</v>
      </c>
    </row>
    <row r="63" spans="2:8" ht="15" thickBot="1">
      <c r="B63"/>
      <c r="C63" s="652"/>
    </row>
    <row r="64" spans="2:8">
      <c r="B64" s="846" t="s">
        <v>752</v>
      </c>
      <c r="C64" s="845">
        <f>+(C52-C59)/(C57-C59)*100</f>
        <v>22.96425446190722</v>
      </c>
    </row>
    <row r="65" spans="2:3" ht="15" thickBot="1">
      <c r="B65" s="706" t="s">
        <v>753</v>
      </c>
      <c r="C65" s="845">
        <f>C57/C52</f>
        <v>4.220388725078057</v>
      </c>
    </row>
    <row r="66" spans="2:3" ht="15" thickBot="1">
      <c r="B66"/>
      <c r="C66" s="652"/>
    </row>
    <row r="67" spans="2:3">
      <c r="B67" s="846" t="s">
        <v>754</v>
      </c>
      <c r="C67" s="845">
        <f>+E47*100</f>
        <v>88.512257339271045</v>
      </c>
    </row>
    <row r="68" spans="2:3">
      <c r="B68" s="847" t="s">
        <v>761</v>
      </c>
      <c r="C68" s="845">
        <f>+C64*C65</f>
        <v>96.918080610856691</v>
      </c>
    </row>
    <row r="69" spans="2:3">
      <c r="B69" s="847" t="s">
        <v>755</v>
      </c>
      <c r="C69" s="845">
        <f>+C68*C67/100</f>
        <v>85.784380918563642</v>
      </c>
    </row>
    <row r="70" spans="2:3" ht="15" thickBot="1">
      <c r="B70" s="706" t="s">
        <v>763</v>
      </c>
      <c r="C70" s="845">
        <f>+(0.655-(AVERAGE(C59,0.15)))/((AVERAGE(C53,C57))-(AVERAGE(C59,0.15)))*100</f>
        <v>3.1626693177581702</v>
      </c>
    </row>
  </sheetData>
  <mergeCells count="8">
    <mergeCell ref="B47:B49"/>
    <mergeCell ref="B42:B45"/>
    <mergeCell ref="J4:M4"/>
    <mergeCell ref="N4:O4"/>
    <mergeCell ref="P4:Q4"/>
    <mergeCell ref="B14:B15"/>
    <mergeCell ref="C14:D14"/>
    <mergeCell ref="E14:H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D5A42-EF86-4289-A1F2-9457E601398E}">
  <sheetPr codeName="Hoja13"/>
  <dimension ref="B2:D12"/>
  <sheetViews>
    <sheetView workbookViewId="0"/>
  </sheetViews>
  <sheetFormatPr baseColWidth="10" defaultColWidth="10.7265625" defaultRowHeight="14.5"/>
  <cols>
    <col min="1" max="1" width="8.453125" style="4" customWidth="1"/>
    <col min="2" max="2" width="10.7265625" style="4"/>
    <col min="3" max="4" width="60.54296875" style="4" customWidth="1"/>
    <col min="5" max="16384" width="10.7265625" style="4"/>
  </cols>
  <sheetData>
    <row r="2" spans="2:4" ht="16.5" thickBot="1">
      <c r="B2" s="205" t="s">
        <v>117</v>
      </c>
      <c r="C2" s="205" t="s">
        <v>118</v>
      </c>
      <c r="D2" s="205" t="s">
        <v>119</v>
      </c>
    </row>
    <row r="3" spans="2:4" ht="30" thickTop="1" thickBot="1">
      <c r="B3" s="205">
        <v>1</v>
      </c>
      <c r="C3" s="202" t="s">
        <v>120</v>
      </c>
      <c r="D3" s="202" t="s">
        <v>121</v>
      </c>
    </row>
    <row r="4" spans="2:4" ht="29.5" thickBot="1">
      <c r="B4" s="205">
        <v>2</v>
      </c>
      <c r="C4" s="203" t="s">
        <v>122</v>
      </c>
      <c r="D4" s="203" t="s">
        <v>123</v>
      </c>
    </row>
    <row r="5" spans="2:4" ht="44" thickBot="1">
      <c r="B5" s="205">
        <v>3</v>
      </c>
      <c r="C5" s="204" t="s">
        <v>124</v>
      </c>
      <c r="D5" s="204" t="s">
        <v>125</v>
      </c>
    </row>
    <row r="6" spans="2:4" ht="29.5" thickBot="1">
      <c r="B6" s="205">
        <v>4</v>
      </c>
      <c r="C6" s="203" t="s">
        <v>126</v>
      </c>
      <c r="D6" s="203" t="s">
        <v>127</v>
      </c>
    </row>
    <row r="7" spans="2:4" ht="29.5" thickBot="1">
      <c r="B7" s="205">
        <v>5</v>
      </c>
      <c r="C7" s="204" t="s">
        <v>128</v>
      </c>
      <c r="D7" s="204" t="s">
        <v>129</v>
      </c>
    </row>
    <row r="8" spans="2:4" ht="44" thickBot="1">
      <c r="B8" s="205">
        <v>6</v>
      </c>
      <c r="C8" s="203" t="s">
        <v>130</v>
      </c>
      <c r="D8" s="203" t="s">
        <v>131</v>
      </c>
    </row>
    <row r="9" spans="2:4" ht="16.5" thickBot="1">
      <c r="B9" s="205">
        <v>7</v>
      </c>
      <c r="C9" s="204" t="s">
        <v>132</v>
      </c>
      <c r="D9" s="204" t="s">
        <v>133</v>
      </c>
    </row>
    <row r="10" spans="2:4" ht="44" thickBot="1">
      <c r="B10" s="205">
        <v>8</v>
      </c>
      <c r="C10" s="203" t="s">
        <v>134</v>
      </c>
      <c r="D10" s="203" t="s">
        <v>135</v>
      </c>
    </row>
    <row r="11" spans="2:4" ht="44" thickBot="1">
      <c r="B11" s="205">
        <v>9</v>
      </c>
      <c r="C11" s="204" t="s">
        <v>136</v>
      </c>
      <c r="D11" s="204" t="s">
        <v>137</v>
      </c>
    </row>
    <row r="12" spans="2:4" ht="29.5" thickBot="1">
      <c r="B12" s="205">
        <v>10</v>
      </c>
      <c r="C12" s="203" t="s">
        <v>138</v>
      </c>
      <c r="D12" s="203" t="s">
        <v>139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E9823-E472-4D3F-9CB0-6221FD837AA3}">
  <sheetPr codeName="Hoja14"/>
  <dimension ref="B2:S38"/>
  <sheetViews>
    <sheetView workbookViewId="0"/>
  </sheetViews>
  <sheetFormatPr baseColWidth="10" defaultColWidth="10.7265625" defaultRowHeight="14.5"/>
  <cols>
    <col min="1" max="16384" width="10.7265625" style="4"/>
  </cols>
  <sheetData>
    <row r="2" spans="2:2" ht="18.5">
      <c r="B2" s="112" t="s">
        <v>402</v>
      </c>
    </row>
    <row r="3" spans="2:2" ht="18.5">
      <c r="B3" s="112"/>
    </row>
    <row r="28" spans="19:19">
      <c r="S28" s="4" t="s">
        <v>403</v>
      </c>
    </row>
    <row r="29" spans="19:19">
      <c r="S29" s="4" t="s">
        <v>404</v>
      </c>
    </row>
    <row r="36" spans="12:12">
      <c r="L36" s="126"/>
    </row>
    <row r="37" spans="12:12">
      <c r="L37" s="206"/>
    </row>
    <row r="38" spans="12:12">
      <c r="L38" s="206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A8333-D7F2-4E4A-A090-1CAAAC1418C4}">
  <sheetPr codeName="Hoja15"/>
  <dimension ref="B2:AH91"/>
  <sheetViews>
    <sheetView workbookViewId="0"/>
  </sheetViews>
  <sheetFormatPr baseColWidth="10" defaultColWidth="10.7265625" defaultRowHeight="14.5"/>
  <cols>
    <col min="1" max="1" width="10.7265625" style="4"/>
    <col min="2" max="2" width="24" style="4" customWidth="1"/>
    <col min="3" max="3" width="21.453125" style="4" bestFit="1" customWidth="1"/>
    <col min="4" max="4" width="21.54296875" style="4" customWidth="1"/>
    <col min="5" max="5" width="23.453125" style="4" customWidth="1"/>
    <col min="6" max="6" width="16.26953125" style="4" customWidth="1"/>
    <col min="7" max="7" width="15.453125" style="4" bestFit="1" customWidth="1"/>
    <col min="8" max="8" width="15.26953125" style="4" bestFit="1" customWidth="1"/>
    <col min="9" max="9" width="15.453125" style="4" customWidth="1"/>
    <col min="10" max="11" width="10.7265625" style="4" bestFit="1" customWidth="1"/>
    <col min="12" max="12" width="10.7265625" style="4" customWidth="1"/>
    <col min="13" max="13" width="15.26953125" style="4" bestFit="1" customWidth="1"/>
    <col min="14" max="14" width="10.7265625" style="113"/>
    <col min="15" max="15" width="26.26953125" style="4" bestFit="1" customWidth="1"/>
    <col min="16" max="16384" width="10.7265625" style="4"/>
  </cols>
  <sheetData>
    <row r="2" spans="2:5" ht="18.5">
      <c r="B2" s="112" t="s">
        <v>302</v>
      </c>
    </row>
    <row r="3" spans="2:5" ht="19" thickBot="1">
      <c r="B3" s="112"/>
    </row>
    <row r="4" spans="2:5" ht="29">
      <c r="B4" s="831" t="s">
        <v>722</v>
      </c>
      <c r="C4" s="831" t="s">
        <v>723</v>
      </c>
      <c r="D4" s="831" t="s">
        <v>724</v>
      </c>
      <c r="E4" s="831" t="s">
        <v>725</v>
      </c>
    </row>
    <row r="5" spans="2:5">
      <c r="B5" s="832" t="s">
        <v>35</v>
      </c>
      <c r="C5" s="833">
        <v>10.199999999999999</v>
      </c>
      <c r="D5" s="834">
        <v>9.6</v>
      </c>
      <c r="E5" s="834">
        <v>9.6</v>
      </c>
    </row>
    <row r="6" spans="2:5">
      <c r="B6" s="832" t="s">
        <v>726</v>
      </c>
      <c r="C6" s="833" t="s">
        <v>727</v>
      </c>
      <c r="D6" s="834" t="s">
        <v>728</v>
      </c>
      <c r="E6" s="834" t="s">
        <v>728</v>
      </c>
    </row>
    <row r="7" spans="2:5">
      <c r="B7" s="832" t="s">
        <v>729</v>
      </c>
      <c r="C7" s="833">
        <v>165</v>
      </c>
      <c r="D7" s="833">
        <v>165</v>
      </c>
      <c r="E7" s="833">
        <v>165</v>
      </c>
    </row>
    <row r="8" spans="2:5">
      <c r="B8" s="832" t="s">
        <v>730</v>
      </c>
      <c r="C8" s="835">
        <v>0.3</v>
      </c>
      <c r="D8" s="835">
        <v>0.3</v>
      </c>
      <c r="E8" s="835">
        <v>0.3</v>
      </c>
    </row>
    <row r="9" spans="2:5" ht="29">
      <c r="B9" s="832" t="s">
        <v>731</v>
      </c>
      <c r="C9" s="833">
        <v>28</v>
      </c>
      <c r="D9" s="833">
        <v>28</v>
      </c>
      <c r="E9" s="833">
        <v>28</v>
      </c>
    </row>
    <row r="10" spans="2:5" ht="32.15" customHeight="1">
      <c r="B10" s="832" t="s">
        <v>732</v>
      </c>
      <c r="C10" s="833" t="s">
        <v>733</v>
      </c>
      <c r="D10" s="833" t="s">
        <v>733</v>
      </c>
      <c r="E10" s="834" t="s">
        <v>734</v>
      </c>
    </row>
    <row r="11" spans="2:5">
      <c r="B11" s="832" t="s">
        <v>735</v>
      </c>
      <c r="C11" s="833" t="s">
        <v>736</v>
      </c>
      <c r="D11" s="833" t="s">
        <v>736</v>
      </c>
      <c r="E11" s="834" t="s">
        <v>737</v>
      </c>
    </row>
    <row r="12" spans="2:5">
      <c r="B12" s="832" t="s">
        <v>738</v>
      </c>
      <c r="C12" s="1067">
        <v>0.66500000000000004</v>
      </c>
      <c r="D12" s="1067">
        <v>0.66600000000000004</v>
      </c>
      <c r="E12" s="1067">
        <v>0.66300000000000003</v>
      </c>
    </row>
    <row r="13" spans="2:5">
      <c r="B13" s="832" t="s">
        <v>739</v>
      </c>
      <c r="C13" s="1067">
        <v>5.4130000000000003</v>
      </c>
      <c r="D13" s="1067">
        <v>3.6429999999999998</v>
      </c>
      <c r="E13" s="1067">
        <v>3.03</v>
      </c>
    </row>
    <row r="14" spans="2:5">
      <c r="B14" s="832" t="s">
        <v>740</v>
      </c>
      <c r="C14" s="1067">
        <v>0.157</v>
      </c>
      <c r="D14" s="1067">
        <v>0.13900000000000001</v>
      </c>
      <c r="E14" s="1067">
        <v>0.128</v>
      </c>
    </row>
    <row r="15" spans="2:5">
      <c r="B15" s="832" t="s">
        <v>741</v>
      </c>
      <c r="C15" s="1069">
        <v>78.900000000000006</v>
      </c>
      <c r="D15" s="1069">
        <v>82.5</v>
      </c>
      <c r="E15" s="1069">
        <v>84.7</v>
      </c>
    </row>
    <row r="16" spans="2:5" ht="26.15" customHeight="1">
      <c r="B16" s="832" t="s">
        <v>742</v>
      </c>
      <c r="C16" s="1067">
        <v>10.763999999999999</v>
      </c>
      <c r="D16" s="1067">
        <v>15.97</v>
      </c>
      <c r="E16" s="1067">
        <v>18.135999999999999</v>
      </c>
    </row>
    <row r="17" spans="2:18" ht="15" thickBot="1"/>
    <row r="18" spans="2:18" ht="15" thickBot="1">
      <c r="B18" s="239" t="s">
        <v>6</v>
      </c>
      <c r="C18" s="240" t="s">
        <v>14</v>
      </c>
      <c r="D18" s="240" t="s">
        <v>20</v>
      </c>
      <c r="E18" s="240" t="s">
        <v>13</v>
      </c>
      <c r="F18" s="240" t="s">
        <v>21</v>
      </c>
      <c r="G18" s="240" t="s">
        <v>23</v>
      </c>
      <c r="H18" s="240" t="s">
        <v>22</v>
      </c>
      <c r="I18" s="240" t="s">
        <v>968</v>
      </c>
      <c r="J18" s="240" t="s">
        <v>15</v>
      </c>
      <c r="K18" s="241" t="s">
        <v>18</v>
      </c>
      <c r="L18" s="207" t="s">
        <v>13</v>
      </c>
      <c r="M18" s="207" t="s">
        <v>21</v>
      </c>
      <c r="N18" s="207" t="s">
        <v>23</v>
      </c>
      <c r="O18" s="207" t="s">
        <v>22</v>
      </c>
      <c r="P18" s="207" t="s">
        <v>19</v>
      </c>
      <c r="Q18" s="207" t="s">
        <v>15</v>
      </c>
      <c r="R18" s="207" t="s">
        <v>18</v>
      </c>
    </row>
    <row r="19" spans="2:18" ht="15" thickBot="1">
      <c r="B19" s="238" t="s">
        <v>303</v>
      </c>
      <c r="C19" s="224" t="s">
        <v>303</v>
      </c>
      <c r="D19" s="224">
        <v>165</v>
      </c>
      <c r="E19" s="224" t="s">
        <v>1</v>
      </c>
      <c r="F19" s="227">
        <v>0.65</v>
      </c>
      <c r="G19" s="227">
        <v>0.1</v>
      </c>
      <c r="H19" s="227">
        <v>4.46</v>
      </c>
      <c r="I19" s="235">
        <f>+'17. Jms - Pre Rougher'!M38</f>
        <v>12.537733950493056</v>
      </c>
      <c r="J19" s="227">
        <v>6.8615384615384611</v>
      </c>
      <c r="K19" s="228">
        <v>86.345466728301076</v>
      </c>
      <c r="L19" s="233" t="s">
        <v>17</v>
      </c>
      <c r="M19" s="236">
        <v>1.95</v>
      </c>
      <c r="N19" s="236">
        <v>1.22</v>
      </c>
      <c r="O19" s="236">
        <v>7.08</v>
      </c>
      <c r="P19" s="235">
        <f>+'17. Jms - Pre Rougher'!M38</f>
        <v>12.537733950493056</v>
      </c>
      <c r="Q19" s="236">
        <f>+O19/M19</f>
        <v>3.6307692307692307</v>
      </c>
      <c r="R19" s="237">
        <f>+'17. Jms - Pre Rougher'!P38</f>
        <v>45.418571677594606</v>
      </c>
    </row>
    <row r="20" spans="2:18">
      <c r="B20" s="223" t="s">
        <v>372</v>
      </c>
      <c r="C20" s="224" t="s">
        <v>966</v>
      </c>
      <c r="D20" s="224">
        <v>165</v>
      </c>
      <c r="E20" s="224" t="s">
        <v>1</v>
      </c>
      <c r="F20" s="225">
        <v>0.60899999999999999</v>
      </c>
      <c r="G20" s="225">
        <v>0.16700000000000001</v>
      </c>
      <c r="H20" s="225">
        <v>2.0830000000000002</v>
      </c>
      <c r="I20" s="777">
        <v>23.068893528183711</v>
      </c>
      <c r="J20" s="227">
        <v>3.4203612479474552</v>
      </c>
      <c r="K20" s="228">
        <v>78.903949456825416</v>
      </c>
      <c r="L20" s="208" t="s">
        <v>17</v>
      </c>
      <c r="M20" s="103">
        <v>1.87</v>
      </c>
      <c r="N20" s="103">
        <v>1.6</v>
      </c>
      <c r="O20" s="103">
        <v>3.35</v>
      </c>
      <c r="P20" s="230">
        <v>15.428571428571431</v>
      </c>
      <c r="Q20" s="209">
        <v>1.7914438502673797</v>
      </c>
      <c r="R20" s="231">
        <v>27.639419404125288</v>
      </c>
    </row>
    <row r="21" spans="2:18">
      <c r="B21" s="229" t="s">
        <v>372</v>
      </c>
      <c r="C21" s="208" t="s">
        <v>966</v>
      </c>
      <c r="D21" s="208">
        <v>165</v>
      </c>
      <c r="E21" s="208" t="s">
        <v>1</v>
      </c>
      <c r="F21" s="103">
        <v>0.63800000000000001</v>
      </c>
      <c r="G21" s="103">
        <v>0.124</v>
      </c>
      <c r="H21" s="103">
        <v>3.415</v>
      </c>
      <c r="I21" s="142">
        <v>15.618353084168945</v>
      </c>
      <c r="J21" s="209">
        <v>5.3526645768025078</v>
      </c>
      <c r="K21" s="231">
        <v>83.599805301625324</v>
      </c>
      <c r="L21" s="208" t="s">
        <v>17</v>
      </c>
      <c r="M21" s="103">
        <v>2.11</v>
      </c>
      <c r="N21" s="103">
        <v>1.43</v>
      </c>
      <c r="O21" s="103">
        <v>5.36</v>
      </c>
      <c r="P21" s="230">
        <v>17.302798982188293</v>
      </c>
      <c r="Q21" s="209">
        <v>2.5402843601895739</v>
      </c>
      <c r="R21" s="231">
        <v>43.954029641956993</v>
      </c>
    </row>
    <row r="22" spans="2:18">
      <c r="B22" s="229" t="s">
        <v>373</v>
      </c>
      <c r="C22" s="208" t="s">
        <v>966</v>
      </c>
      <c r="D22" s="208">
        <v>165</v>
      </c>
      <c r="E22" s="208" t="s">
        <v>1</v>
      </c>
      <c r="F22" s="103">
        <v>0.64600000000000002</v>
      </c>
      <c r="G22" s="103">
        <v>0.128</v>
      </c>
      <c r="H22" s="103">
        <v>3.629</v>
      </c>
      <c r="I22" s="142">
        <v>14.795772636389604</v>
      </c>
      <c r="J22" s="209">
        <v>5.617647058823529</v>
      </c>
      <c r="K22" s="231">
        <v>83.117428633835715</v>
      </c>
      <c r="L22" s="208" t="s">
        <v>17</v>
      </c>
      <c r="M22" s="103">
        <v>2.2400000000000002</v>
      </c>
      <c r="N22" s="103">
        <v>1.26</v>
      </c>
      <c r="O22" s="103">
        <v>7.66</v>
      </c>
      <c r="P22" s="230">
        <v>15.312500000000002</v>
      </c>
      <c r="Q22" s="209">
        <v>3.4196428571428568</v>
      </c>
      <c r="R22" s="231">
        <v>52.363281250000007</v>
      </c>
    </row>
    <row r="23" spans="2:18">
      <c r="B23" s="229" t="s">
        <v>373</v>
      </c>
      <c r="C23" s="208" t="s">
        <v>966</v>
      </c>
      <c r="D23" s="208">
        <v>165</v>
      </c>
      <c r="E23" s="208" t="s">
        <v>1</v>
      </c>
      <c r="F23" s="103">
        <v>0.63400000000000001</v>
      </c>
      <c r="G23" s="103">
        <v>0.15</v>
      </c>
      <c r="H23" s="103">
        <v>6.22</v>
      </c>
      <c r="I23" s="142">
        <v>7.9736408566721577</v>
      </c>
      <c r="J23" s="209">
        <v>9.8107255520504726</v>
      </c>
      <c r="K23" s="231">
        <v>78.227202095427174</v>
      </c>
      <c r="L23" s="208" t="s">
        <v>17</v>
      </c>
      <c r="M23" s="103">
        <v>2.4</v>
      </c>
      <c r="N23" s="103">
        <v>1.7</v>
      </c>
      <c r="O23" s="103">
        <v>9.1199999999999992</v>
      </c>
      <c r="P23" s="230">
        <v>9.433962264150944</v>
      </c>
      <c r="Q23" s="209">
        <v>3.8</v>
      </c>
      <c r="R23" s="231">
        <v>35.84905660377359</v>
      </c>
    </row>
    <row r="24" spans="2:18">
      <c r="B24" s="229" t="s">
        <v>374</v>
      </c>
      <c r="C24" s="208" t="s">
        <v>966</v>
      </c>
      <c r="D24" s="208">
        <v>165</v>
      </c>
      <c r="E24" s="208" t="s">
        <v>1</v>
      </c>
      <c r="F24" s="102">
        <v>0.71099999999999997</v>
      </c>
      <c r="G24" s="102">
        <v>0.15</v>
      </c>
      <c r="H24" s="102">
        <v>5.55</v>
      </c>
      <c r="I24" s="142">
        <v>10.388888888888889</v>
      </c>
      <c r="J24" s="209">
        <v>7.8059071729957807</v>
      </c>
      <c r="K24" s="231">
        <v>81.094702297233951</v>
      </c>
      <c r="L24" s="208" t="s">
        <v>17</v>
      </c>
      <c r="M24" s="102">
        <v>2.33</v>
      </c>
      <c r="N24" s="102">
        <v>1.52</v>
      </c>
      <c r="O24" s="102">
        <v>8.2100000000000009</v>
      </c>
      <c r="P24" s="230">
        <v>12.107623318385649</v>
      </c>
      <c r="Q24" s="209">
        <v>3.5236051502145926</v>
      </c>
      <c r="R24" s="231">
        <v>42.662483881521965</v>
      </c>
    </row>
    <row r="25" spans="2:18">
      <c r="B25" s="229" t="s">
        <v>374</v>
      </c>
      <c r="C25" s="208" t="s">
        <v>966</v>
      </c>
      <c r="D25" s="208">
        <v>165</v>
      </c>
      <c r="E25" s="208" t="s">
        <v>1</v>
      </c>
      <c r="F25" s="102">
        <v>0.68100000000000005</v>
      </c>
      <c r="G25" s="102">
        <v>0.14599999999999999</v>
      </c>
      <c r="H25" s="102">
        <v>7.48</v>
      </c>
      <c r="I25" s="142">
        <v>7.2947913826015816</v>
      </c>
      <c r="J25" s="209">
        <v>10.983847283406755</v>
      </c>
      <c r="K25" s="231">
        <v>80.124874510807373</v>
      </c>
      <c r="L25" s="208" t="s">
        <v>17</v>
      </c>
      <c r="M25" s="102">
        <v>2.4700000000000002</v>
      </c>
      <c r="N25" s="102">
        <v>1.84</v>
      </c>
      <c r="O25" s="102">
        <v>12.4</v>
      </c>
      <c r="P25" s="230">
        <v>5.9659090909090917</v>
      </c>
      <c r="Q25" s="209">
        <v>5.0202429149797565</v>
      </c>
      <c r="R25" s="231">
        <v>29.950312845049687</v>
      </c>
    </row>
    <row r="26" spans="2:18">
      <c r="B26" s="229" t="s">
        <v>375</v>
      </c>
      <c r="C26" s="208" t="s">
        <v>966</v>
      </c>
      <c r="D26" s="208">
        <v>165</v>
      </c>
      <c r="E26" s="208" t="s">
        <v>1</v>
      </c>
      <c r="F26" s="102">
        <v>0.70299999999999996</v>
      </c>
      <c r="G26" s="102">
        <v>0.154</v>
      </c>
      <c r="H26" s="102">
        <v>5.01</v>
      </c>
      <c r="I26" s="142">
        <v>11.305601317957164</v>
      </c>
      <c r="J26" s="209">
        <v>7.1266002844950211</v>
      </c>
      <c r="K26" s="231">
        <v>80.570501568940827</v>
      </c>
      <c r="L26" s="208" t="s">
        <v>17</v>
      </c>
      <c r="M26" s="102">
        <v>2.3199999999999998</v>
      </c>
      <c r="N26" s="102">
        <v>1.73</v>
      </c>
      <c r="O26" s="102">
        <v>6.94</v>
      </c>
      <c r="P26" s="230">
        <v>11.324376199616118</v>
      </c>
      <c r="Q26" s="209">
        <v>2.9913793103448278</v>
      </c>
      <c r="R26" s="231">
        <v>33.875504666093043</v>
      </c>
    </row>
    <row r="27" spans="2:18">
      <c r="B27" s="229" t="s">
        <v>375</v>
      </c>
      <c r="C27" s="208" t="s">
        <v>966</v>
      </c>
      <c r="D27" s="208">
        <v>165</v>
      </c>
      <c r="E27" s="208" t="s">
        <v>1</v>
      </c>
      <c r="F27" s="102">
        <v>0.69099999999999995</v>
      </c>
      <c r="G27" s="102">
        <v>0.14499999999999999</v>
      </c>
      <c r="H27" s="102">
        <v>6.09</v>
      </c>
      <c r="I27" s="142">
        <v>9.184188393608073</v>
      </c>
      <c r="J27" s="209">
        <v>8.813314037626629</v>
      </c>
      <c r="K27" s="231">
        <v>80.943136493593585</v>
      </c>
      <c r="L27" s="208" t="s">
        <v>17</v>
      </c>
      <c r="M27" s="102">
        <v>2.5</v>
      </c>
      <c r="N27" s="102">
        <v>1.9</v>
      </c>
      <c r="O27" s="102">
        <v>8.16</v>
      </c>
      <c r="P27" s="230">
        <v>9.5846645367412169</v>
      </c>
      <c r="Q27" s="209">
        <v>3.2640000000000002</v>
      </c>
      <c r="R27" s="231">
        <v>31.284345047923328</v>
      </c>
    </row>
    <row r="28" spans="2:18">
      <c r="B28" s="229" t="s">
        <v>376</v>
      </c>
      <c r="C28" s="208" t="s">
        <v>966</v>
      </c>
      <c r="D28" s="208">
        <v>165</v>
      </c>
      <c r="E28" s="208" t="s">
        <v>1</v>
      </c>
      <c r="F28" s="102">
        <v>0.71399999999999997</v>
      </c>
      <c r="G28" s="102">
        <v>0.155</v>
      </c>
      <c r="H28" s="102">
        <v>5.91</v>
      </c>
      <c r="I28" s="142">
        <v>9.7132927888792331</v>
      </c>
      <c r="J28" s="209">
        <v>8.2773109243697487</v>
      </c>
      <c r="K28" s="231">
        <v>80.399944512991979</v>
      </c>
      <c r="L28" s="208" t="s">
        <v>17</v>
      </c>
      <c r="M28" s="102">
        <v>2.33</v>
      </c>
      <c r="N28" s="102">
        <v>1.73</v>
      </c>
      <c r="O28" s="102">
        <v>8.07</v>
      </c>
      <c r="P28" s="230">
        <v>9.4637223974763423</v>
      </c>
      <c r="Q28" s="209">
        <v>3.4635193133047211</v>
      </c>
      <c r="R28" s="231">
        <v>32.777785299413772</v>
      </c>
    </row>
    <row r="29" spans="2:18">
      <c r="B29" s="229" t="s">
        <v>376</v>
      </c>
      <c r="C29" s="208" t="s">
        <v>966</v>
      </c>
      <c r="D29" s="208">
        <v>165</v>
      </c>
      <c r="E29" s="208" t="s">
        <v>1</v>
      </c>
      <c r="F29" s="102">
        <v>0.69099999999999995</v>
      </c>
      <c r="G29" s="102">
        <v>0.16500000000000001</v>
      </c>
      <c r="H29" s="102">
        <v>2.984</v>
      </c>
      <c r="I29" s="142">
        <v>18.659098971266403</v>
      </c>
      <c r="J29" s="209">
        <v>4.3183791606367583</v>
      </c>
      <c r="K29" s="231">
        <v>80.577064153775609</v>
      </c>
      <c r="L29" s="208" t="s">
        <v>17</v>
      </c>
      <c r="M29" s="102">
        <v>2.33</v>
      </c>
      <c r="N29" s="102">
        <v>1.82</v>
      </c>
      <c r="O29" s="102">
        <v>4.2699999999999996</v>
      </c>
      <c r="P29" s="230">
        <v>20.816326530612251</v>
      </c>
      <c r="Q29" s="209">
        <v>1.8326180257510727</v>
      </c>
      <c r="R29" s="231">
        <v>38.148375229920298</v>
      </c>
    </row>
    <row r="30" spans="2:18">
      <c r="B30" s="229" t="s">
        <v>377</v>
      </c>
      <c r="C30" s="208" t="s">
        <v>966</v>
      </c>
      <c r="D30" s="208">
        <v>165</v>
      </c>
      <c r="E30" s="208" t="s">
        <v>1</v>
      </c>
      <c r="F30" s="102">
        <v>0.67600000000000005</v>
      </c>
      <c r="G30" s="102">
        <v>0.183</v>
      </c>
      <c r="H30" s="102">
        <v>6.22</v>
      </c>
      <c r="I30" s="142">
        <v>8.1663077687593191</v>
      </c>
      <c r="J30" s="209">
        <v>9.2011834319526624</v>
      </c>
      <c r="K30" s="231">
        <v>75.139695742134549</v>
      </c>
      <c r="L30" s="208" t="s">
        <v>17</v>
      </c>
      <c r="M30" s="102">
        <v>2.4300000000000002</v>
      </c>
      <c r="N30" s="102">
        <v>1.82</v>
      </c>
      <c r="O30" s="102">
        <v>9.2200000000000006</v>
      </c>
      <c r="P30" s="230">
        <v>8.2432432432432439</v>
      </c>
      <c r="Q30" s="209">
        <v>3.7942386831275718</v>
      </c>
      <c r="R30" s="231">
        <v>31.2768323879435</v>
      </c>
    </row>
    <row r="31" spans="2:18">
      <c r="B31" s="229" t="s">
        <v>377</v>
      </c>
      <c r="C31" s="208" t="s">
        <v>966</v>
      </c>
      <c r="D31" s="208">
        <v>165</v>
      </c>
      <c r="E31" s="208" t="s">
        <v>1</v>
      </c>
      <c r="F31" s="102">
        <v>0.69799999999999995</v>
      </c>
      <c r="G31" s="102">
        <v>0.161</v>
      </c>
      <c r="H31" s="102">
        <v>6.02</v>
      </c>
      <c r="I31" s="142">
        <v>9.1653865847414231</v>
      </c>
      <c r="J31" s="209">
        <v>8.6246418338108874</v>
      </c>
      <c r="K31" s="231">
        <v>79.048176561809967</v>
      </c>
      <c r="L31" s="208" t="s">
        <v>17</v>
      </c>
      <c r="M31" s="102">
        <v>2.2799999999999998</v>
      </c>
      <c r="N31" s="102">
        <v>1.72</v>
      </c>
      <c r="O31" s="102">
        <v>8.77</v>
      </c>
      <c r="P31" s="230">
        <v>7.943262411347515</v>
      </c>
      <c r="Q31" s="209">
        <v>3.8464912280701755</v>
      </c>
      <c r="R31" s="231">
        <v>30.553689187507771</v>
      </c>
    </row>
    <row r="32" spans="2:18">
      <c r="B32" s="229" t="s">
        <v>378</v>
      </c>
      <c r="C32" s="208" t="s">
        <v>966</v>
      </c>
      <c r="D32" s="208">
        <v>165</v>
      </c>
      <c r="E32" s="208" t="s">
        <v>1</v>
      </c>
      <c r="F32" s="102">
        <v>0.68300000000000005</v>
      </c>
      <c r="G32" s="102">
        <v>0.16400000000000001</v>
      </c>
      <c r="H32" s="102">
        <v>6.16</v>
      </c>
      <c r="I32" s="142">
        <v>8.6557705136757832</v>
      </c>
      <c r="J32" s="209">
        <v>9.0190336749633957</v>
      </c>
      <c r="K32" s="231">
        <v>78.066685745597113</v>
      </c>
      <c r="L32" s="208" t="s">
        <v>17</v>
      </c>
      <c r="M32" s="102">
        <v>2.42</v>
      </c>
      <c r="N32" s="102">
        <v>1.72</v>
      </c>
      <c r="O32" s="102">
        <v>10.3</v>
      </c>
      <c r="P32" s="230">
        <v>8.1585081585081589</v>
      </c>
      <c r="Q32" s="209">
        <v>4.2561983471074383</v>
      </c>
      <c r="R32" s="231">
        <v>34.724228939104975</v>
      </c>
    </row>
    <row r="33" spans="2:18">
      <c r="B33" s="229" t="s">
        <v>378</v>
      </c>
      <c r="C33" s="208" t="s">
        <v>966</v>
      </c>
      <c r="D33" s="208">
        <v>165</v>
      </c>
      <c r="E33" s="208" t="s">
        <v>1</v>
      </c>
      <c r="F33" s="102">
        <v>0.68100000000000005</v>
      </c>
      <c r="G33" s="102">
        <v>0.186</v>
      </c>
      <c r="H33" s="102">
        <v>6.87</v>
      </c>
      <c r="I33" s="142">
        <v>7.4057450628366261</v>
      </c>
      <c r="J33" s="209">
        <v>10.088105726872246</v>
      </c>
      <c r="K33" s="231">
        <v>74.709939180158031</v>
      </c>
      <c r="L33" s="208" t="s">
        <v>17</v>
      </c>
      <c r="M33" s="102">
        <v>2.2999999999999998</v>
      </c>
      <c r="N33" s="102">
        <v>1.95</v>
      </c>
      <c r="O33" s="102">
        <v>8.23</v>
      </c>
      <c r="P33" s="230">
        <v>5.5732484076433098</v>
      </c>
      <c r="Q33" s="209">
        <v>3.5782608695652178</v>
      </c>
      <c r="R33" s="231">
        <v>19.942536693436715</v>
      </c>
    </row>
    <row r="34" spans="2:18">
      <c r="B34" s="229" t="s">
        <v>371</v>
      </c>
      <c r="C34" s="208" t="s">
        <v>966</v>
      </c>
      <c r="D34" s="208">
        <v>165</v>
      </c>
      <c r="E34" s="208" t="s">
        <v>1</v>
      </c>
      <c r="F34" s="102">
        <v>0.68300000000000005</v>
      </c>
      <c r="G34" s="102">
        <v>0.191</v>
      </c>
      <c r="H34" s="102">
        <v>6.92</v>
      </c>
      <c r="I34" s="142">
        <v>7.311636201515828</v>
      </c>
      <c r="J34" s="209">
        <v>10.131771595900439</v>
      </c>
      <c r="K34" s="231">
        <v>74.079827986075429</v>
      </c>
      <c r="L34" s="208" t="s">
        <v>17</v>
      </c>
      <c r="M34" s="102">
        <v>2.4</v>
      </c>
      <c r="N34" s="102">
        <v>2.0299999999999998</v>
      </c>
      <c r="O34" s="102">
        <v>8.8699999999999992</v>
      </c>
      <c r="P34" s="230">
        <v>5.4093567251462007</v>
      </c>
      <c r="Q34" s="209">
        <v>3.6958333333333333</v>
      </c>
      <c r="R34" s="231">
        <v>19.992080896686161</v>
      </c>
    </row>
    <row r="35" spans="2:18">
      <c r="B35" s="229" t="s">
        <v>371</v>
      </c>
      <c r="C35" s="208" t="s">
        <v>966</v>
      </c>
      <c r="D35" s="208">
        <v>165</v>
      </c>
      <c r="E35" s="208" t="s">
        <v>1</v>
      </c>
      <c r="F35" s="102">
        <v>0.67800000000000005</v>
      </c>
      <c r="G35" s="102">
        <v>0.13800000000000001</v>
      </c>
      <c r="H35" s="102">
        <v>3.8580000000000001</v>
      </c>
      <c r="I35" s="142">
        <v>14.516129032258066</v>
      </c>
      <c r="J35" s="209">
        <v>5.6902654867256635</v>
      </c>
      <c r="K35" s="231">
        <v>82.600628033114461</v>
      </c>
      <c r="L35" s="208" t="s">
        <v>17</v>
      </c>
      <c r="M35" s="102">
        <v>2.39</v>
      </c>
      <c r="N35" s="102">
        <v>1.42</v>
      </c>
      <c r="O35" s="102">
        <v>7.72</v>
      </c>
      <c r="P35" s="230">
        <v>15.396825396825401</v>
      </c>
      <c r="Q35" s="209">
        <v>3.2301255230125521</v>
      </c>
      <c r="R35" s="231">
        <v>49.733678687653594</v>
      </c>
    </row>
    <row r="36" spans="2:18" ht="15" thickBot="1">
      <c r="B36" s="229" t="s">
        <v>371</v>
      </c>
      <c r="C36" s="208" t="s">
        <v>966</v>
      </c>
      <c r="D36" s="208">
        <v>165</v>
      </c>
      <c r="E36" s="208" t="s">
        <v>1</v>
      </c>
      <c r="F36" s="102">
        <v>0.67200000000000004</v>
      </c>
      <c r="G36" s="102">
        <v>0.11799999999999999</v>
      </c>
      <c r="H36" s="102">
        <v>3.2730000000000001</v>
      </c>
      <c r="I36" s="142">
        <v>17.559429477020601</v>
      </c>
      <c r="J36" s="209">
        <v>4.8705357142857144</v>
      </c>
      <c r="K36" s="231">
        <v>85.523828390310157</v>
      </c>
      <c r="L36" s="233" t="s">
        <v>17</v>
      </c>
      <c r="M36" s="234">
        <v>2.27</v>
      </c>
      <c r="N36" s="234">
        <v>0.89</v>
      </c>
      <c r="O36" s="234">
        <v>9.33</v>
      </c>
      <c r="P36" s="235">
        <v>16.350710900473935</v>
      </c>
      <c r="Q36" s="236">
        <v>4.1101321585903081</v>
      </c>
      <c r="R36" s="237">
        <v>67.203582687851011</v>
      </c>
    </row>
    <row r="37" spans="2:18">
      <c r="B37" s="223" t="s">
        <v>379</v>
      </c>
      <c r="C37" s="224" t="s">
        <v>967</v>
      </c>
      <c r="D37" s="224">
        <v>165</v>
      </c>
      <c r="E37" s="224" t="s">
        <v>1</v>
      </c>
      <c r="F37" s="242">
        <v>0.68799999999999994</v>
      </c>
      <c r="G37" s="242">
        <v>0.13100000000000001</v>
      </c>
      <c r="H37" s="242">
        <v>3.8279999999999998</v>
      </c>
      <c r="I37" s="777">
        <v>15.066269948606978</v>
      </c>
      <c r="J37" s="227">
        <v>5.5639534883720936</v>
      </c>
      <c r="K37" s="228">
        <v>83.828025237307415</v>
      </c>
      <c r="L37" s="224" t="s">
        <v>17</v>
      </c>
      <c r="M37" s="242">
        <v>2.38</v>
      </c>
      <c r="N37" s="242">
        <v>1.02</v>
      </c>
      <c r="O37" s="242">
        <v>10.199999999999999</v>
      </c>
      <c r="P37" s="226">
        <v>14.814814814814813</v>
      </c>
      <c r="Q37" s="227">
        <v>4.2857142857142856</v>
      </c>
      <c r="R37" s="228">
        <v>63.492063492063487</v>
      </c>
    </row>
    <row r="38" spans="2:18">
      <c r="B38" s="229" t="s">
        <v>379</v>
      </c>
      <c r="C38" s="208" t="s">
        <v>967</v>
      </c>
      <c r="D38" s="208">
        <v>165</v>
      </c>
      <c r="E38" s="208" t="s">
        <v>1</v>
      </c>
      <c r="F38" s="101">
        <v>0.68100000000000005</v>
      </c>
      <c r="G38" s="101">
        <v>0.14499999999999999</v>
      </c>
      <c r="H38" s="101">
        <v>3.2949999999999999</v>
      </c>
      <c r="I38" s="142">
        <v>17.015873015873019</v>
      </c>
      <c r="J38" s="209">
        <v>4.8384728340675469</v>
      </c>
      <c r="K38" s="231">
        <v>82.330839335244619</v>
      </c>
      <c r="L38" s="208" t="s">
        <v>17</v>
      </c>
      <c r="M38" s="101">
        <v>2.33</v>
      </c>
      <c r="N38" s="101">
        <v>0.98</v>
      </c>
      <c r="O38" s="101">
        <v>11</v>
      </c>
      <c r="P38" s="230">
        <v>13.473053892215569</v>
      </c>
      <c r="Q38" s="209">
        <v>4.7210300429184544</v>
      </c>
      <c r="R38" s="231">
        <v>63.606692195009131</v>
      </c>
    </row>
    <row r="39" spans="2:18">
      <c r="B39" s="229" t="s">
        <v>380</v>
      </c>
      <c r="C39" s="208" t="s">
        <v>967</v>
      </c>
      <c r="D39" s="208">
        <v>165</v>
      </c>
      <c r="E39" s="208" t="s">
        <v>1</v>
      </c>
      <c r="F39" s="101">
        <v>0.66500000000000004</v>
      </c>
      <c r="G39" s="101">
        <v>0.124</v>
      </c>
      <c r="H39" s="101">
        <v>5.08</v>
      </c>
      <c r="I39" s="142">
        <v>10.916061339790154</v>
      </c>
      <c r="J39" s="209">
        <v>7.6390977443609023</v>
      </c>
      <c r="K39" s="231">
        <v>83.3888595580962</v>
      </c>
      <c r="L39" s="208" t="s">
        <v>17</v>
      </c>
      <c r="M39" s="101">
        <v>2.36</v>
      </c>
      <c r="N39" s="101">
        <v>0.98</v>
      </c>
      <c r="O39" s="101">
        <v>16</v>
      </c>
      <c r="P39" s="230">
        <v>9.1877496671105181</v>
      </c>
      <c r="Q39" s="209">
        <v>6.7796610169491531</v>
      </c>
      <c r="R39" s="231">
        <v>62.289828251596745</v>
      </c>
    </row>
    <row r="40" spans="2:18">
      <c r="B40" s="229" t="s">
        <v>380</v>
      </c>
      <c r="C40" s="208" t="s">
        <v>967</v>
      </c>
      <c r="D40" s="208">
        <v>165</v>
      </c>
      <c r="E40" s="208" t="s">
        <v>1</v>
      </c>
      <c r="F40" s="101">
        <v>0.66200000000000003</v>
      </c>
      <c r="G40" s="102">
        <v>0.13200000000000001</v>
      </c>
      <c r="H40" s="102">
        <v>2.6709999999999998</v>
      </c>
      <c r="I40" s="142">
        <v>20.874359984245768</v>
      </c>
      <c r="J40" s="209">
        <v>4.0347432024169176</v>
      </c>
      <c r="K40" s="231">
        <v>84.222682051239346</v>
      </c>
      <c r="L40" s="208" t="s">
        <v>17</v>
      </c>
      <c r="M40" s="101">
        <v>2.35</v>
      </c>
      <c r="N40" s="102">
        <v>1.01</v>
      </c>
      <c r="O40" s="102">
        <v>7.9</v>
      </c>
      <c r="P40" s="230">
        <v>19.448476052249635</v>
      </c>
      <c r="Q40" s="209">
        <v>3.3617021276595747</v>
      </c>
      <c r="R40" s="231">
        <v>65.379983324583876</v>
      </c>
    </row>
    <row r="41" spans="2:18">
      <c r="B41" s="229" t="s">
        <v>381</v>
      </c>
      <c r="C41" s="208" t="s">
        <v>967</v>
      </c>
      <c r="D41" s="208">
        <v>165</v>
      </c>
      <c r="E41" s="208" t="s">
        <v>1</v>
      </c>
      <c r="F41" s="102">
        <v>0.69599999999999995</v>
      </c>
      <c r="G41" s="102">
        <v>0.155</v>
      </c>
      <c r="H41" s="102">
        <v>3.327</v>
      </c>
      <c r="I41" s="142">
        <v>17.055485498108446</v>
      </c>
      <c r="J41" s="209">
        <v>4.7801724137931041</v>
      </c>
      <c r="K41" s="231">
        <v>81.528161281906335</v>
      </c>
      <c r="L41" s="208" t="s">
        <v>17</v>
      </c>
      <c r="M41" s="102">
        <v>2.46</v>
      </c>
      <c r="N41" s="102">
        <v>1.26</v>
      </c>
      <c r="O41" s="102">
        <v>8.92</v>
      </c>
      <c r="P41" s="230">
        <v>15.665796344647518</v>
      </c>
      <c r="Q41" s="209">
        <v>3.6260162601626016</v>
      </c>
      <c r="R41" s="231">
        <v>56.804432274087759</v>
      </c>
    </row>
    <row r="42" spans="2:18">
      <c r="B42" s="229" t="s">
        <v>381</v>
      </c>
      <c r="C42" s="208" t="s">
        <v>967</v>
      </c>
      <c r="D42" s="208">
        <v>165</v>
      </c>
      <c r="E42" s="208" t="s">
        <v>1</v>
      </c>
      <c r="F42" s="102">
        <v>0.69399999999999995</v>
      </c>
      <c r="G42" s="102">
        <v>0.123</v>
      </c>
      <c r="H42" s="102">
        <v>4.4169999999999998</v>
      </c>
      <c r="I42" s="142">
        <v>13.297624592454587</v>
      </c>
      <c r="J42" s="209">
        <v>6.3645533141210375</v>
      </c>
      <c r="K42" s="231">
        <v>84.633440669844248</v>
      </c>
      <c r="L42" s="208" t="s">
        <v>17</v>
      </c>
      <c r="M42" s="102">
        <v>2.34</v>
      </c>
      <c r="N42" s="102">
        <v>0.99</v>
      </c>
      <c r="O42" s="102">
        <v>13.8</v>
      </c>
      <c r="P42" s="230">
        <v>10.538641686182668</v>
      </c>
      <c r="Q42" s="209">
        <v>5.8974358974358978</v>
      </c>
      <c r="R42" s="231">
        <v>62.150963790308047</v>
      </c>
    </row>
    <row r="43" spans="2:18">
      <c r="B43" s="229" t="s">
        <v>382</v>
      </c>
      <c r="C43" s="208" t="s">
        <v>967</v>
      </c>
      <c r="D43" s="208">
        <v>165</v>
      </c>
      <c r="E43" s="208" t="s">
        <v>1</v>
      </c>
      <c r="F43" s="102">
        <v>0.68600000000000005</v>
      </c>
      <c r="G43" s="102">
        <v>0.13100000000000001</v>
      </c>
      <c r="H43" s="102">
        <v>3.0529999999999999</v>
      </c>
      <c r="I43" s="142">
        <v>18.993839835728956</v>
      </c>
      <c r="J43" s="209">
        <v>4.4504373177842558</v>
      </c>
      <c r="K43" s="231">
        <v>84.53089361294532</v>
      </c>
      <c r="L43" s="208" t="s">
        <v>17</v>
      </c>
      <c r="M43" s="102">
        <v>2.34</v>
      </c>
      <c r="N43" s="102">
        <v>1.01</v>
      </c>
      <c r="O43" s="102">
        <v>7.99</v>
      </c>
      <c r="P43" s="230">
        <v>19.054441260744984</v>
      </c>
      <c r="Q43" s="209">
        <v>3.4145299145299148</v>
      </c>
      <c r="R43" s="231">
        <v>65.061959689466846</v>
      </c>
    </row>
    <row r="44" spans="2:18">
      <c r="B44" s="229" t="s">
        <v>382</v>
      </c>
      <c r="C44" s="208" t="s">
        <v>967</v>
      </c>
      <c r="D44" s="208">
        <v>165</v>
      </c>
      <c r="E44" s="208" t="s">
        <v>1</v>
      </c>
      <c r="F44" s="102">
        <v>0.68500000000000005</v>
      </c>
      <c r="G44" s="102">
        <v>0.13</v>
      </c>
      <c r="H44" s="102">
        <v>3.472</v>
      </c>
      <c r="I44" s="142">
        <v>16.606822262118492</v>
      </c>
      <c r="J44" s="209">
        <v>5.0686131386861311</v>
      </c>
      <c r="K44" s="231">
        <v>84.173557509599135</v>
      </c>
      <c r="L44" s="208" t="s">
        <v>17</v>
      </c>
      <c r="M44" s="102">
        <v>2.37</v>
      </c>
      <c r="N44" s="102">
        <v>1.1000000000000001</v>
      </c>
      <c r="O44" s="102">
        <v>10.3</v>
      </c>
      <c r="P44" s="230">
        <v>13.804347826086955</v>
      </c>
      <c r="Q44" s="209">
        <v>4.3459915611814344</v>
      </c>
      <c r="R44" s="231">
        <v>59.993579159787188</v>
      </c>
    </row>
    <row r="45" spans="2:18">
      <c r="B45" s="229" t="s">
        <v>383</v>
      </c>
      <c r="C45" s="208" t="s">
        <v>967</v>
      </c>
      <c r="D45" s="208">
        <v>165</v>
      </c>
      <c r="E45" s="208" t="s">
        <v>1</v>
      </c>
      <c r="F45" s="102">
        <v>0.68400000000000005</v>
      </c>
      <c r="G45" s="102">
        <v>0.11700000000000001</v>
      </c>
      <c r="H45" s="102">
        <v>3.532</v>
      </c>
      <c r="I45" s="142">
        <v>16.603221083455345</v>
      </c>
      <c r="J45" s="209">
        <v>5.1637426900584789</v>
      </c>
      <c r="K45" s="231">
        <v>85.734761501117347</v>
      </c>
      <c r="L45" s="208" t="s">
        <v>17</v>
      </c>
      <c r="M45" s="102">
        <v>2.2799999999999998</v>
      </c>
      <c r="N45" s="102">
        <v>0.95</v>
      </c>
      <c r="O45" s="102">
        <v>13.1</v>
      </c>
      <c r="P45" s="230">
        <v>10.946502057613166</v>
      </c>
      <c r="Q45" s="209">
        <v>5.7456140350877201</v>
      </c>
      <c r="R45" s="231">
        <v>62.894375857338815</v>
      </c>
    </row>
    <row r="46" spans="2:18">
      <c r="B46" s="229" t="s">
        <v>383</v>
      </c>
      <c r="C46" s="208" t="s">
        <v>967</v>
      </c>
      <c r="D46" s="208">
        <v>165</v>
      </c>
      <c r="E46" s="208" t="s">
        <v>1</v>
      </c>
      <c r="F46" s="102">
        <v>0.69</v>
      </c>
      <c r="G46" s="102">
        <v>0.11700000000000001</v>
      </c>
      <c r="H46" s="102">
        <v>2.6259999999999999</v>
      </c>
      <c r="I46" s="142">
        <v>22.837783977680353</v>
      </c>
      <c r="J46" s="209">
        <v>3.8057971014492753</v>
      </c>
      <c r="K46" s="231">
        <v>86.915972065780593</v>
      </c>
      <c r="L46" s="208" t="s">
        <v>17</v>
      </c>
      <c r="M46" s="102">
        <v>2.3199999999999998</v>
      </c>
      <c r="N46" s="102">
        <v>0.92</v>
      </c>
      <c r="O46" s="102">
        <v>7.14</v>
      </c>
      <c r="P46" s="230">
        <v>22.508038585209004</v>
      </c>
      <c r="Q46" s="209">
        <v>3.0775862068965516</v>
      </c>
      <c r="R46" s="231">
        <v>69.270429094134599</v>
      </c>
    </row>
    <row r="47" spans="2:18">
      <c r="B47" s="229" t="s">
        <v>384</v>
      </c>
      <c r="C47" s="208" t="s">
        <v>967</v>
      </c>
      <c r="D47" s="208">
        <v>165</v>
      </c>
      <c r="E47" s="208" t="s">
        <v>1</v>
      </c>
      <c r="F47" s="102">
        <v>0.69099999999999995</v>
      </c>
      <c r="G47" s="102">
        <v>0.11899999999999999</v>
      </c>
      <c r="H47" s="102">
        <v>3.1139999999999999</v>
      </c>
      <c r="I47" s="142">
        <v>19.098497495826376</v>
      </c>
      <c r="J47" s="209">
        <v>4.506512301013025</v>
      </c>
      <c r="K47" s="231">
        <v>86.067613895808009</v>
      </c>
      <c r="L47" s="208" t="s">
        <v>17</v>
      </c>
      <c r="M47" s="102">
        <v>2.37</v>
      </c>
      <c r="N47" s="102">
        <v>0.93</v>
      </c>
      <c r="O47" s="102">
        <v>11</v>
      </c>
      <c r="P47" s="230">
        <v>14.29990069513406</v>
      </c>
      <c r="Q47" s="209">
        <v>4.6413502109704643</v>
      </c>
      <c r="R47" s="231">
        <v>66.370847108217163</v>
      </c>
    </row>
    <row r="48" spans="2:18">
      <c r="B48" s="229" t="s">
        <v>384</v>
      </c>
      <c r="C48" s="208" t="s">
        <v>967</v>
      </c>
      <c r="D48" s="208">
        <v>165</v>
      </c>
      <c r="E48" s="208" t="s">
        <v>1</v>
      </c>
      <c r="F48" s="102">
        <v>0.67800000000000005</v>
      </c>
      <c r="G48" s="102">
        <v>0.128</v>
      </c>
      <c r="H48" s="102">
        <v>2.7090000000000001</v>
      </c>
      <c r="I48" s="142">
        <v>21.309569934134061</v>
      </c>
      <c r="J48" s="209">
        <v>3.9955752212389379</v>
      </c>
      <c r="K48" s="231">
        <v>85.143989604084297</v>
      </c>
      <c r="L48" s="208" t="s">
        <v>17</v>
      </c>
      <c r="M48" s="102">
        <v>2.36</v>
      </c>
      <c r="N48" s="102">
        <v>0.95</v>
      </c>
      <c r="O48" s="102">
        <v>7.67</v>
      </c>
      <c r="P48" s="230">
        <v>20.982142857142858</v>
      </c>
      <c r="Q48" s="209">
        <v>3.25</v>
      </c>
      <c r="R48" s="231">
        <v>68.191964285714292</v>
      </c>
    </row>
    <row r="49" spans="2:18">
      <c r="B49" s="229" t="s">
        <v>385</v>
      </c>
      <c r="C49" s="208" t="s">
        <v>967</v>
      </c>
      <c r="D49" s="208">
        <v>165</v>
      </c>
      <c r="E49" s="208" t="s">
        <v>1</v>
      </c>
      <c r="F49" s="102">
        <v>0.67600000000000005</v>
      </c>
      <c r="G49" s="102">
        <v>0.13300000000000001</v>
      </c>
      <c r="H49" s="102">
        <v>2.153</v>
      </c>
      <c r="I49" s="142">
        <v>26.881188118811885</v>
      </c>
      <c r="J49" s="209">
        <v>3.1849112426035502</v>
      </c>
      <c r="K49" s="231">
        <v>85.614198254144952</v>
      </c>
      <c r="L49" s="208" t="s">
        <v>17</v>
      </c>
      <c r="M49" s="102">
        <v>2.34</v>
      </c>
      <c r="N49" s="102">
        <v>1</v>
      </c>
      <c r="O49" s="102">
        <v>5.74</v>
      </c>
      <c r="P49" s="230">
        <v>28.27004219409282</v>
      </c>
      <c r="Q49" s="209">
        <v>2.4529914529914532</v>
      </c>
      <c r="R49" s="231">
        <v>69.34617187781744</v>
      </c>
    </row>
    <row r="50" spans="2:18">
      <c r="B50" s="229" t="s">
        <v>385</v>
      </c>
      <c r="C50" s="208" t="s">
        <v>967</v>
      </c>
      <c r="D50" s="208">
        <v>165</v>
      </c>
      <c r="E50" s="208" t="s">
        <v>1</v>
      </c>
      <c r="F50" s="102">
        <v>0.66400000000000003</v>
      </c>
      <c r="G50" s="102">
        <v>0.13600000000000001</v>
      </c>
      <c r="H50" s="102">
        <v>2.0870000000000002</v>
      </c>
      <c r="I50" s="142">
        <v>27.063044592516661</v>
      </c>
      <c r="J50" s="209">
        <v>3.1430722891566267</v>
      </c>
      <c r="K50" s="231">
        <v>85.061105518949205</v>
      </c>
      <c r="L50" s="208" t="s">
        <v>17</v>
      </c>
      <c r="M50" s="102">
        <v>2.2999999999999998</v>
      </c>
      <c r="N50" s="102">
        <v>1.03</v>
      </c>
      <c r="O50" s="102">
        <v>5.64</v>
      </c>
      <c r="P50" s="230">
        <v>27.548806941431671</v>
      </c>
      <c r="Q50" s="209">
        <v>2.4521739130434783</v>
      </c>
      <c r="R50" s="231">
        <v>67.55446571724984</v>
      </c>
    </row>
    <row r="51" spans="2:18">
      <c r="B51" s="229" t="s">
        <v>386</v>
      </c>
      <c r="C51" s="208" t="s">
        <v>967</v>
      </c>
      <c r="D51" s="208">
        <v>165</v>
      </c>
      <c r="E51" s="208" t="s">
        <v>1</v>
      </c>
      <c r="F51" s="102">
        <v>0.68</v>
      </c>
      <c r="G51" s="102">
        <v>0.13700000000000001</v>
      </c>
      <c r="H51" s="102">
        <v>2.3029999999999999</v>
      </c>
      <c r="I51" s="142">
        <v>25.069252077562332</v>
      </c>
      <c r="J51" s="209">
        <v>3.3867647058823525</v>
      </c>
      <c r="K51" s="231">
        <v>84.903658139155951</v>
      </c>
      <c r="L51" s="208" t="s">
        <v>17</v>
      </c>
      <c r="M51" s="102">
        <v>2.39</v>
      </c>
      <c r="N51" s="102">
        <v>1.03</v>
      </c>
      <c r="O51" s="102">
        <v>6.88</v>
      </c>
      <c r="P51" s="230">
        <v>23.247863247863251</v>
      </c>
      <c r="Q51" s="209">
        <v>2.8786610878661087</v>
      </c>
      <c r="R51" s="231">
        <v>66.922719307656536</v>
      </c>
    </row>
    <row r="52" spans="2:18" ht="15" thickBot="1">
      <c r="B52" s="232" t="s">
        <v>386</v>
      </c>
      <c r="C52" s="233" t="s">
        <v>967</v>
      </c>
      <c r="D52" s="233">
        <v>165</v>
      </c>
      <c r="E52" s="233" t="s">
        <v>1</v>
      </c>
      <c r="F52" s="234">
        <v>0.68700000000000006</v>
      </c>
      <c r="G52" s="234">
        <v>0.14599999999999999</v>
      </c>
      <c r="H52" s="234">
        <v>3.7450000000000001</v>
      </c>
      <c r="I52" s="1068">
        <v>15.031953320366769</v>
      </c>
      <c r="J52" s="236">
        <v>5.4512372634643373</v>
      </c>
      <c r="K52" s="237">
        <v>81.94274408263982</v>
      </c>
      <c r="L52" s="233" t="s">
        <v>17</v>
      </c>
      <c r="M52" s="234">
        <v>2.41</v>
      </c>
      <c r="N52" s="234">
        <v>1.1100000000000001</v>
      </c>
      <c r="O52" s="234">
        <v>10.7</v>
      </c>
      <c r="P52" s="235">
        <v>13.555787278415016</v>
      </c>
      <c r="Q52" s="236">
        <v>4.4398340248962649</v>
      </c>
      <c r="R52" s="237">
        <v>60.185445592962928</v>
      </c>
    </row>
    <row r="53" spans="2:18">
      <c r="L53" s="222"/>
      <c r="M53" s="1144">
        <f>AVERAGE(M37:M52)</f>
        <v>2.3562500000000002</v>
      </c>
      <c r="N53" s="1144">
        <f>AVERAGE(N37:N52)</f>
        <v>1.0168749999999998</v>
      </c>
      <c r="O53" s="1144">
        <f>AVERAGE(O37:O52)</f>
        <v>9.6237499999999976</v>
      </c>
    </row>
    <row r="54" spans="2:18">
      <c r="E54" s="4" t="s">
        <v>787</v>
      </c>
      <c r="F54" s="110">
        <f>+AVERAGE(F20:F36)</f>
        <v>0.67582352941176471</v>
      </c>
      <c r="G54" s="110">
        <f>+AVERAGE(G20:G36)</f>
        <v>0.15441176470588236</v>
      </c>
      <c r="L54" s="222"/>
      <c r="M54" s="113"/>
    </row>
    <row r="55" spans="2:18">
      <c r="E55" s="4" t="s">
        <v>788</v>
      </c>
      <c r="F55" s="110">
        <f>+AVERAGE(F37:F52)</f>
        <v>0.68168749999999989</v>
      </c>
      <c r="G55" s="110">
        <f>+AVERAGE(G37:G52)</f>
        <v>0.13150000000000001</v>
      </c>
      <c r="L55" s="222"/>
      <c r="M55" s="113"/>
    </row>
    <row r="56" spans="2:18">
      <c r="C56" s="207" t="s">
        <v>21</v>
      </c>
      <c r="D56" s="207" t="s">
        <v>23</v>
      </c>
      <c r="E56" s="207" t="s">
        <v>22</v>
      </c>
      <c r="M56" s="207" t="s">
        <v>21</v>
      </c>
      <c r="N56" s="207" t="s">
        <v>23</v>
      </c>
      <c r="O56" s="207" t="s">
        <v>22</v>
      </c>
    </row>
    <row r="57" spans="2:18">
      <c r="B57" s="207" t="s">
        <v>429</v>
      </c>
      <c r="C57" s="103">
        <f>_xlfn.STDEV.S(F20:F36)/AVERAGE(F20:F36)</f>
        <v>4.2333466909874745E-2</v>
      </c>
      <c r="D57" s="103">
        <f>_xlfn.STDEV.S(G20:G36)/AVERAGE(G20:G36)</f>
        <v>0.13522796742761187</v>
      </c>
      <c r="E57" s="103">
        <f>_xlfn.STDEV.S(H20:H36)/AVERAGE(H20:H36)</f>
        <v>0.31349348409602812</v>
      </c>
      <c r="L57" s="207" t="s">
        <v>429</v>
      </c>
      <c r="M57" s="103">
        <f>_xlfn.STDEV.S(M20:M36)/AVERAGE(M20:M36)</f>
        <v>6.4045983590688457E-2</v>
      </c>
      <c r="N57" s="103">
        <f>_xlfn.STDEV.S(N20:N36)/AVERAGE(N20:N36)</f>
        <v>0.17031427548633815</v>
      </c>
      <c r="O57" s="103">
        <f>_xlfn.STDEV.S(O20:O36)/AVERAGE(O20:O36)</f>
        <v>0.26969941631804245</v>
      </c>
    </row>
    <row r="58" spans="2:18">
      <c r="B58" s="207" t="s">
        <v>430</v>
      </c>
      <c r="C58" s="103">
        <f>_xlfn.STDEV.S(F37:F52)/AVERAGE(F37:F52)</f>
        <v>1.5354852051312566E-2</v>
      </c>
      <c r="D58" s="103">
        <f>_xlfn.STDEV.S(G37:G52)/AVERAGE(G37:G52)</f>
        <v>8.1384218483280452E-2</v>
      </c>
      <c r="E58" s="103">
        <f>_xlfn.STDEV.S(H37:H52)/AVERAGE(H37:H52)</f>
        <v>0.25324323415975003</v>
      </c>
      <c r="L58" s="207" t="s">
        <v>430</v>
      </c>
      <c r="M58" s="103">
        <f>_xlfn.STDEV.S(M37:M52)/AVERAGE(M37:M52)</f>
        <v>1.81966215784761E-2</v>
      </c>
      <c r="N58" s="103">
        <f>_xlfn.STDEV.S(N37:N52)/AVERAGE(N37:N52)</f>
        <v>8.2177109128482945E-2</v>
      </c>
      <c r="O58" s="103">
        <f>_xlfn.STDEV.S(O37:O52)/AVERAGE(O37:O52)</f>
        <v>0.30651461758761084</v>
      </c>
    </row>
    <row r="59" spans="2:18">
      <c r="B59" s="207" t="s">
        <v>431</v>
      </c>
      <c r="E59" s="103">
        <f>AVERAGE(H20:H36)</f>
        <v>5.1583529411764708</v>
      </c>
      <c r="L59" s="222"/>
    </row>
    <row r="60" spans="2:18">
      <c r="B60" s="207" t="s">
        <v>432</v>
      </c>
      <c r="E60" s="103">
        <f>+AVERAGE(H37:H52)</f>
        <v>3.2132499999999999</v>
      </c>
      <c r="L60" s="222"/>
    </row>
    <row r="61" spans="2:18">
      <c r="B61" s="207" t="s">
        <v>433</v>
      </c>
      <c r="E61" s="103">
        <f>+_xlfn.STDEV.S(H20:H36)</f>
        <v>1.6171100357264059</v>
      </c>
      <c r="M61" s="4" t="s">
        <v>427</v>
      </c>
      <c r="N61" s="4" t="s">
        <v>428</v>
      </c>
    </row>
    <row r="62" spans="2:18">
      <c r="B62" s="207" t="s">
        <v>434</v>
      </c>
      <c r="E62" s="103">
        <f>_xlfn.STDEV.S(H37:H52)</f>
        <v>0.81373382216381673</v>
      </c>
      <c r="L62" s="4" t="s">
        <v>422</v>
      </c>
      <c r="M62" s="117">
        <f>+MIN(R20:R36)</f>
        <v>19.942536693436715</v>
      </c>
      <c r="N62" s="117">
        <f>+MIN(R37:R52)</f>
        <v>56.804432274087759</v>
      </c>
    </row>
    <row r="63" spans="2:18">
      <c r="B63" s="207" t="s">
        <v>435</v>
      </c>
      <c r="E63" s="243">
        <f>E59+2*E61</f>
        <v>8.392573012629283</v>
      </c>
      <c r="F63" s="243">
        <f>E59-2*E61</f>
        <v>1.924132869723659</v>
      </c>
      <c r="L63" s="4" t="s">
        <v>423</v>
      </c>
      <c r="M63" s="117">
        <f>+MAX(R20:R36)</f>
        <v>67.203582687851011</v>
      </c>
      <c r="N63" s="117">
        <f>+MAX(R37:R52)</f>
        <v>69.34617187781744</v>
      </c>
    </row>
    <row r="64" spans="2:18">
      <c r="B64" s="207" t="s">
        <v>436</v>
      </c>
      <c r="E64" s="243">
        <f>E60+2*E62</f>
        <v>4.8407176443276336</v>
      </c>
      <c r="F64" s="243">
        <f>E60-2*E62</f>
        <v>1.5857823556723665</v>
      </c>
      <c r="L64" s="4" t="s">
        <v>424</v>
      </c>
      <c r="M64" s="117">
        <f>+AVERAGE(R20:R36)</f>
        <v>36.584189608821283</v>
      </c>
      <c r="N64" s="117">
        <f>+AVERAGE(R37:R52)</f>
        <v>64.344745063624671</v>
      </c>
    </row>
    <row r="65" spans="2:14">
      <c r="C65" s="4" t="s">
        <v>427</v>
      </c>
      <c r="D65" s="4" t="s">
        <v>428</v>
      </c>
      <c r="L65" s="4" t="s">
        <v>426</v>
      </c>
      <c r="M65" s="117">
        <f>+GEOMEAN(R20:R36)</f>
        <v>34.920409770511178</v>
      </c>
      <c r="N65" s="117">
        <f>+GEOMEAN(R37:R52)</f>
        <v>64.249888578796913</v>
      </c>
    </row>
    <row r="66" spans="2:14">
      <c r="B66" s="4" t="s">
        <v>422</v>
      </c>
      <c r="C66" s="117">
        <f>+MIN(K20:K36)</f>
        <v>74.079827986075429</v>
      </c>
      <c r="D66" s="117">
        <f>+MIN(K37:K52)</f>
        <v>81.528161281906335</v>
      </c>
      <c r="L66" s="4" t="s">
        <v>425</v>
      </c>
      <c r="M66" s="117">
        <f>+MEDIAN(R20:R36)</f>
        <v>33.875504666093043</v>
      </c>
      <c r="N66" s="117">
        <f>+MEDIAN(R37:R52)</f>
        <v>64.334325942237996</v>
      </c>
    </row>
    <row r="67" spans="2:14">
      <c r="B67" s="4" t="s">
        <v>423</v>
      </c>
      <c r="C67" s="117">
        <f>+MAX(K20:K36)</f>
        <v>85.523828390310157</v>
      </c>
      <c r="D67" s="117">
        <f>+MAX(K37:K52)</f>
        <v>86.915972065780593</v>
      </c>
      <c r="L67" s="222"/>
      <c r="M67" s="113"/>
    </row>
    <row r="68" spans="2:14">
      <c r="B68" s="4" t="s">
        <v>424</v>
      </c>
      <c r="C68" s="117">
        <f>+AVERAGE(K20:K36)</f>
        <v>79.807493568485683</v>
      </c>
      <c r="D68" s="117">
        <f>+AVERAGE(K37:K52)</f>
        <v>84.376281394866425</v>
      </c>
      <c r="L68" s="222"/>
      <c r="M68" s="113"/>
    </row>
    <row r="69" spans="2:14">
      <c r="B69" s="4" t="s">
        <v>426</v>
      </c>
      <c r="C69" s="117">
        <f>+GEOMEAN(K20:K36)</f>
        <v>79.74882409705755</v>
      </c>
      <c r="D69" s="117">
        <f>+GEOMEAN(K37:K52)</f>
        <v>84.363745972923837</v>
      </c>
      <c r="L69" s="222"/>
      <c r="M69" s="113"/>
    </row>
    <row r="70" spans="2:14">
      <c r="B70" s="4" t="s">
        <v>425</v>
      </c>
      <c r="C70" s="117">
        <f>+MEDIAN(K20:K36)</f>
        <v>80.399944512991979</v>
      </c>
      <c r="D70" s="117">
        <f>+MEDIAN(K37:K52)</f>
        <v>84.582167141394791</v>
      </c>
      <c r="L70" s="222"/>
      <c r="M70" s="113"/>
    </row>
    <row r="71" spans="2:14">
      <c r="L71" s="222"/>
      <c r="M71" s="113"/>
    </row>
    <row r="72" spans="2:14">
      <c r="L72" s="222"/>
      <c r="M72" s="113"/>
    </row>
    <row r="73" spans="2:14">
      <c r="L73" s="222"/>
      <c r="M73" s="113"/>
    </row>
    <row r="74" spans="2:14">
      <c r="L74" s="222"/>
      <c r="M74" s="113"/>
    </row>
    <row r="75" spans="2:14">
      <c r="L75" s="222"/>
      <c r="M75" s="113"/>
    </row>
    <row r="76" spans="2:14">
      <c r="L76" s="222"/>
      <c r="M76" s="113"/>
    </row>
    <row r="77" spans="2:14">
      <c r="L77" s="222"/>
      <c r="M77" s="113"/>
    </row>
    <row r="78" spans="2:14">
      <c r="L78" s="222"/>
      <c r="M78" s="113"/>
    </row>
    <row r="79" spans="2:14">
      <c r="L79" s="222"/>
      <c r="M79" s="113"/>
    </row>
    <row r="80" spans="2:14">
      <c r="K80" s="222"/>
      <c r="M80" s="113"/>
    </row>
    <row r="81" spans="2:34">
      <c r="L81" s="222"/>
      <c r="M81" s="113"/>
    </row>
    <row r="82" spans="2:34">
      <c r="B82" s="1374" t="s">
        <v>302</v>
      </c>
      <c r="C82" s="1374"/>
      <c r="D82" s="1374"/>
      <c r="E82" s="1192"/>
      <c r="F82" s="1192"/>
      <c r="L82" s="222"/>
      <c r="M82" s="113"/>
    </row>
    <row r="83" spans="2:34">
      <c r="B83" s="1065" t="s">
        <v>14</v>
      </c>
      <c r="C83" s="1191" t="s">
        <v>1218</v>
      </c>
      <c r="D83" s="1191" t="s">
        <v>1219</v>
      </c>
      <c r="F83" s="1192"/>
      <c r="L83" s="222"/>
      <c r="M83" s="113"/>
    </row>
    <row r="84" spans="2:34">
      <c r="B84" s="1065" t="s">
        <v>20</v>
      </c>
      <c r="C84" s="757">
        <f>AVERAGE($D$19:$D$36)</f>
        <v>165</v>
      </c>
      <c r="D84" s="757">
        <f>AVERAGE($D$19:$D$36)</f>
        <v>165</v>
      </c>
      <c r="F84" s="68"/>
      <c r="L84" s="222"/>
      <c r="M84" s="113"/>
    </row>
    <row r="85" spans="2:34">
      <c r="B85" s="1065" t="s">
        <v>1220</v>
      </c>
      <c r="C85" s="757" t="s">
        <v>981</v>
      </c>
      <c r="D85" s="757" t="s">
        <v>981</v>
      </c>
      <c r="F85" s="68"/>
      <c r="L85" s="222"/>
      <c r="M85" s="113"/>
      <c r="AH85" s="4" t="s">
        <v>501</v>
      </c>
    </row>
    <row r="86" spans="2:34">
      <c r="B86" s="1065" t="s">
        <v>1221</v>
      </c>
      <c r="C86" s="779">
        <f>AVERAGE(F20:F36)</f>
        <v>0.67582352941176471</v>
      </c>
      <c r="D86" s="779">
        <f>AVERAGE(F37:F52)</f>
        <v>0.68168749999999989</v>
      </c>
      <c r="F86" s="292"/>
      <c r="L86" s="222"/>
      <c r="M86" s="113">
        <v>0.66</v>
      </c>
    </row>
    <row r="87" spans="2:34">
      <c r="B87" s="1065" t="s">
        <v>1222</v>
      </c>
      <c r="C87" s="779">
        <f>AVERAGE(H20:H36)</f>
        <v>5.1583529411764708</v>
      </c>
      <c r="D87" s="779">
        <f>AVERAGE(H37:H52)</f>
        <v>3.2132499999999999</v>
      </c>
      <c r="F87" s="292"/>
      <c r="M87" s="113"/>
    </row>
    <row r="88" spans="2:34">
      <c r="B88" s="1065" t="s">
        <v>811</v>
      </c>
      <c r="C88" s="779">
        <f>AVERAGE(G20:G36)</f>
        <v>0.15441176470588236</v>
      </c>
      <c r="D88" s="779">
        <f>AVERAGE(G37:G52)</f>
        <v>0.13150000000000001</v>
      </c>
      <c r="F88" s="292"/>
    </row>
    <row r="89" spans="2:34">
      <c r="B89" s="1065" t="s">
        <v>1223</v>
      </c>
      <c r="C89" s="779">
        <f>AVERAGE(I20:I36)</f>
        <v>11.810760381730786</v>
      </c>
      <c r="D89" s="779">
        <f>AVERAGE(I37:I52)</f>
        <v>18.98255294233001</v>
      </c>
      <c r="F89" s="292"/>
    </row>
    <row r="90" spans="2:34">
      <c r="B90" s="1065" t="s">
        <v>15</v>
      </c>
      <c r="C90" s="779">
        <f>AVERAGE(J20:J36)</f>
        <v>7.5971938096273899</v>
      </c>
      <c r="D90" s="779">
        <f>AVERAGE(J37:J52)</f>
        <v>4.7111035167792856</v>
      </c>
      <c r="F90" s="292"/>
    </row>
    <row r="91" spans="2:34">
      <c r="B91" s="1065" t="s">
        <v>1224</v>
      </c>
      <c r="C91" s="779">
        <f>AVERAGE(K20:K36)</f>
        <v>79.807493568485683</v>
      </c>
      <c r="D91" s="779">
        <f>AVERAGE(K37:K52)</f>
        <v>84.376281394866425</v>
      </c>
      <c r="F91" s="292"/>
    </row>
  </sheetData>
  <autoFilter ref="B18:M86" xr:uid="{3F26E3F0-BD23-4435-A113-24E5DA316193}"/>
  <mergeCells count="1">
    <mergeCell ref="B82:D82"/>
  </mergeCells>
  <phoneticPr fontId="4" type="noConversion"/>
  <conditionalFormatting sqref="H20:H36">
    <cfRule type="cellIs" dxfId="93" priority="2" operator="between">
      <formula>$E$63</formula>
      <formula>$F$63</formula>
    </cfRule>
    <cfRule type="cellIs" dxfId="92" priority="4" operator="notBetween">
      <formula>$E$63</formula>
      <formula>$F$63</formula>
    </cfRule>
  </conditionalFormatting>
  <conditionalFormatting sqref="H37:H52">
    <cfRule type="cellIs" dxfId="91" priority="1" operator="between">
      <formula>$E$64</formula>
      <formula>$F$64</formula>
    </cfRule>
    <cfRule type="cellIs" dxfId="90" priority="3" operator="notBetween">
      <formula>$E$64</formula>
      <formula>$F$64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4F811-933B-44D0-8F73-EC4164EE45C6}">
  <sheetPr codeName="Hoja16"/>
  <dimension ref="B1:AA72"/>
  <sheetViews>
    <sheetView workbookViewId="0"/>
  </sheetViews>
  <sheetFormatPr baseColWidth="10" defaultRowHeight="14.5"/>
  <cols>
    <col min="2" max="2" width="17.7265625" customWidth="1"/>
    <col min="3" max="3" width="14.54296875" bestFit="1" customWidth="1"/>
    <col min="4" max="4" width="27.453125" bestFit="1" customWidth="1"/>
    <col min="5" max="5" width="16.54296875" bestFit="1" customWidth="1"/>
    <col min="6" max="6" width="20" bestFit="1" customWidth="1"/>
    <col min="7" max="7" width="8.26953125" bestFit="1" customWidth="1"/>
    <col min="8" max="8" width="23.453125" bestFit="1" customWidth="1"/>
    <col min="9" max="9" width="11.7265625" bestFit="1" customWidth="1"/>
    <col min="10" max="10" width="24.54296875" bestFit="1" customWidth="1"/>
    <col min="11" max="11" width="23.26953125" bestFit="1" customWidth="1"/>
    <col min="12" max="12" width="15.26953125" bestFit="1" customWidth="1"/>
    <col min="13" max="13" width="27.7265625" bestFit="1" customWidth="1"/>
    <col min="14" max="14" width="11.54296875" bestFit="1" customWidth="1"/>
    <col min="15" max="15" width="24.26953125" bestFit="1" customWidth="1"/>
    <col min="16" max="16" width="22.7265625" bestFit="1" customWidth="1"/>
    <col min="29" max="29" width="9.54296875" bestFit="1" customWidth="1"/>
  </cols>
  <sheetData>
    <row r="1" spans="2:16"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2"/>
      <c r="P1" s="652"/>
    </row>
    <row r="2" spans="2:16" ht="18.5">
      <c r="B2" s="112" t="s">
        <v>655</v>
      </c>
      <c r="E2" s="652"/>
      <c r="F2" s="652"/>
      <c r="G2" s="652"/>
      <c r="H2" s="652"/>
      <c r="I2" s="652"/>
      <c r="J2" s="652"/>
      <c r="K2" s="652"/>
      <c r="L2" s="652"/>
      <c r="M2" s="652"/>
      <c r="N2" s="652"/>
      <c r="O2" s="652"/>
      <c r="P2" s="652"/>
    </row>
    <row r="3" spans="2:16" ht="16">
      <c r="B3" s="94" t="s">
        <v>656</v>
      </c>
      <c r="E3" s="652"/>
      <c r="F3" s="652"/>
      <c r="G3" s="652"/>
      <c r="H3" s="652"/>
      <c r="I3" s="652"/>
      <c r="J3" s="652"/>
      <c r="K3" s="652"/>
      <c r="L3" s="652"/>
      <c r="M3" s="652"/>
      <c r="N3" s="652"/>
      <c r="O3" s="652"/>
      <c r="P3" s="652"/>
    </row>
    <row r="4" spans="2:16">
      <c r="E4" s="652"/>
      <c r="F4" s="652"/>
      <c r="G4" s="652"/>
      <c r="H4" s="652"/>
      <c r="I4" s="652"/>
      <c r="J4" s="652"/>
      <c r="K4" s="652"/>
      <c r="L4" s="652"/>
      <c r="M4" s="652"/>
      <c r="N4" s="652"/>
      <c r="O4" s="652"/>
      <c r="P4" s="652"/>
    </row>
    <row r="5" spans="2:16">
      <c r="B5" s="121" t="s">
        <v>652</v>
      </c>
      <c r="C5" s="121" t="s">
        <v>308</v>
      </c>
      <c r="D5" s="121" t="s">
        <v>309</v>
      </c>
      <c r="E5" s="121" t="s">
        <v>311</v>
      </c>
      <c r="F5" s="121" t="s">
        <v>312</v>
      </c>
      <c r="G5" s="121" t="s">
        <v>310</v>
      </c>
      <c r="H5" s="121" t="s">
        <v>271</v>
      </c>
      <c r="I5" s="121" t="s">
        <v>272</v>
      </c>
      <c r="J5" s="121" t="s">
        <v>273</v>
      </c>
      <c r="K5" s="121" t="s">
        <v>274</v>
      </c>
      <c r="L5" s="121" t="s">
        <v>316</v>
      </c>
      <c r="M5" s="121" t="s">
        <v>317</v>
      </c>
      <c r="N5" s="121" t="s">
        <v>275</v>
      </c>
      <c r="O5" s="121" t="s">
        <v>276</v>
      </c>
      <c r="P5" s="121" t="s">
        <v>277</v>
      </c>
    </row>
    <row r="6" spans="2:16">
      <c r="B6" s="122" t="s">
        <v>255</v>
      </c>
      <c r="C6" s="98">
        <v>0.5</v>
      </c>
      <c r="D6" s="98">
        <f>+C6</f>
        <v>0.5</v>
      </c>
      <c r="E6" s="142">
        <v>13.125368277340536</v>
      </c>
      <c r="F6" s="114"/>
      <c r="G6" s="114" t="e">
        <f t="shared" ref="G6:G11" si="0">+E6/F6*100</f>
        <v>#DIV/0!</v>
      </c>
      <c r="H6" s="114">
        <f>E6</f>
        <v>13.125368277340536</v>
      </c>
      <c r="I6" s="647">
        <v>10.99</v>
      </c>
      <c r="J6" s="114">
        <f>SUMPRODUCT(E6,I6)/H6</f>
        <v>10.990000000000002</v>
      </c>
      <c r="K6" s="125">
        <f t="shared" ref="K6:K11" si="1">SUMPRODUCT(H6,J6)/SUMPRODUCT($H$11,$J$11)*100</f>
        <v>35.531946938306938</v>
      </c>
      <c r="L6" s="125">
        <f t="shared" ref="L6:L11" si="2">E6/$E$12*100</f>
        <v>2.0950592887592685</v>
      </c>
      <c r="M6" s="125">
        <f>+L6</f>
        <v>2.0950592887592685</v>
      </c>
      <c r="N6" s="647">
        <v>13.1</v>
      </c>
      <c r="O6" s="114">
        <f>SUMPRODUCT(E6,N6)/H6</f>
        <v>13.1</v>
      </c>
      <c r="P6" s="125">
        <f t="shared" ref="P6:P11" si="3">SUMPRODUCT(M6,O6)/SUMPRODUCT($M$11,$O$11)*100</f>
        <v>10.71780172468973</v>
      </c>
    </row>
    <row r="7" spans="2:16">
      <c r="B7" s="122" t="s">
        <v>256</v>
      </c>
      <c r="C7" s="98">
        <v>1</v>
      </c>
      <c r="D7" s="98">
        <f>+D6+C7</f>
        <v>1.5</v>
      </c>
      <c r="E7" s="142">
        <v>14.000172892060352</v>
      </c>
      <c r="F7" s="114"/>
      <c r="G7" s="114" t="e">
        <f t="shared" si="0"/>
        <v>#DIV/0!</v>
      </c>
      <c r="H7" s="114">
        <f>H6+E7</f>
        <v>27.12554116940089</v>
      </c>
      <c r="I7" s="647">
        <v>3.4540000000000002</v>
      </c>
      <c r="J7" s="114">
        <f>SUMPRODUCT(E6:E7,I6:I7)/H7</f>
        <v>7.1004811787651034</v>
      </c>
      <c r="K7" s="125">
        <f t="shared" si="1"/>
        <v>47.443422025508205</v>
      </c>
      <c r="L7" s="125">
        <f t="shared" si="2"/>
        <v>2.2346948018505306</v>
      </c>
      <c r="M7" s="125">
        <f>+M6+L7</f>
        <v>4.3297540906097991</v>
      </c>
      <c r="N7" s="647">
        <v>5.54</v>
      </c>
      <c r="O7" s="114">
        <f>SUMPRODUCT(E6:E7,N6:N7)/H7</f>
        <v>9.1980941761497039</v>
      </c>
      <c r="P7" s="125">
        <f t="shared" si="3"/>
        <v>15.552463407052391</v>
      </c>
    </row>
    <row r="8" spans="2:16">
      <c r="B8" s="122" t="s">
        <v>257</v>
      </c>
      <c r="C8" s="98">
        <v>2</v>
      </c>
      <c r="D8" s="98">
        <f>+D7+C8</f>
        <v>3.5</v>
      </c>
      <c r="E8" s="142">
        <v>23.634593234193336</v>
      </c>
      <c r="F8" s="114"/>
      <c r="G8" s="114" t="e">
        <f t="shared" si="0"/>
        <v>#DIV/0!</v>
      </c>
      <c r="H8" s="114">
        <f>H7+E8</f>
        <v>50.760134403594222</v>
      </c>
      <c r="I8" s="647">
        <v>1.6619999999999999</v>
      </c>
      <c r="J8" s="114">
        <f>SUMPRODUCT(E6:E8,I6:I8)/H8</f>
        <v>4.5682520587644264</v>
      </c>
      <c r="K8" s="125">
        <f t="shared" si="1"/>
        <v>57.119268442466911</v>
      </c>
      <c r="L8" s="125">
        <f t="shared" si="2"/>
        <v>3.7725321716745475</v>
      </c>
      <c r="M8" s="125">
        <f>+M7+L8</f>
        <v>8.1022862622843466</v>
      </c>
      <c r="N8" s="647">
        <v>3.6</v>
      </c>
      <c r="O8" s="114">
        <f>SUMPRODUCT(E6:E8,N6:N8)/H8</f>
        <v>6.5915471231411837</v>
      </c>
      <c r="P8" s="125">
        <f t="shared" si="3"/>
        <v>20.856097552201383</v>
      </c>
    </row>
    <row r="9" spans="2:16">
      <c r="B9" s="122" t="s">
        <v>259</v>
      </c>
      <c r="C9" s="98">
        <v>8</v>
      </c>
      <c r="D9" s="98">
        <f>+D8+C9</f>
        <v>11.5</v>
      </c>
      <c r="E9" s="142">
        <v>84.148063109187476</v>
      </c>
      <c r="F9" s="114"/>
      <c r="G9" s="114" t="e">
        <f t="shared" si="0"/>
        <v>#DIV/0!</v>
      </c>
      <c r="H9" s="114">
        <f>H8+E9</f>
        <v>134.9081975127817</v>
      </c>
      <c r="I9" s="647">
        <v>1.119</v>
      </c>
      <c r="J9" s="114">
        <f>SUMPRODUCT(E6:E9,I6:I9)/H9</f>
        <v>2.4168047392425374</v>
      </c>
      <c r="K9" s="125">
        <f t="shared" si="1"/>
        <v>80.313715577846807</v>
      </c>
      <c r="L9" s="125">
        <f t="shared" si="2"/>
        <v>13.431636928036378</v>
      </c>
      <c r="M9" s="125">
        <f>+M8+L9</f>
        <v>21.533923190320724</v>
      </c>
      <c r="N9" s="647">
        <v>3.85</v>
      </c>
      <c r="O9" s="114">
        <f>SUMPRODUCT(E6:E9,N6:N9)/H9</f>
        <v>4.8815259043561738</v>
      </c>
      <c r="P9" s="125">
        <f t="shared" si="3"/>
        <v>41.050349879210138</v>
      </c>
    </row>
    <row r="10" spans="2:16">
      <c r="B10" s="122" t="s">
        <v>261</v>
      </c>
      <c r="C10" s="98">
        <v>16</v>
      </c>
      <c r="D10" s="98">
        <f>+D9+C10</f>
        <v>27.5</v>
      </c>
      <c r="E10" s="142">
        <v>66.441014947188322</v>
      </c>
      <c r="F10" s="114"/>
      <c r="G10" s="114" t="e">
        <f t="shared" si="0"/>
        <v>#DIV/0!</v>
      </c>
      <c r="H10" s="114">
        <f>H9+E10</f>
        <v>201.34921245997003</v>
      </c>
      <c r="I10" s="647">
        <v>0.499</v>
      </c>
      <c r="J10" s="114">
        <f>SUMPRODUCT(E6:E10,I6:I10)/H10</f>
        <v>1.7839694190093658</v>
      </c>
      <c r="K10" s="125">
        <f t="shared" si="1"/>
        <v>88.480415878944825</v>
      </c>
      <c r="L10" s="125">
        <f t="shared" si="2"/>
        <v>10.605254083423295</v>
      </c>
      <c r="M10" s="125">
        <f>+M9+L10</f>
        <v>32.139177273744018</v>
      </c>
      <c r="N10" s="647">
        <v>2.78</v>
      </c>
      <c r="O10" s="114">
        <f>SUMPRODUCT(E6:E10,N6:N10)/H10</f>
        <v>4.188066454888542</v>
      </c>
      <c r="P10" s="125">
        <f t="shared" si="3"/>
        <v>52.563760104932854</v>
      </c>
    </row>
    <row r="11" spans="2:16">
      <c r="B11" s="122" t="s">
        <v>278</v>
      </c>
      <c r="C11" s="4"/>
      <c r="D11" s="4"/>
      <c r="E11" s="142">
        <v>425.14228340187805</v>
      </c>
      <c r="F11" s="649"/>
      <c r="G11" s="114" t="e">
        <f t="shared" si="0"/>
        <v>#DIV/0!</v>
      </c>
      <c r="H11" s="114">
        <f>H10+E11</f>
        <v>626.49149586184808</v>
      </c>
      <c r="I11" s="647">
        <v>0.11</v>
      </c>
      <c r="J11" s="114">
        <f>SUMPRODUCT(E5:E11,I5:I11)/H11</f>
        <v>0.64799999908368289</v>
      </c>
      <c r="K11" s="125">
        <f t="shared" si="1"/>
        <v>100</v>
      </c>
      <c r="L11" s="125">
        <f t="shared" si="2"/>
        <v>67.860822726255975</v>
      </c>
      <c r="M11" s="125">
        <f>+M10+L11</f>
        <v>100</v>
      </c>
      <c r="N11" s="647">
        <v>1.79</v>
      </c>
      <c r="O11" s="114">
        <f>SUMPRODUCT(E5:E11,N5:N11)/H11</f>
        <v>2.5607188290788172</v>
      </c>
      <c r="P11" s="125">
        <f t="shared" si="3"/>
        <v>100</v>
      </c>
    </row>
    <row r="12" spans="2:16">
      <c r="B12" s="123" t="s">
        <v>32</v>
      </c>
      <c r="C12" s="4"/>
      <c r="D12" s="4"/>
      <c r="E12" s="142">
        <f>+SUM(E6:E11)</f>
        <v>626.49149586184808</v>
      </c>
      <c r="F12" s="114"/>
      <c r="G12" s="114" t="e">
        <f>+I12/F12*100</f>
        <v>#DIV/0!</v>
      </c>
      <c r="H12" s="117"/>
      <c r="I12" s="654">
        <f>+SUMPRODUCT(I6:I11,E6:E11)/SUM(E6:E11)</f>
        <v>0.64799999908368289</v>
      </c>
      <c r="J12" s="117"/>
      <c r="K12" s="95"/>
      <c r="L12" s="95"/>
      <c r="M12" s="95"/>
      <c r="N12" s="95"/>
      <c r="O12" s="95"/>
      <c r="P12" s="95"/>
    </row>
    <row r="13" spans="2:16">
      <c r="B13" s="124" t="s">
        <v>292</v>
      </c>
      <c r="C13" s="4"/>
      <c r="D13" s="4"/>
      <c r="E13" s="652"/>
      <c r="F13" s="95"/>
      <c r="G13" s="95"/>
      <c r="H13" s="95"/>
      <c r="I13" s="114">
        <v>0.64800000000000002</v>
      </c>
      <c r="J13" s="114"/>
      <c r="K13" s="95"/>
      <c r="L13" s="95"/>
      <c r="M13" s="95"/>
      <c r="N13" s="95"/>
      <c r="O13" s="95"/>
      <c r="P13" s="95"/>
    </row>
    <row r="14" spans="2:16">
      <c r="B14" s="124" t="s">
        <v>53</v>
      </c>
      <c r="C14" s="4"/>
      <c r="D14" s="4"/>
      <c r="E14" s="652"/>
      <c r="F14" s="95"/>
      <c r="G14" s="95"/>
      <c r="H14" s="95"/>
      <c r="I14" s="654">
        <f>+(I12-I13)/I12</f>
        <v>-1.4140696521254453E-9</v>
      </c>
      <c r="J14" s="114">
        <f>+SUMPRODUCT(I6:I11,E6:E11)/SUM(E6:E11)</f>
        <v>0.64799999908368289</v>
      </c>
      <c r="K14" s="95"/>
      <c r="L14" s="95"/>
      <c r="M14" s="95"/>
      <c r="N14" s="95"/>
      <c r="O14" s="95"/>
      <c r="P14" s="95"/>
    </row>
    <row r="15" spans="2:16">
      <c r="B15" s="124" t="s">
        <v>51</v>
      </c>
      <c r="C15" s="4"/>
      <c r="D15" s="4"/>
      <c r="E15" s="95"/>
      <c r="F15" s="95"/>
      <c r="G15" s="95"/>
      <c r="H15" s="95"/>
      <c r="I15" s="95"/>
      <c r="J15" s="118" t="e">
        <f>+(J13-J14)/J13</f>
        <v>#DIV/0!</v>
      </c>
      <c r="K15" s="95"/>
      <c r="L15" s="95"/>
      <c r="M15" s="95"/>
      <c r="N15" s="95"/>
      <c r="O15" s="95"/>
      <c r="P15" s="95"/>
    </row>
    <row r="16" spans="2:16">
      <c r="E16" s="652"/>
      <c r="F16" s="652"/>
      <c r="G16" s="652"/>
      <c r="H16" s="652"/>
      <c r="I16" s="652"/>
      <c r="J16" s="652"/>
      <c r="K16" s="652"/>
      <c r="L16" s="652"/>
      <c r="M16" s="652"/>
      <c r="N16" s="652"/>
      <c r="O16" s="652"/>
      <c r="P16" s="652"/>
    </row>
    <row r="17" spans="2:16">
      <c r="E17" s="652"/>
      <c r="F17" s="652"/>
      <c r="G17" s="652"/>
      <c r="H17" s="652"/>
      <c r="I17" s="652"/>
      <c r="J17" s="652"/>
      <c r="K17" s="652"/>
      <c r="L17" s="652"/>
      <c r="M17" s="652"/>
      <c r="N17" s="652"/>
      <c r="O17" s="652"/>
      <c r="P17" s="652"/>
    </row>
    <row r="18" spans="2:16" ht="16">
      <c r="B18" s="94" t="s">
        <v>657</v>
      </c>
      <c r="E18" s="652"/>
      <c r="F18" s="652"/>
      <c r="G18" s="652"/>
      <c r="H18" s="652"/>
      <c r="I18" s="652"/>
      <c r="J18" s="652"/>
      <c r="K18" s="652"/>
      <c r="L18" s="652"/>
      <c r="M18" s="652"/>
      <c r="N18" s="652"/>
      <c r="O18" s="652"/>
      <c r="P18" s="652"/>
    </row>
    <row r="19" spans="2:16">
      <c r="E19" s="652"/>
      <c r="F19" s="652"/>
      <c r="G19" s="652"/>
      <c r="H19" s="652"/>
      <c r="I19" s="652"/>
      <c r="J19" s="652"/>
      <c r="K19" s="652"/>
      <c r="L19" s="652"/>
      <c r="M19" s="652"/>
      <c r="N19" s="652"/>
      <c r="O19" s="652"/>
      <c r="P19" s="652"/>
    </row>
    <row r="20" spans="2:16">
      <c r="B20" s="121" t="s">
        <v>652</v>
      </c>
      <c r="C20" s="121" t="s">
        <v>308</v>
      </c>
      <c r="D20" s="121" t="s">
        <v>309</v>
      </c>
      <c r="E20" s="121" t="s">
        <v>311</v>
      </c>
      <c r="F20" s="121" t="s">
        <v>312</v>
      </c>
      <c r="G20" s="121" t="s">
        <v>310</v>
      </c>
      <c r="H20" s="121" t="s">
        <v>271</v>
      </c>
      <c r="I20" s="121" t="s">
        <v>272</v>
      </c>
      <c r="J20" s="121" t="s">
        <v>273</v>
      </c>
      <c r="K20" s="121" t="s">
        <v>274</v>
      </c>
      <c r="L20" s="121" t="s">
        <v>316</v>
      </c>
      <c r="M20" s="121" t="s">
        <v>317</v>
      </c>
      <c r="N20" s="121" t="s">
        <v>275</v>
      </c>
      <c r="O20" s="121" t="s">
        <v>276</v>
      </c>
      <c r="P20" s="121" t="s">
        <v>277</v>
      </c>
    </row>
    <row r="21" spans="2:16">
      <c r="B21" s="122" t="s">
        <v>255</v>
      </c>
      <c r="C21" s="98">
        <v>0.5</v>
      </c>
      <c r="D21" s="98">
        <f>+C21</f>
        <v>0.5</v>
      </c>
      <c r="E21" s="651">
        <v>15.861808541643937</v>
      </c>
      <c r="F21" s="98"/>
      <c r="G21" s="114" t="e">
        <f t="shared" ref="G21:G26" si="4">+E21/F21*100</f>
        <v>#DIV/0!</v>
      </c>
      <c r="H21" s="114">
        <f>E21</f>
        <v>15.861808541643937</v>
      </c>
      <c r="I21" s="647">
        <v>12.07</v>
      </c>
      <c r="J21" s="114">
        <f>SUMPRODUCT(E21,I21)/H21</f>
        <v>12.07</v>
      </c>
      <c r="K21" s="125">
        <f t="shared" ref="K21:K26" si="5">SUMPRODUCT(H21,J21)/SUMPRODUCT($H$26,$J$26)*100</f>
        <v>36.872449141688207</v>
      </c>
      <c r="L21" s="125">
        <f t="shared" ref="L21:L26" si="6">E21/$E$27*100</f>
        <v>1.9795647912448953</v>
      </c>
      <c r="M21" s="125">
        <f>+L21</f>
        <v>1.9795647912448953</v>
      </c>
      <c r="N21" s="647">
        <v>14.4</v>
      </c>
      <c r="O21" s="114">
        <f>SUMPRODUCT(E21,N21)/H21</f>
        <v>14.4</v>
      </c>
      <c r="P21" s="125">
        <f t="shared" ref="P21:P26" si="7">SUMPRODUCT(M21,O21)/SUMPRODUCT($M$26,$O$26)*100</f>
        <v>10.619023264192434</v>
      </c>
    </row>
    <row r="22" spans="2:16">
      <c r="B22" s="122" t="s">
        <v>256</v>
      </c>
      <c r="C22" s="98">
        <v>1</v>
      </c>
      <c r="D22" s="98">
        <f>+D21+C22</f>
        <v>1.5</v>
      </c>
      <c r="E22" s="651">
        <v>12.819255576940076</v>
      </c>
      <c r="F22" s="98"/>
      <c r="G22" s="114" t="e">
        <f t="shared" si="4"/>
        <v>#DIV/0!</v>
      </c>
      <c r="H22" s="114">
        <f>H21+E22</f>
        <v>28.681064118584011</v>
      </c>
      <c r="I22" s="647">
        <v>6.46</v>
      </c>
      <c r="J22" s="114">
        <f>SUMPRODUCT(E21:E22,I21:I22)/H22</f>
        <v>9.5625608237793553</v>
      </c>
      <c r="K22" s="125">
        <f t="shared" si="5"/>
        <v>52.821591550038214</v>
      </c>
      <c r="L22" s="125">
        <f t="shared" si="6"/>
        <v>1.5998520549189714</v>
      </c>
      <c r="M22" s="125">
        <f>+M21+L22</f>
        <v>3.5794168461638667</v>
      </c>
      <c r="N22" s="647">
        <v>9.52</v>
      </c>
      <c r="O22" s="114">
        <f>SUMPRODUCT(E21:E22,N21:N22)/H22</f>
        <v>12.218840787886499</v>
      </c>
      <c r="P22" s="125">
        <f t="shared" si="7"/>
        <v>16.292759356772461</v>
      </c>
    </row>
    <row r="23" spans="2:16">
      <c r="B23" s="122" t="s">
        <v>257</v>
      </c>
      <c r="C23" s="98">
        <v>2</v>
      </c>
      <c r="D23" s="98">
        <f>+D22+C23</f>
        <v>3.5</v>
      </c>
      <c r="E23" s="651">
        <v>21.371006410935028</v>
      </c>
      <c r="F23" s="98"/>
      <c r="G23" s="114" t="e">
        <f t="shared" si="4"/>
        <v>#DIV/0!</v>
      </c>
      <c r="H23" s="114">
        <f>H22+E23</f>
        <v>50.052070529519042</v>
      </c>
      <c r="I23" s="647">
        <v>3.2370000000000001</v>
      </c>
      <c r="J23" s="114">
        <f>SUMPRODUCT(E21:E23,I21:I23)/H23</f>
        <v>6.8617015089180189</v>
      </c>
      <c r="K23" s="125">
        <f t="shared" si="5"/>
        <v>66.144826473384612</v>
      </c>
      <c r="L23" s="125">
        <f t="shared" si="6"/>
        <v>2.6671165355127497</v>
      </c>
      <c r="M23" s="125">
        <f>+M22+L23</f>
        <v>6.2465333816766169</v>
      </c>
      <c r="N23" s="647">
        <v>8.3000000000000007</v>
      </c>
      <c r="O23" s="114">
        <f>SUMPRODUCT(E21:E23,N21:N23)/H23</f>
        <v>10.545591894976797</v>
      </c>
      <c r="P23" s="125">
        <f t="shared" si="7"/>
        <v>24.53931215101704</v>
      </c>
    </row>
    <row r="24" spans="2:16">
      <c r="B24" s="122" t="s">
        <v>259</v>
      </c>
      <c r="C24" s="98">
        <v>8</v>
      </c>
      <c r="D24" s="98">
        <f>+D23+C24</f>
        <v>11.5</v>
      </c>
      <c r="E24" s="651">
        <v>60.705618964785046</v>
      </c>
      <c r="F24" s="98"/>
      <c r="G24" s="114" t="e">
        <f t="shared" si="4"/>
        <v>#DIV/0!</v>
      </c>
      <c r="H24" s="114">
        <f>H23+E24</f>
        <v>110.75768949430409</v>
      </c>
      <c r="I24" s="647">
        <v>1.3640000000000001</v>
      </c>
      <c r="J24" s="114">
        <f>SUMPRODUCT(E21:E24,I21:I24)/H24</f>
        <v>3.8484446009209963</v>
      </c>
      <c r="K24" s="125">
        <f t="shared" si="5"/>
        <v>82.092057050763017</v>
      </c>
      <c r="L24" s="125">
        <f t="shared" si="6"/>
        <v>7.5761036717798032</v>
      </c>
      <c r="M24" s="125">
        <f>+M23+L24</f>
        <v>13.82263705345642</v>
      </c>
      <c r="N24" s="647">
        <v>6.48</v>
      </c>
      <c r="O24" s="114">
        <f>SUMPRODUCT(E21:E24,N21:N24)/H24</f>
        <v>8.3172655948378598</v>
      </c>
      <c r="P24" s="125">
        <f t="shared" si="7"/>
        <v>42.827609495094634</v>
      </c>
    </row>
    <row r="25" spans="2:16">
      <c r="B25" s="122" t="s">
        <v>261</v>
      </c>
      <c r="C25" s="98">
        <v>16</v>
      </c>
      <c r="D25" s="98">
        <f>+D24+C25</f>
        <v>27.5</v>
      </c>
      <c r="E25" s="651">
        <v>61.726782902857927</v>
      </c>
      <c r="F25" s="98"/>
      <c r="G25" s="114" t="e">
        <f t="shared" si="4"/>
        <v>#DIV/0!</v>
      </c>
      <c r="H25" s="114">
        <f>H24+E25</f>
        <v>172.48447239716202</v>
      </c>
      <c r="I25" s="647">
        <v>0.55900000000000005</v>
      </c>
      <c r="J25" s="114">
        <f>SUMPRODUCT(E21:E25,I21:I25)/H25</f>
        <v>2.6712555477261457</v>
      </c>
      <c r="K25" s="125">
        <f t="shared" si="5"/>
        <v>88.73755399201832</v>
      </c>
      <c r="L25" s="125">
        <f t="shared" si="6"/>
        <v>7.7035456449060629</v>
      </c>
      <c r="M25" s="125">
        <f>+M24+L25</f>
        <v>21.526182698362483</v>
      </c>
      <c r="N25" s="647">
        <v>3.42</v>
      </c>
      <c r="O25" s="114">
        <f>SUMPRODUCT(E21:E25,N21:N25)/H25</f>
        <v>6.5646878352924407</v>
      </c>
      <c r="P25" s="125">
        <f t="shared" si="7"/>
        <v>52.642130879129802</v>
      </c>
    </row>
    <row r="26" spans="2:16">
      <c r="B26" s="122" t="s">
        <v>278</v>
      </c>
      <c r="C26" s="4"/>
      <c r="D26" s="4"/>
      <c r="E26" s="651">
        <v>628.79309183294686</v>
      </c>
      <c r="F26" s="648"/>
      <c r="G26" s="114" t="e">
        <f t="shared" si="4"/>
        <v>#DIV/0!</v>
      </c>
      <c r="H26" s="114">
        <f>H25+E26</f>
        <v>801.27756423010885</v>
      </c>
      <c r="I26" s="647">
        <v>9.2999999999999999E-2</v>
      </c>
      <c r="J26" s="114">
        <f>SUMPRODUCT(E20:E26,I20:I26)/H26</f>
        <v>0.64799999963419641</v>
      </c>
      <c r="K26" s="125">
        <f t="shared" si="5"/>
        <v>100</v>
      </c>
      <c r="L26" s="125">
        <f t="shared" si="6"/>
        <v>78.47381730163751</v>
      </c>
      <c r="M26" s="125">
        <f>+M25+L26</f>
        <v>100</v>
      </c>
      <c r="N26" s="647">
        <v>1.62</v>
      </c>
      <c r="O26" s="114">
        <f>SUMPRODUCT(E20:E26,N20:N26)/H26</f>
        <v>2.6844025372887557</v>
      </c>
      <c r="P26" s="125">
        <f t="shared" si="7"/>
        <v>100</v>
      </c>
    </row>
    <row r="27" spans="2:16">
      <c r="B27" s="123" t="s">
        <v>32</v>
      </c>
      <c r="C27" s="4"/>
      <c r="D27" s="4"/>
      <c r="E27" s="142">
        <f>+SUM(E21:E26)</f>
        <v>801.27756423010885</v>
      </c>
      <c r="F27" s="98"/>
      <c r="G27" s="114" t="e">
        <f>+I27/F27*100</f>
        <v>#DIV/0!</v>
      </c>
      <c r="H27" s="97"/>
      <c r="I27" s="654">
        <f>+SUMPRODUCT(I21:I26,E21:E26)/SUM(E21:E26)</f>
        <v>0.64799999963419641</v>
      </c>
      <c r="J27" s="117"/>
      <c r="K27" s="95"/>
      <c r="L27" s="95"/>
      <c r="M27" s="95"/>
      <c r="N27" s="95"/>
      <c r="O27" s="95"/>
      <c r="P27" s="95"/>
    </row>
    <row r="28" spans="2:16">
      <c r="B28" s="124" t="s">
        <v>292</v>
      </c>
      <c r="C28" s="4"/>
      <c r="D28" s="4"/>
      <c r="E28" s="654"/>
      <c r="F28" s="95"/>
      <c r="G28" s="95"/>
      <c r="H28" s="97"/>
      <c r="I28" s="114">
        <v>0.64800000000000002</v>
      </c>
      <c r="J28" s="114"/>
      <c r="K28" s="95"/>
      <c r="L28" s="95"/>
      <c r="M28" s="95"/>
      <c r="N28" s="95"/>
      <c r="O28" s="95"/>
      <c r="P28" s="95"/>
    </row>
    <row r="29" spans="2:16">
      <c r="B29" s="124" t="s">
        <v>53</v>
      </c>
      <c r="C29" s="4"/>
      <c r="D29" s="4"/>
      <c r="E29" s="654"/>
      <c r="F29" s="95"/>
      <c r="G29" s="95"/>
      <c r="H29" s="97"/>
      <c r="I29" s="654">
        <f>+(I27-I28)/I27</f>
        <v>-5.6451174356783879E-10</v>
      </c>
      <c r="J29" s="114">
        <f>+SUMPRODUCT(I21:I26,E21:E26)/SUM(E21:E26)</f>
        <v>0.64799999963419641</v>
      </c>
      <c r="K29" s="95"/>
      <c r="L29" s="95"/>
      <c r="M29" s="95"/>
      <c r="N29" s="95"/>
      <c r="O29" s="95"/>
      <c r="P29" s="95"/>
    </row>
    <row r="30" spans="2:16">
      <c r="B30" s="124" t="s">
        <v>51</v>
      </c>
      <c r="C30" s="4"/>
      <c r="D30" s="4"/>
      <c r="E30" s="97"/>
      <c r="F30" s="95"/>
      <c r="G30" s="95"/>
      <c r="H30" s="97"/>
      <c r="I30" s="95"/>
      <c r="J30" s="118" t="e">
        <f>+(J28-J29)/J28</f>
        <v>#DIV/0!</v>
      </c>
      <c r="K30" s="95"/>
      <c r="L30" s="95"/>
      <c r="M30" s="95"/>
      <c r="N30" s="95"/>
      <c r="O30" s="95"/>
      <c r="P30" s="95"/>
    </row>
    <row r="31" spans="2:16">
      <c r="E31" s="654"/>
      <c r="F31" s="652"/>
      <c r="G31" s="652"/>
      <c r="H31" s="654"/>
      <c r="I31" s="652"/>
      <c r="J31" s="652"/>
      <c r="K31" s="652"/>
      <c r="L31" s="652"/>
      <c r="M31" s="652"/>
      <c r="N31" s="652"/>
      <c r="O31" s="652"/>
      <c r="P31" s="652"/>
    </row>
    <row r="32" spans="2:16">
      <c r="E32" s="654"/>
      <c r="F32" s="652"/>
      <c r="G32" s="652"/>
      <c r="H32" s="654"/>
      <c r="I32" s="652"/>
      <c r="J32" s="652"/>
      <c r="K32" s="652"/>
      <c r="L32" s="652"/>
      <c r="M32" s="652"/>
      <c r="N32" s="652"/>
      <c r="O32" s="652"/>
      <c r="P32" s="652"/>
    </row>
    <row r="33" spans="2:27" ht="15" thickBot="1">
      <c r="K33" s="652"/>
      <c r="L33" s="652"/>
    </row>
    <row r="34" spans="2:27" ht="14.65" customHeight="1" thickBot="1">
      <c r="B34" s="1383" t="s">
        <v>658</v>
      </c>
      <c r="C34" s="1384"/>
      <c r="D34" s="1385" t="s">
        <v>660</v>
      </c>
      <c r="E34" s="1386"/>
      <c r="F34" s="1387"/>
      <c r="G34" s="1385" t="s">
        <v>662</v>
      </c>
      <c r="H34" s="1386"/>
      <c r="I34" s="1386"/>
      <c r="J34" s="1386"/>
      <c r="K34" s="1386"/>
      <c r="L34" s="1386"/>
      <c r="M34" s="1386"/>
      <c r="N34" s="1386"/>
      <c r="O34" s="1386"/>
      <c r="P34" s="1386"/>
      <c r="Q34" s="1386"/>
      <c r="R34" s="1386"/>
      <c r="S34" s="1386"/>
      <c r="T34" s="1386"/>
      <c r="U34" s="1386"/>
      <c r="V34" s="1386"/>
      <c r="W34" s="1386"/>
      <c r="X34" s="1387"/>
      <c r="Y34" s="656" t="s">
        <v>659</v>
      </c>
      <c r="Z34" s="656" t="s">
        <v>659</v>
      </c>
      <c r="AA34" s="1378" t="s">
        <v>661</v>
      </c>
    </row>
    <row r="35" spans="2:27" ht="14.65" customHeight="1">
      <c r="B35" s="686" t="s">
        <v>663</v>
      </c>
      <c r="C35" s="686" t="s">
        <v>20</v>
      </c>
      <c r="D35" s="1388" t="s">
        <v>665</v>
      </c>
      <c r="E35" s="1389"/>
      <c r="F35" s="1390"/>
      <c r="G35" s="1380" t="s">
        <v>666</v>
      </c>
      <c r="H35" s="1381"/>
      <c r="I35" s="1381"/>
      <c r="J35" s="1381"/>
      <c r="K35" s="1381"/>
      <c r="L35" s="1382"/>
      <c r="M35" s="1380" t="s">
        <v>667</v>
      </c>
      <c r="N35" s="1381"/>
      <c r="O35" s="1381"/>
      <c r="P35" s="1381"/>
      <c r="Q35" s="1381"/>
      <c r="R35" s="1382"/>
      <c r="S35" s="1380" t="s">
        <v>668</v>
      </c>
      <c r="T35" s="1381"/>
      <c r="U35" s="1381"/>
      <c r="V35" s="1381"/>
      <c r="W35" s="1381"/>
      <c r="X35" s="1382"/>
      <c r="Y35" s="657" t="s">
        <v>664</v>
      </c>
      <c r="Z35" s="657" t="s">
        <v>664</v>
      </c>
      <c r="AA35" s="1379"/>
    </row>
    <row r="36" spans="2:27">
      <c r="B36" s="686"/>
      <c r="C36" s="686"/>
      <c r="D36" s="680" t="s">
        <v>1</v>
      </c>
      <c r="E36" s="680" t="s">
        <v>17</v>
      </c>
      <c r="F36" s="685" t="s">
        <v>0</v>
      </c>
      <c r="G36" s="679" t="s">
        <v>531</v>
      </c>
      <c r="H36" s="684" t="s">
        <v>530</v>
      </c>
      <c r="I36" s="684" t="s">
        <v>529</v>
      </c>
      <c r="J36" s="684" t="s">
        <v>528</v>
      </c>
      <c r="K36" s="684" t="s">
        <v>669</v>
      </c>
      <c r="L36" s="676" t="s">
        <v>439</v>
      </c>
      <c r="M36" s="683" t="s">
        <v>531</v>
      </c>
      <c r="N36" s="677" t="s">
        <v>530</v>
      </c>
      <c r="O36" s="682" t="s">
        <v>529</v>
      </c>
      <c r="P36" s="682" t="s">
        <v>528</v>
      </c>
      <c r="Q36" s="682" t="s">
        <v>669</v>
      </c>
      <c r="R36" s="671" t="s">
        <v>439</v>
      </c>
      <c r="S36" s="679" t="s">
        <v>531</v>
      </c>
      <c r="T36" s="684" t="s">
        <v>530</v>
      </c>
      <c r="U36" s="684" t="s">
        <v>529</v>
      </c>
      <c r="V36" s="684" t="s">
        <v>528</v>
      </c>
      <c r="W36" s="684" t="s">
        <v>669</v>
      </c>
      <c r="X36" s="662" t="s">
        <v>439</v>
      </c>
      <c r="Y36" s="657"/>
      <c r="Z36" s="657"/>
      <c r="AA36" s="655" t="s">
        <v>1</v>
      </c>
    </row>
    <row r="37" spans="2:27">
      <c r="B37" s="686"/>
      <c r="C37" s="686"/>
      <c r="D37" s="675" t="s">
        <v>31</v>
      </c>
      <c r="E37" s="675" t="s">
        <v>31</v>
      </c>
      <c r="F37" s="675" t="s">
        <v>31</v>
      </c>
      <c r="G37" s="681"/>
      <c r="H37" s="674"/>
      <c r="I37" s="674"/>
      <c r="J37" s="674"/>
      <c r="K37" s="674"/>
      <c r="L37" s="678"/>
      <c r="M37" s="681"/>
      <c r="N37" s="674"/>
      <c r="O37" s="674"/>
      <c r="P37" s="674"/>
      <c r="Q37" s="674"/>
      <c r="R37" s="663"/>
      <c r="S37" s="681"/>
      <c r="T37" s="674"/>
      <c r="U37" s="674"/>
      <c r="V37" s="674"/>
      <c r="W37" s="674"/>
      <c r="X37" s="663"/>
      <c r="Y37" s="657" t="s">
        <v>482</v>
      </c>
      <c r="Z37" s="657" t="s">
        <v>31</v>
      </c>
      <c r="AA37" s="686" t="s">
        <v>31</v>
      </c>
    </row>
    <row r="38" spans="2:27">
      <c r="B38" s="691" t="s">
        <v>670</v>
      </c>
      <c r="C38" s="691">
        <v>165</v>
      </c>
      <c r="D38" s="688">
        <f>+'6. Análisis Químico Cabeza'!D7</f>
        <v>0.66</v>
      </c>
      <c r="E38" s="688">
        <f>+'6. Análisis Químico Cabeza'!E7</f>
        <v>2.2400000000000002</v>
      </c>
      <c r="F38" s="693"/>
      <c r="G38" s="690">
        <f>+E6</f>
        <v>13.125368277340536</v>
      </c>
      <c r="H38" s="689">
        <f>+E7</f>
        <v>14.000172892060352</v>
      </c>
      <c r="I38" s="689">
        <f>+E8</f>
        <v>23.634593234193336</v>
      </c>
      <c r="J38" s="689">
        <f>+E9</f>
        <v>84.148063109187476</v>
      </c>
      <c r="K38" s="689">
        <f>+E10</f>
        <v>66.441014947188322</v>
      </c>
      <c r="L38" s="692">
        <f>+E11</f>
        <v>425.14228340187805</v>
      </c>
      <c r="M38" s="688">
        <f>+I6</f>
        <v>10.99</v>
      </c>
      <c r="N38" s="688">
        <f>+I7</f>
        <v>3.4540000000000002</v>
      </c>
      <c r="O38" s="688">
        <f>+I8</f>
        <v>1.6619999999999999</v>
      </c>
      <c r="P38" s="688">
        <f>+I9</f>
        <v>1.119</v>
      </c>
      <c r="Q38" s="688">
        <f>+I10</f>
        <v>0.499</v>
      </c>
      <c r="R38" s="670">
        <f>+I11</f>
        <v>0.11</v>
      </c>
      <c r="S38" s="690">
        <f>+N6</f>
        <v>13.1</v>
      </c>
      <c r="T38" s="689">
        <f>+N7</f>
        <v>5.54</v>
      </c>
      <c r="U38" s="689">
        <f>+N8</f>
        <v>3.6</v>
      </c>
      <c r="V38" s="689">
        <f>+N9</f>
        <v>3.85</v>
      </c>
      <c r="W38" s="689">
        <f>+N10</f>
        <v>2.78</v>
      </c>
      <c r="X38" s="670">
        <f>+N11</f>
        <v>1.79</v>
      </c>
      <c r="Y38" s="687">
        <f>+SUM(G38:L38)</f>
        <v>626.49149586184808</v>
      </c>
      <c r="Z38" s="661">
        <f>+SUMPRODUCT(G38:L38,(M38:R38))/Y38</f>
        <v>0.64799999908368289</v>
      </c>
      <c r="AA38" s="673">
        <f>+(D38-Z38)/D38*100</f>
        <v>1.8181819570177491</v>
      </c>
    </row>
    <row r="39" spans="2:27" ht="15" thickBot="1">
      <c r="B39" s="669" t="s">
        <v>671</v>
      </c>
      <c r="C39" s="669">
        <v>145</v>
      </c>
      <c r="D39" s="660">
        <f>+'6. Análisis Químico Cabeza'!D7</f>
        <v>0.66</v>
      </c>
      <c r="E39" s="660">
        <f>+'6. Análisis Químico Cabeza'!E7</f>
        <v>2.2400000000000002</v>
      </c>
      <c r="F39" s="668"/>
      <c r="G39" s="666">
        <f>+E21</f>
        <v>15.861808541643937</v>
      </c>
      <c r="H39" s="667">
        <f>+E22</f>
        <v>12.819255576940076</v>
      </c>
      <c r="I39" s="667">
        <f>+E23</f>
        <v>21.371006410935028</v>
      </c>
      <c r="J39" s="667">
        <f>+E24</f>
        <v>60.705618964785046</v>
      </c>
      <c r="K39" s="667">
        <f>+E25</f>
        <v>61.726782902857927</v>
      </c>
      <c r="L39" s="659">
        <f>+E26</f>
        <v>628.79309183294686</v>
      </c>
      <c r="M39" s="660">
        <f>+I21</f>
        <v>12.07</v>
      </c>
      <c r="N39" s="660">
        <f>+I22</f>
        <v>6.46</v>
      </c>
      <c r="O39" s="660">
        <f>+I23</f>
        <v>3.2370000000000001</v>
      </c>
      <c r="P39" s="660">
        <f>+I24</f>
        <v>1.3640000000000001</v>
      </c>
      <c r="Q39" s="660">
        <f>+I25</f>
        <v>0.55900000000000005</v>
      </c>
      <c r="R39" s="665">
        <f>+I26</f>
        <v>9.2999999999999999E-2</v>
      </c>
      <c r="S39" s="666">
        <f>+N21</f>
        <v>14.4</v>
      </c>
      <c r="T39" s="667">
        <f>+N22</f>
        <v>9.52</v>
      </c>
      <c r="U39" s="667">
        <f>+N23</f>
        <v>8.3000000000000007</v>
      </c>
      <c r="V39" s="667">
        <f>+N24</f>
        <v>6.48</v>
      </c>
      <c r="W39" s="667">
        <f>+N25</f>
        <v>3.42</v>
      </c>
      <c r="X39" s="665">
        <f>+N26</f>
        <v>1.62</v>
      </c>
      <c r="Y39" s="658">
        <f>+SUM(G39:L39)</f>
        <v>801.27756423010885</v>
      </c>
      <c r="Z39" s="672">
        <f>+SUMPRODUCT(G39:L39,(M39:R39))/Y39</f>
        <v>0.64799999963419641</v>
      </c>
      <c r="AA39" s="664">
        <v>0.34974227456283474</v>
      </c>
    </row>
    <row r="40" spans="2:27">
      <c r="K40" s="652"/>
      <c r="L40" s="652"/>
    </row>
    <row r="41" spans="2:27">
      <c r="K41" s="652"/>
      <c r="L41" s="652"/>
    </row>
    <row r="42" spans="2:27" ht="15" thickBot="1"/>
    <row r="43" spans="2:27" ht="14.15" customHeight="1" thickBot="1">
      <c r="B43" s="694" t="s">
        <v>672</v>
      </c>
      <c r="J43" s="1375" t="s">
        <v>698</v>
      </c>
      <c r="K43" s="1376"/>
      <c r="L43" s="1376"/>
      <c r="M43" s="1376"/>
      <c r="N43" s="1376"/>
      <c r="O43" s="1377"/>
      <c r="P43" s="1375" t="s">
        <v>700</v>
      </c>
      <c r="Q43" s="1376"/>
      <c r="R43" s="1376"/>
      <c r="S43" s="1376"/>
      <c r="T43" s="1376"/>
      <c r="U43" s="1377"/>
      <c r="V43" s="1375" t="s">
        <v>1</v>
      </c>
      <c r="W43" s="1376"/>
    </row>
    <row r="44" spans="2:27" ht="15" thickBot="1">
      <c r="B44" s="695" t="s">
        <v>673</v>
      </c>
      <c r="J44" s="704" t="s">
        <v>699</v>
      </c>
      <c r="K44" s="704" t="s">
        <v>531</v>
      </c>
      <c r="L44" s="704" t="s">
        <v>530</v>
      </c>
      <c r="M44" s="704" t="s">
        <v>529</v>
      </c>
      <c r="N44" s="704" t="s">
        <v>528</v>
      </c>
      <c r="O44" s="704" t="s">
        <v>669</v>
      </c>
      <c r="P44" s="704" t="s">
        <v>699</v>
      </c>
      <c r="Q44" s="704" t="s">
        <v>531</v>
      </c>
      <c r="R44" s="704" t="s">
        <v>530</v>
      </c>
      <c r="S44" s="704" t="s">
        <v>529</v>
      </c>
      <c r="T44" s="704" t="s">
        <v>528</v>
      </c>
      <c r="U44" s="704" t="s">
        <v>669</v>
      </c>
      <c r="V44" s="704" t="s">
        <v>701</v>
      </c>
      <c r="W44" s="704" t="s">
        <v>702</v>
      </c>
    </row>
    <row r="45" spans="2:27" ht="15" thickBot="1">
      <c r="B45" s="695" t="s">
        <v>674</v>
      </c>
      <c r="P45" s="864">
        <v>0</v>
      </c>
      <c r="Q45" s="864">
        <f>+D6</f>
        <v>0.5</v>
      </c>
      <c r="R45" s="864">
        <f>+D7</f>
        <v>1.5</v>
      </c>
      <c r="S45" s="864">
        <f>+D8</f>
        <v>3.5</v>
      </c>
      <c r="T45" s="864">
        <f>+D9</f>
        <v>11.5</v>
      </c>
      <c r="U45" s="865">
        <f>+D10</f>
        <v>27.5</v>
      </c>
    </row>
    <row r="46" spans="2:27">
      <c r="B46" s="696" t="s">
        <v>675</v>
      </c>
      <c r="D46" s="697" t="s">
        <v>676</v>
      </c>
      <c r="J46" s="125">
        <v>0</v>
      </c>
      <c r="K46" s="125">
        <f>+K6</f>
        <v>35.531946938306938</v>
      </c>
      <c r="L46" s="125">
        <f>+K7</f>
        <v>47.443422025508205</v>
      </c>
      <c r="M46" s="125">
        <f>+K8</f>
        <v>57.119268442466911</v>
      </c>
      <c r="N46" s="125">
        <f>+K9</f>
        <v>80.313715577846807</v>
      </c>
      <c r="O46" s="125">
        <f>+K10</f>
        <v>88.480415878944825</v>
      </c>
      <c r="P46" s="863">
        <v>0</v>
      </c>
      <c r="Q46" s="863">
        <v>17.907252993418066</v>
      </c>
      <c r="R46" s="863">
        <v>43.582680640592351</v>
      </c>
      <c r="S46" s="863">
        <v>70.308775210511101</v>
      </c>
      <c r="T46" s="863">
        <v>87.992805474955617</v>
      </c>
      <c r="U46" s="863">
        <v>88.480064779122543</v>
      </c>
      <c r="V46" s="125">
        <v>88.480415878944825</v>
      </c>
      <c r="W46" s="125">
        <v>0.45226258978134543</v>
      </c>
    </row>
    <row r="47" spans="2:27">
      <c r="J47" s="125">
        <v>0</v>
      </c>
      <c r="K47" s="125">
        <f>+K21</f>
        <v>36.872449141688207</v>
      </c>
      <c r="L47" s="125">
        <f>+K22</f>
        <v>52.821591550038214</v>
      </c>
      <c r="M47" s="125">
        <f>+K23</f>
        <v>66.144826473384612</v>
      </c>
      <c r="N47" s="125">
        <f>+K24</f>
        <v>82.092057050763017</v>
      </c>
      <c r="O47" s="125">
        <f>+K25</f>
        <v>88.73755399201832</v>
      </c>
      <c r="P47" s="125">
        <v>0</v>
      </c>
      <c r="Q47" s="125">
        <v>23.097528598369095</v>
      </c>
      <c r="R47" s="125">
        <v>52.821276828233849</v>
      </c>
      <c r="S47" s="125">
        <v>77.9843852190196</v>
      </c>
      <c r="T47" s="125">
        <v>88.65115333328059</v>
      </c>
      <c r="U47" s="125">
        <v>88.73754841402183</v>
      </c>
      <c r="V47" s="125">
        <v>88.73755399201832</v>
      </c>
      <c r="W47" s="125">
        <v>0.6029950574551014</v>
      </c>
    </row>
    <row r="48" spans="2:27">
      <c r="B48" t="s">
        <v>677</v>
      </c>
    </row>
    <row r="49" spans="2:5">
      <c r="B49" t="s">
        <v>678</v>
      </c>
    </row>
    <row r="51" spans="2:5" ht="29">
      <c r="B51" s="698" t="s">
        <v>679</v>
      </c>
      <c r="C51" s="698" t="s">
        <v>680</v>
      </c>
    </row>
    <row r="52" spans="2:5">
      <c r="B52" s="698" t="s">
        <v>681</v>
      </c>
      <c r="C52" s="699">
        <v>34</v>
      </c>
    </row>
    <row r="53" spans="2:5">
      <c r="B53" s="698" t="s">
        <v>682</v>
      </c>
      <c r="C53" s="700">
        <v>34.299999999999997</v>
      </c>
    </row>
    <row r="54" spans="2:5">
      <c r="B54" s="698" t="s">
        <v>683</v>
      </c>
      <c r="C54" s="700">
        <v>35.299999999999997</v>
      </c>
    </row>
    <row r="55" spans="2:5">
      <c r="B55" s="698"/>
      <c r="C55" s="700"/>
    </row>
    <row r="56" spans="2:5" ht="29">
      <c r="B56" s="698" t="s">
        <v>679</v>
      </c>
      <c r="C56" s="698" t="s">
        <v>684</v>
      </c>
      <c r="D56" s="698" t="s">
        <v>685</v>
      </c>
      <c r="E56" s="698" t="s">
        <v>686</v>
      </c>
    </row>
    <row r="57" spans="2:5">
      <c r="B57" s="698" t="s">
        <v>681</v>
      </c>
      <c r="C57" s="700">
        <v>7.0000000000000007E-2</v>
      </c>
      <c r="D57" s="700">
        <v>0.6</v>
      </c>
      <c r="E57" s="698" t="s">
        <v>687</v>
      </c>
    </row>
    <row r="58" spans="2:5">
      <c r="B58" s="698" t="s">
        <v>682</v>
      </c>
      <c r="C58" s="700">
        <v>0.1</v>
      </c>
      <c r="D58" s="700">
        <v>0.38</v>
      </c>
      <c r="E58" s="698" t="s">
        <v>688</v>
      </c>
    </row>
    <row r="59" spans="2:5">
      <c r="B59" s="698" t="s">
        <v>683</v>
      </c>
      <c r="C59" s="700">
        <v>0.08</v>
      </c>
      <c r="D59" s="700">
        <v>0.38</v>
      </c>
      <c r="E59" s="698" t="s">
        <v>689</v>
      </c>
    </row>
    <row r="60" spans="2:5">
      <c r="B60" s="701"/>
      <c r="C60" s="701"/>
      <c r="D60" s="701"/>
      <c r="E60" s="701"/>
    </row>
    <row r="61" spans="2:5">
      <c r="B61" s="700" t="s">
        <v>690</v>
      </c>
    </row>
    <row r="62" spans="2:5" ht="43.5">
      <c r="B62" s="698" t="s">
        <v>679</v>
      </c>
      <c r="C62" s="698" t="s">
        <v>691</v>
      </c>
      <c r="D62" s="698" t="s">
        <v>692</v>
      </c>
    </row>
    <row r="63" spans="2:5">
      <c r="B63" s="698" t="s">
        <v>681</v>
      </c>
      <c r="C63" s="699">
        <v>34</v>
      </c>
      <c r="D63" s="698" t="s">
        <v>693</v>
      </c>
    </row>
    <row r="64" spans="2:5">
      <c r="B64" s="698" t="s">
        <v>682</v>
      </c>
      <c r="C64" s="700">
        <v>34.299999999999997</v>
      </c>
      <c r="D64" s="698" t="s">
        <v>694</v>
      </c>
    </row>
    <row r="65" spans="2:7">
      <c r="B65" s="698" t="s">
        <v>683</v>
      </c>
      <c r="C65" s="700">
        <v>35.299999999999997</v>
      </c>
      <c r="D65" s="698" t="s">
        <v>695</v>
      </c>
    </row>
    <row r="71" spans="2:7">
      <c r="B71" s="698"/>
      <c r="C71" s="698"/>
      <c r="D71" s="698"/>
      <c r="E71" s="698"/>
      <c r="F71" s="698"/>
      <c r="G71" s="698"/>
    </row>
    <row r="72" spans="2:7">
      <c r="B72" s="698"/>
      <c r="C72" s="700"/>
      <c r="D72" s="700"/>
      <c r="E72" s="700"/>
      <c r="F72" s="698"/>
      <c r="G72" s="698"/>
    </row>
  </sheetData>
  <mergeCells count="11">
    <mergeCell ref="B34:C34"/>
    <mergeCell ref="S35:X35"/>
    <mergeCell ref="G34:X34"/>
    <mergeCell ref="M35:R35"/>
    <mergeCell ref="D34:F34"/>
    <mergeCell ref="D35:F35"/>
    <mergeCell ref="J43:O43"/>
    <mergeCell ref="P43:U43"/>
    <mergeCell ref="V43:W43"/>
    <mergeCell ref="AA34:AA35"/>
    <mergeCell ref="G35:L35"/>
  </mergeCells>
  <conditionalFormatting sqref="B6:B15 B21:B30">
    <cfRule type="cellIs" dxfId="89" priority="4" operator="equal">
      <formula>0</formula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E6819-4A97-421A-8E0D-EEF1F983DE55}">
  <sheetPr codeName="Hoja17"/>
  <dimension ref="A1:AM70"/>
  <sheetViews>
    <sheetView workbookViewId="0">
      <selection sqref="A1:M2"/>
    </sheetView>
  </sheetViews>
  <sheetFormatPr baseColWidth="10" defaultRowHeight="14.5"/>
  <cols>
    <col min="8" max="8" width="13.453125" customWidth="1"/>
    <col min="9" max="9" width="11.7265625" bestFit="1" customWidth="1"/>
    <col min="24" max="24" width="11.7265625" bestFit="1" customWidth="1"/>
  </cols>
  <sheetData>
    <row r="1" spans="1:39" ht="14.65" customHeight="1">
      <c r="A1" s="1310" t="s">
        <v>712</v>
      </c>
      <c r="B1" s="1311"/>
      <c r="C1" s="1311"/>
      <c r="D1" s="1311"/>
      <c r="E1" s="1311"/>
      <c r="F1" s="1311"/>
      <c r="G1" s="1311"/>
      <c r="H1" s="1311"/>
      <c r="I1" s="1311"/>
      <c r="J1" s="1311"/>
      <c r="K1" s="1311"/>
      <c r="L1" s="1311"/>
      <c r="M1" s="1311"/>
      <c r="N1" s="802"/>
      <c r="O1" s="802"/>
      <c r="P1" s="1310" t="s">
        <v>766</v>
      </c>
      <c r="Q1" s="1311"/>
      <c r="R1" s="1311"/>
      <c r="S1" s="1311"/>
      <c r="T1" s="1311"/>
      <c r="U1" s="1311"/>
      <c r="V1" s="1311"/>
      <c r="W1" s="1311"/>
      <c r="X1" s="1311"/>
      <c r="Y1" s="1311"/>
      <c r="Z1" s="1311"/>
      <c r="AA1" s="1311"/>
      <c r="AB1" s="1311"/>
      <c r="AD1" s="802"/>
      <c r="AE1" s="802"/>
      <c r="AF1" s="802"/>
      <c r="AG1" s="802"/>
      <c r="AH1" s="802"/>
      <c r="AI1" s="802"/>
      <c r="AJ1" s="802"/>
      <c r="AK1" s="802"/>
      <c r="AL1" s="802"/>
      <c r="AM1" s="802"/>
    </row>
    <row r="2" spans="1:39">
      <c r="A2" s="1312"/>
      <c r="B2" s="1313"/>
      <c r="C2" s="1313"/>
      <c r="D2" s="1313"/>
      <c r="E2" s="1313"/>
      <c r="F2" s="1313"/>
      <c r="G2" s="1313"/>
      <c r="H2" s="1313"/>
      <c r="I2" s="1313"/>
      <c r="J2" s="1313"/>
      <c r="K2" s="1313"/>
      <c r="L2" s="1313"/>
      <c r="M2" s="1313"/>
      <c r="N2" s="802"/>
      <c r="O2" s="802"/>
      <c r="P2" s="1312"/>
      <c r="Q2" s="1313"/>
      <c r="R2" s="1313"/>
      <c r="S2" s="1313"/>
      <c r="T2" s="1313"/>
      <c r="U2" s="1313"/>
      <c r="V2" s="1313"/>
      <c r="W2" s="1313"/>
      <c r="X2" s="1313"/>
      <c r="Y2" s="1313"/>
      <c r="Z2" s="1313"/>
      <c r="AA2" s="1313"/>
      <c r="AB2" s="1313"/>
      <c r="AD2" s="802"/>
      <c r="AE2" s="802"/>
      <c r="AF2" s="802"/>
      <c r="AG2" s="802"/>
      <c r="AH2" s="802"/>
      <c r="AI2" s="802"/>
      <c r="AJ2" s="802"/>
      <c r="AK2" s="802"/>
      <c r="AL2" s="802"/>
      <c r="AM2" s="802"/>
    </row>
    <row r="4" spans="1:39" ht="14.65" customHeight="1">
      <c r="A4" s="1310" t="s">
        <v>713</v>
      </c>
      <c r="B4" s="1311"/>
      <c r="C4" s="1311"/>
      <c r="D4" s="1311"/>
      <c r="E4" s="1311"/>
      <c r="F4" s="1311"/>
      <c r="G4" s="1311"/>
      <c r="H4" s="1311"/>
      <c r="I4" s="1311"/>
      <c r="J4" s="1311"/>
      <c r="K4" s="1311"/>
      <c r="L4" s="1311"/>
      <c r="M4" s="1311"/>
      <c r="N4" s="802"/>
      <c r="O4" s="802"/>
      <c r="P4" s="1310" t="s">
        <v>767</v>
      </c>
      <c r="Q4" s="1311"/>
      <c r="R4" s="1311"/>
      <c r="S4" s="1311"/>
      <c r="T4" s="1311"/>
      <c r="U4" s="1311"/>
      <c r="V4" s="1311"/>
      <c r="W4" s="1311"/>
      <c r="X4" s="1311"/>
      <c r="Y4" s="1311"/>
      <c r="Z4" s="1311"/>
      <c r="AA4" s="1311"/>
      <c r="AB4" s="1311"/>
      <c r="AD4" s="802"/>
      <c r="AE4" s="802"/>
      <c r="AF4" s="802"/>
      <c r="AG4" s="802"/>
      <c r="AH4" s="802"/>
      <c r="AI4" s="802"/>
      <c r="AJ4" s="802"/>
      <c r="AK4" s="802"/>
      <c r="AL4" s="802"/>
      <c r="AM4" s="802"/>
    </row>
    <row r="5" spans="1:39">
      <c r="A5" s="1312"/>
      <c r="B5" s="1313"/>
      <c r="C5" s="1313"/>
      <c r="D5" s="1313"/>
      <c r="E5" s="1313"/>
      <c r="F5" s="1313"/>
      <c r="G5" s="1313"/>
      <c r="H5" s="1313"/>
      <c r="I5" s="1313"/>
      <c r="J5" s="1313"/>
      <c r="K5" s="1313"/>
      <c r="L5" s="1313"/>
      <c r="M5" s="1313"/>
      <c r="N5" s="802"/>
      <c r="O5" s="802"/>
      <c r="P5" s="1312"/>
      <c r="Q5" s="1313"/>
      <c r="R5" s="1313"/>
      <c r="S5" s="1313"/>
      <c r="T5" s="1313"/>
      <c r="U5" s="1313"/>
      <c r="V5" s="1313"/>
      <c r="W5" s="1313"/>
      <c r="X5" s="1313"/>
      <c r="Y5" s="1313"/>
      <c r="Z5" s="1313"/>
      <c r="AA5" s="1313"/>
      <c r="AB5" s="1313"/>
      <c r="AD5" s="802"/>
      <c r="AE5" s="802"/>
      <c r="AF5" s="802"/>
      <c r="AG5" s="802"/>
      <c r="AH5" s="802"/>
      <c r="AI5" s="802"/>
      <c r="AJ5" s="802"/>
      <c r="AK5" s="802"/>
      <c r="AL5" s="802"/>
      <c r="AM5" s="802"/>
    </row>
    <row r="7" spans="1:39">
      <c r="B7" s="797"/>
      <c r="C7" s="797"/>
      <c r="D7" s="797"/>
      <c r="E7" s="797"/>
      <c r="F7" s="797"/>
      <c r="G7" s="797"/>
      <c r="H7" s="797"/>
      <c r="I7" s="797"/>
      <c r="J7" s="797"/>
      <c r="K7" s="797"/>
      <c r="L7" s="251"/>
      <c r="M7" s="251"/>
      <c r="N7" s="251"/>
      <c r="O7" s="251"/>
    </row>
    <row r="8" spans="1:39">
      <c r="B8" s="797"/>
      <c r="C8" s="797"/>
      <c r="D8" s="797"/>
      <c r="E8" s="797"/>
      <c r="F8" s="797"/>
      <c r="G8" s="797"/>
      <c r="H8" s="797"/>
      <c r="I8" s="797"/>
      <c r="J8" s="797"/>
      <c r="K8" s="797"/>
      <c r="L8" s="251"/>
      <c r="M8" s="251"/>
      <c r="N8" s="251"/>
      <c r="O8" s="251"/>
    </row>
    <row r="9" spans="1:39">
      <c r="B9" s="797"/>
      <c r="C9" s="797"/>
      <c r="D9" s="797"/>
      <c r="E9" s="797"/>
      <c r="F9" s="797"/>
      <c r="G9" s="797"/>
      <c r="H9" s="797"/>
      <c r="I9" s="797"/>
      <c r="J9" s="797"/>
      <c r="K9" s="797"/>
      <c r="L9" s="251"/>
      <c r="M9" s="251"/>
      <c r="N9" s="251"/>
      <c r="O9" s="251"/>
    </row>
    <row r="10" spans="1:39">
      <c r="B10" s="803"/>
      <c r="C10" s="804"/>
      <c r="D10" s="804"/>
      <c r="E10" s="804"/>
      <c r="F10" s="804"/>
      <c r="G10" s="804"/>
      <c r="H10" s="804"/>
      <c r="I10" s="804"/>
      <c r="J10" s="804"/>
      <c r="K10" s="805"/>
      <c r="L10" s="251"/>
      <c r="M10" s="251"/>
      <c r="N10" s="251"/>
      <c r="O10" s="251"/>
      <c r="Q10" s="803"/>
      <c r="R10" s="804"/>
      <c r="S10" s="804"/>
      <c r="T10" s="804"/>
      <c r="U10" s="804"/>
      <c r="V10" s="804"/>
      <c r="W10" s="804"/>
      <c r="X10" s="804"/>
      <c r="Y10" s="804"/>
      <c r="Z10" s="805"/>
      <c r="AA10" s="251"/>
      <c r="AB10" s="251"/>
      <c r="AC10" s="251"/>
    </row>
    <row r="11" spans="1:39">
      <c r="B11" s="806"/>
      <c r="C11" s="251"/>
      <c r="D11" s="251"/>
      <c r="E11" s="251"/>
      <c r="F11" s="251"/>
      <c r="G11" s="251"/>
      <c r="H11" s="251"/>
      <c r="I11" s="251"/>
      <c r="J11" s="797"/>
      <c r="K11" s="807"/>
      <c r="L11" s="251"/>
      <c r="M11" s="251"/>
      <c r="N11" s="251"/>
      <c r="O11" s="251"/>
      <c r="Q11" s="806"/>
      <c r="R11" s="251"/>
      <c r="S11" s="251"/>
      <c r="T11" s="251"/>
      <c r="U11" s="251"/>
      <c r="V11" s="251"/>
      <c r="W11" s="251"/>
      <c r="X11" s="251"/>
      <c r="Y11" s="797"/>
      <c r="Z11" s="807"/>
      <c r="AA11" s="251"/>
      <c r="AB11" s="251"/>
      <c r="AC11" s="251"/>
    </row>
    <row r="12" spans="1:39" ht="56">
      <c r="B12" s="806"/>
      <c r="C12" s="797"/>
      <c r="D12" s="851" t="s">
        <v>204</v>
      </c>
      <c r="E12" s="851" t="s">
        <v>770</v>
      </c>
      <c r="F12" s="851" t="s">
        <v>771</v>
      </c>
      <c r="G12" s="851" t="s">
        <v>772</v>
      </c>
      <c r="H12" s="851" t="s">
        <v>773</v>
      </c>
      <c r="I12" s="851" t="s">
        <v>774</v>
      </c>
      <c r="J12" s="851" t="s">
        <v>775</v>
      </c>
      <c r="K12" s="807"/>
      <c r="L12" s="251"/>
      <c r="M12" s="251"/>
      <c r="N12" s="251"/>
      <c r="O12" s="251"/>
      <c r="Q12" s="806"/>
      <c r="R12" s="797"/>
      <c r="S12" s="851" t="s">
        <v>204</v>
      </c>
      <c r="T12" s="851" t="s">
        <v>714</v>
      </c>
      <c r="U12" s="851" t="s">
        <v>205</v>
      </c>
      <c r="V12" s="851" t="s">
        <v>206</v>
      </c>
      <c r="W12" s="851" t="s">
        <v>207</v>
      </c>
      <c r="X12" s="851" t="s">
        <v>208</v>
      </c>
      <c r="Y12" s="797"/>
      <c r="Z12" s="807"/>
      <c r="AA12" s="251"/>
      <c r="AB12" s="251"/>
      <c r="AC12" s="251"/>
    </row>
    <row r="13" spans="1:39">
      <c r="B13" s="806"/>
      <c r="C13" s="797"/>
      <c r="D13" s="852">
        <v>50</v>
      </c>
      <c r="E13" s="852">
        <v>300</v>
      </c>
      <c r="F13" s="853">
        <v>0</v>
      </c>
      <c r="G13" s="854">
        <f>F13/$F$25*100</f>
        <v>0</v>
      </c>
      <c r="H13" s="854">
        <f>100-G13</f>
        <v>100</v>
      </c>
      <c r="I13" s="854">
        <v>100</v>
      </c>
      <c r="J13" s="854">
        <v>100</v>
      </c>
      <c r="K13" s="807"/>
      <c r="L13" s="251"/>
      <c r="M13" s="251"/>
      <c r="N13" s="251"/>
      <c r="O13" s="251"/>
      <c r="Q13" s="806"/>
      <c r="R13" s="797"/>
      <c r="S13" s="852">
        <v>50</v>
      </c>
      <c r="T13" s="852">
        <v>300</v>
      </c>
      <c r="U13" s="853">
        <v>0</v>
      </c>
      <c r="V13" s="854">
        <f>U13/$F$25*100</f>
        <v>0</v>
      </c>
      <c r="W13" s="854">
        <f>100-V13</f>
        <v>100</v>
      </c>
      <c r="X13" s="854">
        <v>100</v>
      </c>
      <c r="Y13" s="797"/>
      <c r="Z13" s="807"/>
      <c r="AA13" s="251"/>
      <c r="AB13" s="251"/>
      <c r="AC13" s="251"/>
    </row>
    <row r="14" spans="1:39">
      <c r="B14" s="806"/>
      <c r="C14" s="797"/>
      <c r="D14" s="852">
        <v>70</v>
      </c>
      <c r="E14" s="852">
        <v>212</v>
      </c>
      <c r="F14" s="853">
        <v>0.6</v>
      </c>
      <c r="G14" s="854">
        <f t="shared" ref="G14:G24" si="0">F14/$F$25*100</f>
        <v>0.19913707268503153</v>
      </c>
      <c r="H14" s="854">
        <f>H13-G14</f>
        <v>99.800862927314967</v>
      </c>
      <c r="I14" s="854">
        <v>99.615858650178282</v>
      </c>
      <c r="J14" s="854">
        <v>99.962381984018606</v>
      </c>
      <c r="K14" s="807"/>
      <c r="L14" s="251"/>
      <c r="M14" s="251"/>
      <c r="N14" s="251"/>
      <c r="O14" s="251"/>
      <c r="Q14" s="806"/>
      <c r="R14" s="797"/>
      <c r="S14" s="852">
        <v>70</v>
      </c>
      <c r="T14" s="852">
        <v>212</v>
      </c>
      <c r="U14" s="853">
        <v>1.2</v>
      </c>
      <c r="V14" s="854">
        <f t="shared" ref="V14:V24" si="1">U14/$F$25*100</f>
        <v>0.39827414537006306</v>
      </c>
      <c r="W14" s="854">
        <f>W13-V14</f>
        <v>99.601725854629933</v>
      </c>
      <c r="X14" s="854">
        <v>99.710134582760517</v>
      </c>
      <c r="Y14" s="797"/>
      <c r="Z14" s="807"/>
      <c r="AA14" s="251"/>
      <c r="AB14" s="251"/>
      <c r="AC14" s="251"/>
    </row>
    <row r="15" spans="1:39">
      <c r="B15" s="806"/>
      <c r="C15" s="797"/>
      <c r="D15" s="852">
        <v>80</v>
      </c>
      <c r="E15" s="852">
        <v>180</v>
      </c>
      <c r="F15" s="853">
        <v>3.2</v>
      </c>
      <c r="G15" s="854">
        <f t="shared" si="0"/>
        <v>1.0620643876535016</v>
      </c>
      <c r="H15" s="854">
        <f t="shared" ref="H15:H16" si="2">H14-G15</f>
        <v>98.73879853966146</v>
      </c>
      <c r="I15" s="854">
        <v>98.480484511204352</v>
      </c>
      <c r="J15" s="854">
        <v>99.826217112510747</v>
      </c>
      <c r="K15" s="807"/>
      <c r="L15" s="251"/>
      <c r="M15" s="251"/>
      <c r="N15" s="251"/>
      <c r="O15" s="251"/>
      <c r="Q15" s="806"/>
      <c r="R15" s="797"/>
      <c r="S15" s="852">
        <v>80</v>
      </c>
      <c r="T15" s="852">
        <v>180</v>
      </c>
      <c r="U15" s="853">
        <v>1.5</v>
      </c>
      <c r="V15" s="854">
        <f t="shared" si="1"/>
        <v>0.49784268171257884</v>
      </c>
      <c r="W15" s="854">
        <f t="shared" ref="W15:W16" si="3">W14-V15</f>
        <v>99.103883172917349</v>
      </c>
      <c r="X15" s="854">
        <v>99.212435484725944</v>
      </c>
      <c r="Y15" s="797"/>
      <c r="Z15" s="807"/>
      <c r="AA15" s="251"/>
      <c r="AB15" s="251"/>
      <c r="AC15" s="251"/>
    </row>
    <row r="16" spans="1:39">
      <c r="B16" s="806"/>
      <c r="C16" s="797"/>
      <c r="D16" s="852">
        <v>100</v>
      </c>
      <c r="E16" s="852">
        <v>150</v>
      </c>
      <c r="F16" s="853">
        <v>7.6</v>
      </c>
      <c r="G16" s="854">
        <f t="shared" si="0"/>
        <v>2.5224029206770657</v>
      </c>
      <c r="H16" s="854">
        <f t="shared" si="2"/>
        <v>96.216395618984393</v>
      </c>
      <c r="I16" s="854">
        <v>96.76267603483447</v>
      </c>
      <c r="J16" s="854">
        <v>99.436632468304396</v>
      </c>
      <c r="K16" s="807"/>
      <c r="L16" s="251"/>
      <c r="M16" s="251"/>
      <c r="N16" s="251"/>
      <c r="O16" s="251"/>
      <c r="Q16" s="806"/>
      <c r="R16" s="797"/>
      <c r="S16" s="852">
        <v>100</v>
      </c>
      <c r="T16" s="852">
        <v>150</v>
      </c>
      <c r="U16" s="853">
        <v>2</v>
      </c>
      <c r="V16" s="854">
        <f t="shared" si="1"/>
        <v>0.66379024228343841</v>
      </c>
      <c r="W16" s="854">
        <f t="shared" si="3"/>
        <v>98.440092930633909</v>
      </c>
      <c r="X16" s="854">
        <v>98.339991245319169</v>
      </c>
      <c r="Y16" s="797"/>
      <c r="Z16" s="807"/>
      <c r="AA16" s="251"/>
      <c r="AB16" s="251"/>
      <c r="AC16" s="251"/>
    </row>
    <row r="17" spans="2:29">
      <c r="B17" s="806"/>
      <c r="C17" s="797"/>
      <c r="D17" s="852">
        <v>140</v>
      </c>
      <c r="E17" s="852">
        <v>106</v>
      </c>
      <c r="F17" s="853">
        <v>10.4</v>
      </c>
      <c r="G17" s="854">
        <f t="shared" si="0"/>
        <v>3.4517092598738799</v>
      </c>
      <c r="H17" s="854">
        <f>H16-G17</f>
        <v>92.764686359110513</v>
      </c>
      <c r="I17" s="854">
        <v>92.694148843089323</v>
      </c>
      <c r="J17" s="854">
        <v>97.419910070153435</v>
      </c>
      <c r="K17" s="808"/>
      <c r="L17" s="251"/>
      <c r="M17" s="251"/>
      <c r="N17" s="251"/>
      <c r="O17" s="251"/>
      <c r="Q17" s="806"/>
      <c r="R17" s="797"/>
      <c r="S17" s="852">
        <v>140</v>
      </c>
      <c r="T17" s="852">
        <v>106</v>
      </c>
      <c r="U17" s="853">
        <v>6.4</v>
      </c>
      <c r="V17" s="854">
        <f t="shared" si="1"/>
        <v>2.1241287753070033</v>
      </c>
      <c r="W17" s="854">
        <f>W16-V17</f>
        <v>96.31596415532691</v>
      </c>
      <c r="X17" s="854">
        <v>95.739144173340847</v>
      </c>
      <c r="Y17" s="251"/>
      <c r="Z17" s="808"/>
      <c r="AA17" s="251"/>
      <c r="AB17" s="251"/>
      <c r="AC17" s="251"/>
    </row>
    <row r="18" spans="2:29">
      <c r="B18" s="806"/>
      <c r="C18" s="797"/>
      <c r="D18" s="852">
        <v>200</v>
      </c>
      <c r="E18" s="852">
        <v>75</v>
      </c>
      <c r="F18" s="853">
        <v>14</v>
      </c>
      <c r="G18" s="854">
        <f t="shared" si="0"/>
        <v>4.6465316959840681</v>
      </c>
      <c r="H18" s="854">
        <f t="shared" ref="H18:H24" si="4">H17-G18</f>
        <v>88.118154663126447</v>
      </c>
      <c r="I18" s="854">
        <v>88.068295795489817</v>
      </c>
      <c r="J18" s="854">
        <v>92.785975925960145</v>
      </c>
      <c r="K18" s="808"/>
      <c r="L18" s="251"/>
      <c r="M18" s="251"/>
      <c r="N18" s="251"/>
      <c r="O18" s="251"/>
      <c r="Q18" s="806"/>
      <c r="R18" s="797"/>
      <c r="S18" s="852">
        <v>200</v>
      </c>
      <c r="T18" s="852">
        <v>75</v>
      </c>
      <c r="U18" s="853">
        <v>10.6</v>
      </c>
      <c r="V18" s="854">
        <f t="shared" si="1"/>
        <v>3.5180882841022236</v>
      </c>
      <c r="W18" s="854">
        <f t="shared" ref="W18:W24" si="5">W17-V18</f>
        <v>92.79787587122469</v>
      </c>
      <c r="X18" s="854">
        <v>92.003188628683887</v>
      </c>
      <c r="Y18" s="251"/>
      <c r="Z18" s="808"/>
      <c r="AA18" s="251"/>
      <c r="AB18" s="251"/>
      <c r="AC18" s="251"/>
    </row>
    <row r="19" spans="2:29">
      <c r="B19" s="806"/>
      <c r="C19" s="797"/>
      <c r="D19" s="852">
        <v>270</v>
      </c>
      <c r="E19" s="852">
        <v>53</v>
      </c>
      <c r="F19" s="853">
        <v>13.6</v>
      </c>
      <c r="G19" s="854">
        <f t="shared" si="0"/>
        <v>4.5137736475273815</v>
      </c>
      <c r="H19" s="854">
        <f t="shared" si="4"/>
        <v>83.60438101559906</v>
      </c>
      <c r="I19" s="854">
        <v>83.198619569739762</v>
      </c>
      <c r="J19" s="854">
        <v>84.830145461281916</v>
      </c>
      <c r="K19" s="808"/>
      <c r="L19" s="251"/>
      <c r="M19" s="251"/>
      <c r="N19" s="251"/>
      <c r="O19" s="251"/>
      <c r="Q19" s="806"/>
      <c r="R19" s="797"/>
      <c r="S19" s="852">
        <v>270</v>
      </c>
      <c r="T19" s="852">
        <v>53</v>
      </c>
      <c r="U19" s="853">
        <v>12.9</v>
      </c>
      <c r="V19" s="854">
        <f t="shared" si="1"/>
        <v>4.2814470627281773</v>
      </c>
      <c r="W19" s="854">
        <f t="shared" si="5"/>
        <v>88.516428808496514</v>
      </c>
      <c r="X19" s="854">
        <v>87.304289099706281</v>
      </c>
      <c r="Y19" s="251"/>
      <c r="Z19" s="808"/>
      <c r="AA19" s="251"/>
      <c r="AB19" s="251"/>
      <c r="AC19" s="251"/>
    </row>
    <row r="20" spans="2:29">
      <c r="B20" s="806"/>
      <c r="C20" s="797"/>
      <c r="D20" s="852">
        <v>325</v>
      </c>
      <c r="E20" s="852">
        <v>45</v>
      </c>
      <c r="F20" s="853">
        <v>8.6999999999999993</v>
      </c>
      <c r="G20" s="854">
        <f t="shared" si="0"/>
        <v>2.887487553932957</v>
      </c>
      <c r="H20" s="854">
        <f t="shared" si="4"/>
        <v>80.716893461666103</v>
      </c>
      <c r="I20" s="854">
        <v>80.890291366085037</v>
      </c>
      <c r="J20" s="854">
        <v>80</v>
      </c>
      <c r="K20" s="808"/>
      <c r="L20" s="251"/>
      <c r="M20" s="251"/>
      <c r="N20" s="251"/>
      <c r="O20" s="251"/>
      <c r="Q20" s="806"/>
      <c r="R20" s="797"/>
      <c r="S20" s="852">
        <v>325</v>
      </c>
      <c r="T20" s="852">
        <v>45</v>
      </c>
      <c r="U20" s="853">
        <v>7.1</v>
      </c>
      <c r="V20" s="854">
        <f t="shared" si="1"/>
        <v>2.3564553601062062</v>
      </c>
      <c r="W20" s="854">
        <f t="shared" si="5"/>
        <v>86.159973448390303</v>
      </c>
      <c r="X20" s="854">
        <v>84.835094733498167</v>
      </c>
      <c r="Y20" s="251"/>
      <c r="Z20" s="808"/>
      <c r="AA20" s="251"/>
      <c r="AB20" s="251"/>
      <c r="AC20" s="251"/>
    </row>
    <row r="21" spans="2:29">
      <c r="B21" s="806"/>
      <c r="C21" s="797"/>
      <c r="D21" s="852">
        <v>400</v>
      </c>
      <c r="E21" s="852">
        <v>38</v>
      </c>
      <c r="F21" s="853">
        <v>7.2</v>
      </c>
      <c r="G21" s="854">
        <f t="shared" si="0"/>
        <v>2.3896448722203782</v>
      </c>
      <c r="H21" s="854">
        <f t="shared" si="4"/>
        <v>78.32724858944573</v>
      </c>
      <c r="I21" s="854">
        <v>78.520957785326274</v>
      </c>
      <c r="J21" s="854">
        <v>74.453734099672531</v>
      </c>
      <c r="K21" s="808"/>
      <c r="L21" s="251"/>
      <c r="M21" s="251"/>
      <c r="N21" s="251"/>
      <c r="O21" s="251"/>
      <c r="Q21" s="806"/>
      <c r="R21" s="797"/>
      <c r="S21" s="852">
        <v>400</v>
      </c>
      <c r="T21" s="852">
        <v>38</v>
      </c>
      <c r="U21" s="853">
        <v>8.8000000000000007</v>
      </c>
      <c r="V21" s="854">
        <f t="shared" si="1"/>
        <v>2.9206770660471291</v>
      </c>
      <c r="W21" s="854">
        <f t="shared" si="5"/>
        <v>83.23929638234317</v>
      </c>
      <c r="X21" s="854">
        <v>82.155997619666621</v>
      </c>
      <c r="Y21" s="251"/>
      <c r="Z21" s="808"/>
      <c r="AA21" s="251"/>
      <c r="AB21" s="251"/>
      <c r="AC21" s="251"/>
    </row>
    <row r="22" spans="2:29">
      <c r="B22" s="806"/>
      <c r="C22" s="797"/>
      <c r="D22" s="852">
        <v>500</v>
      </c>
      <c r="E22" s="852">
        <v>25</v>
      </c>
      <c r="F22" s="853">
        <v>16.5</v>
      </c>
      <c r="G22" s="854">
        <f t="shared" si="0"/>
        <v>5.4762694988383664</v>
      </c>
      <c r="H22" s="854">
        <f t="shared" si="4"/>
        <v>72.850979090607368</v>
      </c>
      <c r="I22" s="854">
        <v>72.804764416926787</v>
      </c>
      <c r="J22" s="854">
        <v>59.552539741898372</v>
      </c>
      <c r="K22" s="808"/>
      <c r="L22" s="251"/>
      <c r="M22" s="251"/>
      <c r="N22" s="251"/>
      <c r="O22" s="251"/>
      <c r="Q22" s="806"/>
      <c r="R22" s="797"/>
      <c r="S22" s="852">
        <v>500</v>
      </c>
      <c r="T22" s="852">
        <v>25</v>
      </c>
      <c r="U22" s="853">
        <v>17.8</v>
      </c>
      <c r="V22" s="854">
        <f t="shared" si="1"/>
        <v>5.9077331563226014</v>
      </c>
      <c r="W22" s="854">
        <f t="shared" si="5"/>
        <v>77.331563226020563</v>
      </c>
      <c r="X22" s="854">
        <v>75.169879914987774</v>
      </c>
      <c r="Y22" s="251"/>
      <c r="Z22" s="808"/>
      <c r="AA22" s="251"/>
      <c r="AB22" s="251"/>
      <c r="AC22" s="251"/>
    </row>
    <row r="23" spans="2:29">
      <c r="B23" s="806"/>
      <c r="C23" s="797"/>
      <c r="D23" s="852">
        <v>635</v>
      </c>
      <c r="E23" s="852">
        <v>20</v>
      </c>
      <c r="F23" s="853">
        <v>9</v>
      </c>
      <c r="G23" s="854">
        <f t="shared" si="0"/>
        <v>2.9870560902754728</v>
      </c>
      <c r="H23" s="854">
        <f t="shared" si="4"/>
        <v>69.863923000331894</v>
      </c>
      <c r="I23" s="854">
        <v>69.882365679598664</v>
      </c>
      <c r="J23" s="854">
        <v>51.73065134529444</v>
      </c>
      <c r="K23" s="808"/>
      <c r="L23" s="251"/>
      <c r="M23" s="251"/>
      <c r="N23" s="251"/>
      <c r="O23" s="251"/>
      <c r="Q23" s="806"/>
      <c r="R23" s="797"/>
      <c r="S23" s="852">
        <v>635</v>
      </c>
      <c r="T23" s="852">
        <v>20</v>
      </c>
      <c r="U23" s="853">
        <v>10.199999999999999</v>
      </c>
      <c r="V23" s="854">
        <f t="shared" si="1"/>
        <v>3.3853302356455353</v>
      </c>
      <c r="W23" s="854">
        <f t="shared" si="5"/>
        <v>73.946232990375023</v>
      </c>
      <c r="X23" s="854">
        <v>71.361755476878258</v>
      </c>
      <c r="Y23" s="251"/>
      <c r="Z23" s="808"/>
      <c r="AA23" s="251"/>
      <c r="AB23" s="251"/>
      <c r="AC23" s="251"/>
    </row>
    <row r="24" spans="2:29">
      <c r="B24" s="806"/>
      <c r="C24" s="797"/>
      <c r="D24" s="855" t="s">
        <v>622</v>
      </c>
      <c r="E24" s="852">
        <v>0</v>
      </c>
      <c r="F24" s="853">
        <v>210.5</v>
      </c>
      <c r="G24" s="854">
        <f t="shared" si="0"/>
        <v>69.863923000331894</v>
      </c>
      <c r="H24" s="854">
        <f t="shared" si="4"/>
        <v>0</v>
      </c>
      <c r="I24" s="854">
        <v>0</v>
      </c>
      <c r="J24" s="854">
        <v>0</v>
      </c>
      <c r="K24" s="808"/>
      <c r="L24" s="251"/>
      <c r="M24" s="251"/>
      <c r="N24" s="251"/>
      <c r="O24" s="251"/>
      <c r="Q24" s="806"/>
      <c r="R24" s="797"/>
      <c r="S24" s="855" t="s">
        <v>622</v>
      </c>
      <c r="T24" s="852">
        <v>0</v>
      </c>
      <c r="U24" s="853">
        <v>197</v>
      </c>
      <c r="V24" s="854">
        <f t="shared" si="1"/>
        <v>65.383338864918684</v>
      </c>
      <c r="W24" s="854">
        <f t="shared" si="5"/>
        <v>8.5628941254563387</v>
      </c>
      <c r="X24" s="854">
        <v>0</v>
      </c>
      <c r="Y24" s="251"/>
      <c r="Z24" s="808"/>
      <c r="AA24" s="251"/>
      <c r="AB24" s="251"/>
      <c r="AC24" s="251"/>
    </row>
    <row r="25" spans="2:29">
      <c r="B25" s="809"/>
      <c r="C25" s="251"/>
      <c r="D25" s="251"/>
      <c r="E25" s="856" t="s">
        <v>30</v>
      </c>
      <c r="F25" s="857">
        <f>SUM(F13:F24)</f>
        <v>301.3</v>
      </c>
      <c r="G25" s="858">
        <f>SUM(G13:G24)</f>
        <v>100</v>
      </c>
      <c r="H25" s="799"/>
      <c r="I25" s="799"/>
      <c r="J25" s="251"/>
      <c r="K25" s="808"/>
      <c r="L25" s="251"/>
      <c r="M25" s="251"/>
      <c r="N25" s="251"/>
      <c r="O25" s="251"/>
      <c r="Q25" s="809"/>
      <c r="R25" s="251"/>
      <c r="S25" s="251"/>
      <c r="T25" s="856" t="s">
        <v>30</v>
      </c>
      <c r="U25" s="857">
        <f>SUM(U13:U24)</f>
        <v>275.5</v>
      </c>
      <c r="V25" s="858">
        <f>SUM(V13:V24)</f>
        <v>91.437105874543647</v>
      </c>
      <c r="W25" s="799"/>
      <c r="X25" s="799"/>
      <c r="Y25" s="251"/>
      <c r="Z25" s="808"/>
      <c r="AA25" s="251"/>
      <c r="AB25" s="251"/>
      <c r="AC25" s="251"/>
    </row>
    <row r="26" spans="2:29">
      <c r="B26" s="809"/>
      <c r="C26" s="251"/>
      <c r="D26" s="251"/>
      <c r="E26" s="251"/>
      <c r="F26" s="251"/>
      <c r="G26" s="251"/>
      <c r="H26" s="251"/>
      <c r="I26" s="251"/>
      <c r="J26" s="251"/>
      <c r="K26" s="808"/>
      <c r="L26" s="251"/>
      <c r="M26" s="251"/>
      <c r="N26" s="251"/>
      <c r="O26" s="251"/>
      <c r="Q26" s="809"/>
      <c r="R26" s="251"/>
      <c r="S26" s="251"/>
      <c r="T26" s="251"/>
      <c r="U26" s="251"/>
      <c r="V26" s="251"/>
      <c r="W26" s="251"/>
      <c r="X26" s="251"/>
      <c r="Y26" s="251"/>
      <c r="Z26" s="808"/>
      <c r="AA26" s="251"/>
      <c r="AB26" s="251"/>
      <c r="AC26" s="251"/>
    </row>
    <row r="27" spans="2:29">
      <c r="B27" s="809"/>
      <c r="C27" s="251"/>
      <c r="D27" s="251"/>
      <c r="E27" s="251"/>
      <c r="F27" s="251"/>
      <c r="G27" s="251"/>
      <c r="H27" s="856"/>
      <c r="I27" s="859" t="s">
        <v>715</v>
      </c>
      <c r="J27" s="859" t="s">
        <v>716</v>
      </c>
      <c r="K27" s="808"/>
      <c r="L27" s="251"/>
      <c r="M27" s="251"/>
      <c r="N27" s="251"/>
      <c r="O27" s="251"/>
      <c r="Q27" s="809"/>
      <c r="R27" s="251"/>
      <c r="S27" s="251"/>
      <c r="T27" s="251"/>
      <c r="U27" s="251"/>
      <c r="V27" s="251"/>
      <c r="W27" s="856"/>
      <c r="X27" s="859" t="s">
        <v>210</v>
      </c>
      <c r="Y27" s="251"/>
      <c r="Z27" s="808"/>
      <c r="AA27" s="251"/>
      <c r="AB27" s="251"/>
      <c r="AC27" s="251"/>
    </row>
    <row r="28" spans="2:29">
      <c r="B28" s="809"/>
      <c r="C28" s="810"/>
      <c r="D28" s="251"/>
      <c r="E28" s="251"/>
      <c r="F28" s="798"/>
      <c r="G28" s="251"/>
      <c r="H28" s="860" t="s">
        <v>295</v>
      </c>
      <c r="I28" s="861">
        <v>236.36016732602877</v>
      </c>
      <c r="J28" s="852">
        <v>290</v>
      </c>
      <c r="K28" s="808"/>
      <c r="L28" s="251"/>
      <c r="M28" s="251"/>
      <c r="N28" s="251"/>
      <c r="O28" s="251"/>
      <c r="Q28" s="809"/>
      <c r="R28" s="810"/>
      <c r="S28" s="251"/>
      <c r="T28" s="251"/>
      <c r="U28" s="798"/>
      <c r="V28" s="251"/>
      <c r="W28" s="860" t="s">
        <v>717</v>
      </c>
      <c r="X28" s="861">
        <v>281.67195308173785</v>
      </c>
      <c r="Y28" s="251"/>
      <c r="Z28" s="808"/>
      <c r="AA28" s="251"/>
      <c r="AB28" s="251"/>
      <c r="AC28" s="251"/>
    </row>
    <row r="29" spans="2:29">
      <c r="B29" s="809"/>
      <c r="C29" s="811"/>
      <c r="D29" s="251"/>
      <c r="E29" s="251"/>
      <c r="F29" s="251"/>
      <c r="G29" s="251"/>
      <c r="H29" s="860" t="s">
        <v>296</v>
      </c>
      <c r="I29" s="861">
        <v>42.238112653321537</v>
      </c>
      <c r="J29" s="852">
        <v>45</v>
      </c>
      <c r="K29" s="808"/>
      <c r="L29" s="251"/>
      <c r="M29" s="251"/>
      <c r="N29" s="251"/>
      <c r="O29" s="251"/>
      <c r="Q29" s="809"/>
      <c r="R29" s="811"/>
      <c r="S29" s="251"/>
      <c r="T29" s="251"/>
      <c r="U29" s="251"/>
      <c r="V29" s="251"/>
      <c r="W29" s="860" t="s">
        <v>718</v>
      </c>
      <c r="X29" s="861">
        <v>33.31052576084668</v>
      </c>
      <c r="Y29" s="251"/>
      <c r="Z29" s="808"/>
      <c r="AA29" s="251"/>
      <c r="AB29" s="251"/>
      <c r="AC29" s="251"/>
    </row>
    <row r="30" spans="2:29">
      <c r="B30" s="809"/>
      <c r="C30" s="811"/>
      <c r="D30" s="251"/>
      <c r="E30" s="251"/>
      <c r="F30" s="251"/>
      <c r="G30" s="251"/>
      <c r="H30" s="860" t="s">
        <v>297</v>
      </c>
      <c r="I30" s="861">
        <v>3.1697204648825292</v>
      </c>
      <c r="J30" s="852">
        <v>19</v>
      </c>
      <c r="K30" s="808"/>
      <c r="L30" s="251"/>
      <c r="M30" s="251"/>
      <c r="N30" s="251"/>
      <c r="O30" s="251"/>
      <c r="Q30" s="809"/>
      <c r="R30" s="811"/>
      <c r="S30" s="251"/>
      <c r="T30" s="251"/>
      <c r="U30" s="251"/>
      <c r="V30" s="251"/>
      <c r="W30" s="860" t="s">
        <v>719</v>
      </c>
      <c r="X30" s="861">
        <v>5.1643918458165654</v>
      </c>
      <c r="Y30" s="251"/>
      <c r="Z30" s="808"/>
      <c r="AA30" s="251"/>
      <c r="AB30" s="251"/>
      <c r="AC30" s="251"/>
    </row>
    <row r="31" spans="2:29">
      <c r="B31" s="809"/>
      <c r="C31" s="811"/>
      <c r="D31" s="251"/>
      <c r="E31" s="251"/>
      <c r="F31" s="798"/>
      <c r="G31" s="251"/>
      <c r="H31" s="251"/>
      <c r="I31" s="251"/>
      <c r="J31" s="251"/>
      <c r="K31" s="808"/>
      <c r="L31" s="251"/>
      <c r="M31" s="251"/>
      <c r="N31" s="251"/>
      <c r="O31" s="251"/>
      <c r="Q31" s="809"/>
      <c r="R31" s="811"/>
      <c r="S31" s="251"/>
      <c r="T31" s="251"/>
      <c r="U31" s="798"/>
      <c r="V31" s="251"/>
      <c r="W31" s="251"/>
      <c r="X31" s="251"/>
      <c r="Y31" s="251"/>
      <c r="Z31" s="808"/>
      <c r="AA31" s="251"/>
      <c r="AB31" s="251"/>
      <c r="AC31" s="251"/>
    </row>
    <row r="32" spans="2:29">
      <c r="B32" s="809"/>
      <c r="C32" s="811"/>
      <c r="D32" s="251"/>
      <c r="E32" s="251"/>
      <c r="F32" s="251"/>
      <c r="G32" s="251"/>
      <c r="H32" s="251"/>
      <c r="I32" s="251"/>
      <c r="J32" s="251"/>
      <c r="K32" s="808"/>
      <c r="L32" s="251"/>
      <c r="M32" s="812" t="s">
        <v>720</v>
      </c>
      <c r="N32" s="813">
        <f>SUMXMY2(H13:H24,I13:I24)</f>
        <v>0.6415448256997186</v>
      </c>
      <c r="O32" s="251"/>
      <c r="Q32" s="809"/>
      <c r="R32" s="811"/>
      <c r="S32" s="251"/>
      <c r="T32" s="251"/>
      <c r="U32" s="251"/>
      <c r="V32" s="251"/>
      <c r="W32" s="251"/>
      <c r="X32" s="251"/>
      <c r="Y32" s="251"/>
      <c r="Z32" s="808"/>
      <c r="AA32" s="251"/>
      <c r="AB32" s="812" t="s">
        <v>720</v>
      </c>
      <c r="AC32" s="862">
        <f>SUMXMY2(W13:W24,X13:X24)</f>
        <v>90.071482559971855</v>
      </c>
    </row>
    <row r="33" spans="2:29" ht="15" thickBot="1">
      <c r="B33" s="809"/>
      <c r="C33" s="811"/>
      <c r="D33" s="814"/>
      <c r="E33" s="814"/>
      <c r="F33" s="815"/>
      <c r="G33" s="814"/>
      <c r="H33" s="816"/>
      <c r="I33" s="814"/>
      <c r="J33" s="251"/>
      <c r="K33" s="808"/>
      <c r="L33" s="251"/>
      <c r="M33" s="251"/>
      <c r="N33" s="251"/>
      <c r="O33" s="251"/>
      <c r="Q33" s="809"/>
      <c r="R33" s="811"/>
      <c r="S33" s="814"/>
      <c r="T33" s="814"/>
      <c r="U33" s="815"/>
      <c r="V33" s="814"/>
      <c r="W33" s="816"/>
      <c r="X33" s="814"/>
      <c r="Y33" s="251"/>
      <c r="Z33" s="808"/>
      <c r="AA33" s="251"/>
      <c r="AB33" s="251"/>
      <c r="AC33" s="251"/>
    </row>
    <row r="34" spans="2:29" ht="15" thickTop="1">
      <c r="B34" s="809"/>
      <c r="C34" s="811"/>
      <c r="D34" s="811"/>
      <c r="E34" s="811"/>
      <c r="F34" s="811"/>
      <c r="G34" s="811"/>
      <c r="H34" s="811"/>
      <c r="I34" s="251"/>
      <c r="J34" s="251"/>
      <c r="K34" s="808"/>
      <c r="L34" s="251"/>
      <c r="M34" s="251"/>
      <c r="N34" s="251"/>
      <c r="O34" s="251"/>
      <c r="Q34" s="809"/>
      <c r="R34" s="811"/>
      <c r="S34" s="811"/>
      <c r="T34" s="811"/>
      <c r="U34" s="811"/>
      <c r="V34" s="811"/>
      <c r="W34" s="811"/>
      <c r="X34" s="251"/>
      <c r="Y34" s="251"/>
      <c r="Z34" s="808"/>
      <c r="AA34" s="251"/>
      <c r="AB34" s="251"/>
      <c r="AC34" s="251"/>
    </row>
    <row r="35" spans="2:29">
      <c r="B35" s="809"/>
      <c r="C35" s="811"/>
      <c r="D35" s="251"/>
      <c r="E35" s="251"/>
      <c r="F35" s="251"/>
      <c r="G35" s="251"/>
      <c r="H35" s="251"/>
      <c r="I35" s="251"/>
      <c r="J35" s="251"/>
      <c r="K35" s="808"/>
      <c r="L35" s="817"/>
      <c r="M35" s="251"/>
      <c r="N35" s="251"/>
      <c r="O35" s="251"/>
      <c r="Q35" s="809"/>
      <c r="R35" s="811"/>
      <c r="S35" s="251"/>
      <c r="T35" s="251"/>
      <c r="U35" s="251"/>
      <c r="V35" s="251"/>
      <c r="W35" s="251"/>
      <c r="X35" s="251"/>
      <c r="Y35" s="251"/>
      <c r="Z35" s="808"/>
      <c r="AA35" s="817"/>
      <c r="AB35" s="251"/>
      <c r="AC35" s="251"/>
    </row>
    <row r="36" spans="2:29">
      <c r="B36" s="809"/>
      <c r="C36" s="811"/>
      <c r="D36" s="251"/>
      <c r="E36" s="251"/>
      <c r="F36" s="251"/>
      <c r="G36" s="251"/>
      <c r="H36" s="251"/>
      <c r="I36" s="251"/>
      <c r="J36" s="251"/>
      <c r="K36" s="808"/>
      <c r="L36" s="251"/>
      <c r="M36" s="251"/>
      <c r="N36" s="251"/>
      <c r="O36" s="251"/>
      <c r="Q36" s="809"/>
      <c r="R36" s="811"/>
      <c r="S36" s="251"/>
      <c r="T36" s="251"/>
      <c r="U36" s="251"/>
      <c r="V36" s="251"/>
      <c r="W36" s="251"/>
      <c r="X36" s="251"/>
      <c r="Y36" s="251"/>
      <c r="Z36" s="808"/>
      <c r="AA36" s="251"/>
      <c r="AB36" s="251"/>
      <c r="AC36" s="251"/>
    </row>
    <row r="37" spans="2:29">
      <c r="B37" s="809"/>
      <c r="C37" s="811"/>
      <c r="D37" s="251"/>
      <c r="E37" s="818"/>
      <c r="F37" s="251"/>
      <c r="G37" s="251"/>
      <c r="H37" s="251"/>
      <c r="I37" s="251"/>
      <c r="J37" s="251"/>
      <c r="K37" s="808"/>
      <c r="L37" s="251"/>
      <c r="M37" s="251"/>
      <c r="N37" s="251"/>
      <c r="O37" s="251"/>
      <c r="Q37" s="809"/>
      <c r="R37" s="811"/>
      <c r="S37" s="251"/>
      <c r="T37" s="818"/>
      <c r="U37" s="251"/>
      <c r="V37" s="251"/>
      <c r="W37" s="251"/>
      <c r="X37" s="251"/>
      <c r="Y37" s="251"/>
      <c r="Z37" s="808"/>
      <c r="AA37" s="251"/>
      <c r="AB37" s="251"/>
      <c r="AC37" s="251"/>
    </row>
    <row r="38" spans="2:29">
      <c r="B38" s="809"/>
      <c r="C38" s="811"/>
      <c r="D38" s="819"/>
      <c r="E38" s="819"/>
      <c r="F38" s="820"/>
      <c r="G38" s="820"/>
      <c r="H38" s="820"/>
      <c r="I38" s="820"/>
      <c r="J38" s="251"/>
      <c r="K38" s="821"/>
      <c r="L38" s="822"/>
      <c r="M38" s="822"/>
      <c r="N38" s="822"/>
      <c r="O38" s="822"/>
      <c r="Q38" s="809"/>
      <c r="R38" s="811"/>
      <c r="S38" s="819"/>
      <c r="T38" s="819"/>
      <c r="U38" s="820"/>
      <c r="V38" s="820"/>
      <c r="W38" s="820"/>
      <c r="X38" s="820"/>
      <c r="Y38" s="251"/>
      <c r="Z38" s="821"/>
      <c r="AA38" s="822"/>
      <c r="AB38" s="822"/>
      <c r="AC38" s="822"/>
    </row>
    <row r="39" spans="2:29">
      <c r="B39" s="809"/>
      <c r="C39" s="811"/>
      <c r="D39" s="251"/>
      <c r="E39" s="251"/>
      <c r="F39" s="798"/>
      <c r="G39" s="799"/>
      <c r="H39" s="799"/>
      <c r="I39" s="799"/>
      <c r="J39" s="251"/>
      <c r="K39" s="823"/>
      <c r="L39" s="811"/>
      <c r="M39" s="811"/>
      <c r="N39" s="811"/>
      <c r="O39" s="811"/>
      <c r="Q39" s="809"/>
      <c r="R39" s="811"/>
      <c r="S39" s="251"/>
      <c r="T39" s="251"/>
      <c r="U39" s="798"/>
      <c r="V39" s="799"/>
      <c r="W39" s="799"/>
      <c r="X39" s="799"/>
      <c r="Y39" s="251"/>
      <c r="Z39" s="823"/>
      <c r="AA39" s="811"/>
      <c r="AB39" s="811"/>
      <c r="AC39" s="811"/>
    </row>
    <row r="40" spans="2:29">
      <c r="B40" s="809"/>
      <c r="C40" s="251"/>
      <c r="D40" s="251"/>
      <c r="E40" s="251"/>
      <c r="F40" s="798"/>
      <c r="G40" s="799"/>
      <c r="H40" s="799"/>
      <c r="I40" s="799"/>
      <c r="J40" s="251"/>
      <c r="K40" s="823"/>
      <c r="L40" s="811"/>
      <c r="M40" s="811"/>
      <c r="N40" s="811"/>
      <c r="O40" s="811"/>
      <c r="Q40" s="809"/>
      <c r="R40" s="251"/>
      <c r="S40" s="251"/>
      <c r="T40" s="251"/>
      <c r="U40" s="798"/>
      <c r="V40" s="799"/>
      <c r="W40" s="799"/>
      <c r="X40" s="799"/>
      <c r="Y40" s="251"/>
      <c r="Z40" s="823"/>
      <c r="AA40" s="811"/>
      <c r="AB40" s="811"/>
      <c r="AC40" s="811"/>
    </row>
    <row r="41" spans="2:29">
      <c r="B41" s="809"/>
      <c r="C41" s="251"/>
      <c r="D41" s="251"/>
      <c r="E41" s="251"/>
      <c r="F41" s="798"/>
      <c r="G41" s="799"/>
      <c r="H41" s="799"/>
      <c r="I41" s="799"/>
      <c r="J41" s="251"/>
      <c r="K41" s="823"/>
      <c r="L41" s="811"/>
      <c r="M41" s="811"/>
      <c r="N41" s="811"/>
      <c r="O41" s="811"/>
      <c r="Q41" s="809"/>
      <c r="R41" s="251"/>
      <c r="S41" s="251"/>
      <c r="T41" s="251"/>
      <c r="U41" s="798"/>
      <c r="V41" s="799"/>
      <c r="W41" s="799"/>
      <c r="X41" s="799"/>
      <c r="Y41" s="251"/>
      <c r="Z41" s="823"/>
      <c r="AA41" s="811"/>
      <c r="AB41" s="811"/>
      <c r="AC41" s="811"/>
    </row>
    <row r="42" spans="2:29">
      <c r="B42" s="809"/>
      <c r="C42" s="251"/>
      <c r="D42" s="251"/>
      <c r="E42" s="251"/>
      <c r="F42" s="798"/>
      <c r="G42" s="799"/>
      <c r="H42" s="799"/>
      <c r="I42" s="799"/>
      <c r="J42" s="251"/>
      <c r="K42" s="823"/>
      <c r="L42" s="811"/>
      <c r="M42" s="811"/>
      <c r="N42" s="811"/>
      <c r="O42" s="811"/>
      <c r="Q42" s="809"/>
      <c r="R42" s="251"/>
      <c r="S42" s="251"/>
      <c r="T42" s="251"/>
      <c r="U42" s="798"/>
      <c r="V42" s="799"/>
      <c r="W42" s="799"/>
      <c r="X42" s="799"/>
      <c r="Y42" s="251"/>
      <c r="Z42" s="823"/>
      <c r="AA42" s="811"/>
      <c r="AB42" s="811"/>
      <c r="AC42" s="811"/>
    </row>
    <row r="43" spans="2:29">
      <c r="B43" s="809"/>
      <c r="C43" s="251"/>
      <c r="D43" s="251"/>
      <c r="E43" s="251"/>
      <c r="F43" s="798"/>
      <c r="G43" s="799"/>
      <c r="H43" s="799"/>
      <c r="I43" s="799"/>
      <c r="J43" s="251"/>
      <c r="K43" s="823"/>
      <c r="L43" s="811"/>
      <c r="M43" s="811"/>
      <c r="N43" s="811"/>
      <c r="O43" s="811"/>
      <c r="Q43" s="809"/>
      <c r="R43" s="251"/>
      <c r="S43" s="251"/>
      <c r="T43" s="251"/>
      <c r="U43" s="798"/>
      <c r="V43" s="799"/>
      <c r="W43" s="799"/>
      <c r="X43" s="799"/>
      <c r="Y43" s="251"/>
      <c r="Z43" s="823"/>
      <c r="AA43" s="811"/>
      <c r="AB43" s="811"/>
      <c r="AC43" s="811"/>
    </row>
    <row r="44" spans="2:29">
      <c r="B44" s="809"/>
      <c r="C44" s="251"/>
      <c r="D44" s="251"/>
      <c r="E44" s="251"/>
      <c r="F44" s="798"/>
      <c r="G44" s="799"/>
      <c r="H44" s="799"/>
      <c r="I44" s="799"/>
      <c r="J44" s="251"/>
      <c r="K44" s="823"/>
      <c r="L44" s="811"/>
      <c r="M44" s="811"/>
      <c r="N44" s="811"/>
      <c r="O44" s="811"/>
      <c r="Q44" s="809"/>
      <c r="R44" s="251"/>
      <c r="S44" s="251"/>
      <c r="T44" s="251"/>
      <c r="U44" s="798"/>
      <c r="V44" s="799"/>
      <c r="W44" s="799"/>
      <c r="X44" s="799"/>
      <c r="Y44" s="251"/>
      <c r="Z44" s="823"/>
      <c r="AA44" s="811"/>
      <c r="AB44" s="811"/>
      <c r="AC44" s="811"/>
    </row>
    <row r="45" spans="2:29">
      <c r="B45" s="809"/>
      <c r="C45" s="251"/>
      <c r="D45" s="251"/>
      <c r="E45" s="251"/>
      <c r="F45" s="798"/>
      <c r="G45" s="799"/>
      <c r="H45" s="799"/>
      <c r="I45" s="799"/>
      <c r="J45" s="251"/>
      <c r="K45" s="823"/>
      <c r="L45" s="811"/>
      <c r="M45" s="811"/>
      <c r="N45" s="811"/>
      <c r="O45" s="811"/>
      <c r="Q45" s="809"/>
      <c r="R45" s="251"/>
      <c r="S45" s="251"/>
      <c r="T45" s="251"/>
      <c r="U45" s="798"/>
      <c r="V45" s="799"/>
      <c r="W45" s="799"/>
      <c r="X45" s="799"/>
      <c r="Y45" s="251"/>
      <c r="Z45" s="823"/>
      <c r="AA45" s="811"/>
      <c r="AB45" s="811"/>
      <c r="AC45" s="811"/>
    </row>
    <row r="46" spans="2:29">
      <c r="B46" s="809"/>
      <c r="C46" s="251"/>
      <c r="D46" s="251"/>
      <c r="E46" s="251"/>
      <c r="F46" s="798"/>
      <c r="G46" s="799"/>
      <c r="H46" s="799"/>
      <c r="I46" s="799"/>
      <c r="J46" s="251"/>
      <c r="K46" s="823"/>
      <c r="L46" s="811"/>
      <c r="M46" s="811"/>
      <c r="N46" s="811"/>
      <c r="O46" s="811"/>
      <c r="Q46" s="809"/>
      <c r="R46" s="251"/>
      <c r="S46" s="251"/>
      <c r="T46" s="251"/>
      <c r="U46" s="798"/>
      <c r="V46" s="799"/>
      <c r="W46" s="799"/>
      <c r="X46" s="799"/>
      <c r="Y46" s="251"/>
      <c r="Z46" s="823"/>
      <c r="AA46" s="811"/>
      <c r="AB46" s="811"/>
      <c r="AC46" s="811"/>
    </row>
    <row r="47" spans="2:29">
      <c r="B47" s="809"/>
      <c r="C47" s="251"/>
      <c r="D47" s="251"/>
      <c r="E47" s="251"/>
      <c r="F47" s="798"/>
      <c r="G47" s="799"/>
      <c r="H47" s="799"/>
      <c r="I47" s="799"/>
      <c r="J47" s="251"/>
      <c r="K47" s="823"/>
      <c r="L47" s="811"/>
      <c r="M47" s="811"/>
      <c r="N47" s="811"/>
      <c r="O47" s="811"/>
      <c r="Q47" s="809"/>
      <c r="R47" s="251"/>
      <c r="S47" s="251"/>
      <c r="T47" s="251"/>
      <c r="U47" s="798"/>
      <c r="V47" s="799"/>
      <c r="W47" s="799"/>
      <c r="X47" s="799"/>
      <c r="Y47" s="251"/>
      <c r="Z47" s="823"/>
      <c r="AA47" s="811"/>
      <c r="AB47" s="811"/>
      <c r="AC47" s="811"/>
    </row>
    <row r="48" spans="2:29">
      <c r="B48" s="809"/>
      <c r="C48" s="251"/>
      <c r="D48" s="251"/>
      <c r="E48" s="251"/>
      <c r="F48" s="798"/>
      <c r="G48" s="799"/>
      <c r="H48" s="799"/>
      <c r="I48" s="799"/>
      <c r="J48" s="251"/>
      <c r="K48" s="823"/>
      <c r="L48" s="811"/>
      <c r="M48" s="811"/>
      <c r="N48" s="811"/>
      <c r="O48" s="811"/>
      <c r="Q48" s="809"/>
      <c r="R48" s="251"/>
      <c r="S48" s="251"/>
      <c r="T48" s="251"/>
      <c r="U48" s="798"/>
      <c r="V48" s="799"/>
      <c r="W48" s="799"/>
      <c r="X48" s="799"/>
      <c r="Y48" s="251"/>
      <c r="Z48" s="823"/>
      <c r="AA48" s="811"/>
      <c r="AB48" s="811"/>
      <c r="AC48" s="811"/>
    </row>
    <row r="49" spans="2:29">
      <c r="B49" s="809"/>
      <c r="C49" s="251"/>
      <c r="D49" s="824"/>
      <c r="E49" s="251"/>
      <c r="F49" s="798"/>
      <c r="G49" s="799"/>
      <c r="H49" s="799"/>
      <c r="I49" s="799"/>
      <c r="J49" s="251"/>
      <c r="K49" s="823"/>
      <c r="L49" s="811"/>
      <c r="M49" s="811"/>
      <c r="N49" s="811"/>
      <c r="O49" s="811"/>
      <c r="Q49" s="809"/>
      <c r="R49" s="251"/>
      <c r="S49" s="824"/>
      <c r="T49" s="251"/>
      <c r="U49" s="798"/>
      <c r="V49" s="799"/>
      <c r="W49" s="799"/>
      <c r="X49" s="799"/>
      <c r="Y49" s="251"/>
      <c r="Z49" s="823"/>
      <c r="AA49" s="811"/>
      <c r="AB49" s="811"/>
      <c r="AC49" s="811"/>
    </row>
    <row r="50" spans="2:29">
      <c r="B50" s="809"/>
      <c r="C50" s="251"/>
      <c r="D50" s="251"/>
      <c r="E50" s="251"/>
      <c r="F50" s="798"/>
      <c r="G50" s="799"/>
      <c r="H50" s="799"/>
      <c r="I50" s="799"/>
      <c r="J50" s="251"/>
      <c r="K50" s="808"/>
      <c r="L50" s="251"/>
      <c r="M50" s="251"/>
      <c r="N50" s="251"/>
      <c r="O50" s="251"/>
      <c r="Q50" s="809"/>
      <c r="R50" s="251"/>
      <c r="S50" s="251"/>
      <c r="T50" s="251"/>
      <c r="U50" s="798"/>
      <c r="V50" s="799"/>
      <c r="W50" s="799"/>
      <c r="X50" s="799"/>
      <c r="Y50" s="251"/>
      <c r="Z50" s="808"/>
      <c r="AA50" s="251"/>
      <c r="AB50" s="251"/>
      <c r="AC50" s="251"/>
    </row>
    <row r="51" spans="2:29">
      <c r="B51" s="809"/>
      <c r="C51" s="251"/>
      <c r="D51" s="251"/>
      <c r="E51" s="251"/>
      <c r="F51" s="251"/>
      <c r="G51" s="251"/>
      <c r="H51" s="251"/>
      <c r="I51" s="251"/>
      <c r="J51" s="251"/>
      <c r="K51" s="808"/>
      <c r="L51" s="251"/>
      <c r="M51" s="251"/>
      <c r="N51" s="251"/>
      <c r="O51" s="251"/>
      <c r="Q51" s="809"/>
      <c r="R51" s="251"/>
      <c r="S51" s="251"/>
      <c r="T51" s="251"/>
      <c r="U51" s="251"/>
      <c r="V51" s="251"/>
      <c r="W51" s="251"/>
      <c r="X51" s="251"/>
      <c r="Y51" s="251"/>
      <c r="Z51" s="808"/>
      <c r="AA51" s="251"/>
      <c r="AB51" s="251"/>
      <c r="AC51" s="251"/>
    </row>
    <row r="52" spans="2:29">
      <c r="B52" s="809"/>
      <c r="C52" s="251"/>
      <c r="D52" s="251"/>
      <c r="E52" s="251"/>
      <c r="F52" s="251"/>
      <c r="G52" s="251"/>
      <c r="H52" s="251"/>
      <c r="I52" s="819"/>
      <c r="J52" s="251"/>
      <c r="K52" s="808"/>
      <c r="L52" s="819"/>
      <c r="M52" s="251"/>
      <c r="N52" s="251"/>
      <c r="O52" s="251"/>
      <c r="Q52" s="809"/>
      <c r="R52" s="251"/>
      <c r="S52" s="251"/>
      <c r="T52" s="251"/>
      <c r="U52" s="251"/>
      <c r="V52" s="251"/>
      <c r="W52" s="251"/>
      <c r="X52" s="819"/>
      <c r="Y52" s="251"/>
      <c r="Z52" s="808"/>
      <c r="AA52" s="819"/>
      <c r="AB52" s="251"/>
      <c r="AC52" s="251"/>
    </row>
    <row r="53" spans="2:29">
      <c r="B53" s="809"/>
      <c r="C53" s="251"/>
      <c r="D53" s="251"/>
      <c r="E53" s="251"/>
      <c r="F53" s="251"/>
      <c r="G53" s="251"/>
      <c r="H53" s="251"/>
      <c r="I53" s="817"/>
      <c r="J53" s="251"/>
      <c r="K53" s="808"/>
      <c r="L53" s="817"/>
      <c r="M53" s="251"/>
      <c r="N53" s="251"/>
      <c r="O53" s="251"/>
      <c r="Q53" s="809"/>
      <c r="R53" s="251"/>
      <c r="S53" s="251"/>
      <c r="T53" s="251"/>
      <c r="U53" s="251"/>
      <c r="V53" s="251"/>
      <c r="W53" s="251"/>
      <c r="X53" s="817"/>
      <c r="Y53" s="251"/>
      <c r="Z53" s="808"/>
      <c r="AA53" s="817"/>
      <c r="AB53" s="251"/>
      <c r="AC53" s="251"/>
    </row>
    <row r="54" spans="2:29">
      <c r="B54" s="809"/>
      <c r="C54" s="251"/>
      <c r="D54" s="251"/>
      <c r="E54" s="251"/>
      <c r="F54" s="251"/>
      <c r="G54" s="251"/>
      <c r="H54" s="251"/>
      <c r="I54" s="817"/>
      <c r="J54" s="251"/>
      <c r="K54" s="808"/>
      <c r="L54" s="817"/>
      <c r="M54" s="251"/>
      <c r="N54" s="251"/>
      <c r="O54" s="251"/>
      <c r="Q54" s="809"/>
      <c r="R54" s="251"/>
      <c r="S54" s="251"/>
      <c r="T54" s="251"/>
      <c r="U54" s="251"/>
      <c r="V54" s="251"/>
      <c r="W54" s="251"/>
      <c r="X54" s="817"/>
      <c r="Y54" s="251"/>
      <c r="Z54" s="808"/>
      <c r="AA54" s="817"/>
      <c r="AB54" s="251"/>
      <c r="AC54" s="251"/>
    </row>
    <row r="55" spans="2:29">
      <c r="B55" s="809"/>
      <c r="C55" s="251"/>
      <c r="D55" s="251"/>
      <c r="E55" s="251"/>
      <c r="F55" s="251"/>
      <c r="G55" s="251"/>
      <c r="H55" s="251"/>
      <c r="I55" s="817"/>
      <c r="J55" s="251"/>
      <c r="K55" s="808"/>
      <c r="L55" s="817"/>
      <c r="M55" s="251"/>
      <c r="N55" s="251"/>
      <c r="O55" s="251"/>
      <c r="Q55" s="809"/>
      <c r="R55" s="251"/>
      <c r="S55" s="251"/>
      <c r="T55" s="251"/>
      <c r="U55" s="251"/>
      <c r="V55" s="251"/>
      <c r="W55" s="251"/>
      <c r="X55" s="817"/>
      <c r="Y55" s="251"/>
      <c r="Z55" s="808"/>
      <c r="AA55" s="817"/>
      <c r="AB55" s="251"/>
      <c r="AC55" s="251"/>
    </row>
    <row r="56" spans="2:29">
      <c r="B56" s="809"/>
      <c r="C56" s="251"/>
      <c r="D56" s="251"/>
      <c r="E56" s="251"/>
      <c r="F56" s="798"/>
      <c r="G56" s="251"/>
      <c r="H56" s="251"/>
      <c r="I56" s="251"/>
      <c r="J56" s="251"/>
      <c r="K56" s="808"/>
      <c r="L56" s="817"/>
      <c r="M56" s="251"/>
      <c r="N56" s="251"/>
      <c r="O56" s="251"/>
      <c r="Q56" s="809"/>
      <c r="R56" s="251"/>
      <c r="S56" s="251"/>
      <c r="T56" s="251"/>
      <c r="U56" s="798"/>
      <c r="V56" s="251"/>
      <c r="W56" s="251"/>
      <c r="X56" s="251"/>
      <c r="Y56" s="251"/>
      <c r="Z56" s="808"/>
      <c r="AA56" s="817"/>
      <c r="AB56" s="251"/>
      <c r="AC56" s="251"/>
    </row>
    <row r="57" spans="2:29">
      <c r="B57" s="809"/>
      <c r="C57" s="251"/>
      <c r="D57" s="251"/>
      <c r="E57" s="251"/>
      <c r="F57" s="251"/>
      <c r="G57" s="251"/>
      <c r="H57" s="251"/>
      <c r="I57" s="817"/>
      <c r="J57" s="251"/>
      <c r="K57" s="808"/>
      <c r="L57" s="817"/>
      <c r="M57" s="251"/>
      <c r="N57" s="251"/>
      <c r="O57" s="251"/>
      <c r="Q57" s="809"/>
      <c r="R57" s="251"/>
      <c r="S57" s="251"/>
      <c r="T57" s="251"/>
      <c r="U57" s="251"/>
      <c r="V57" s="251"/>
      <c r="W57" s="251"/>
      <c r="X57" s="817"/>
      <c r="Y57" s="251"/>
      <c r="Z57" s="808"/>
      <c r="AA57" s="817"/>
      <c r="AB57" s="251"/>
      <c r="AC57" s="251"/>
    </row>
    <row r="58" spans="2:29">
      <c r="B58" s="809"/>
      <c r="C58" s="251"/>
      <c r="D58" s="251"/>
      <c r="E58" s="251"/>
      <c r="F58" s="251"/>
      <c r="G58" s="251"/>
      <c r="H58" s="251"/>
      <c r="I58" s="251"/>
      <c r="J58" s="251"/>
      <c r="K58" s="808"/>
      <c r="L58" s="817"/>
      <c r="M58" s="251"/>
      <c r="N58" s="251"/>
      <c r="O58" s="251"/>
      <c r="Q58" s="809"/>
      <c r="R58" s="251"/>
      <c r="S58" s="251"/>
      <c r="T58" s="251"/>
      <c r="U58" s="251"/>
      <c r="V58" s="251"/>
      <c r="W58" s="251"/>
      <c r="X58" s="251"/>
      <c r="Y58" s="251"/>
      <c r="Z58" s="808"/>
      <c r="AA58" s="817"/>
      <c r="AB58" s="251"/>
      <c r="AC58" s="251"/>
    </row>
    <row r="59" spans="2:29">
      <c r="B59" s="809"/>
      <c r="C59" s="251"/>
      <c r="D59" s="251"/>
      <c r="E59" s="251"/>
      <c r="F59" s="819"/>
      <c r="G59" s="251"/>
      <c r="H59" s="825"/>
      <c r="I59" s="251"/>
      <c r="J59" s="251"/>
      <c r="K59" s="808"/>
      <c r="L59" s="251"/>
      <c r="M59" s="251"/>
      <c r="N59" s="251"/>
      <c r="O59" s="251"/>
      <c r="Q59" s="809"/>
      <c r="R59" s="251"/>
      <c r="S59" s="251"/>
      <c r="T59" s="251"/>
      <c r="U59" s="819"/>
      <c r="V59" s="251"/>
      <c r="W59" s="825"/>
      <c r="X59" s="251"/>
      <c r="Y59" s="251"/>
      <c r="Z59" s="808"/>
      <c r="AA59" s="251"/>
      <c r="AB59" s="251"/>
      <c r="AC59" s="251"/>
    </row>
    <row r="60" spans="2:29">
      <c r="B60" s="809"/>
      <c r="C60" s="251"/>
      <c r="D60" s="251"/>
      <c r="E60" s="818"/>
      <c r="F60" s="251"/>
      <c r="G60" s="251"/>
      <c r="H60" s="251"/>
      <c r="I60" s="251"/>
      <c r="J60" s="251"/>
      <c r="K60" s="808"/>
      <c r="L60" s="251"/>
      <c r="M60" s="251"/>
      <c r="N60" s="251"/>
      <c r="O60" s="251"/>
      <c r="Q60" s="809"/>
      <c r="R60" s="251"/>
      <c r="S60" s="251"/>
      <c r="T60" s="818"/>
      <c r="U60" s="251"/>
      <c r="V60" s="251"/>
      <c r="W60" s="251"/>
      <c r="X60" s="251"/>
      <c r="Y60" s="251"/>
      <c r="Z60" s="808"/>
      <c r="AA60" s="251"/>
      <c r="AB60" s="251"/>
      <c r="AC60" s="251"/>
    </row>
    <row r="61" spans="2:29">
      <c r="B61" s="809"/>
      <c r="C61" s="251"/>
      <c r="D61" s="819"/>
      <c r="E61" s="819"/>
      <c r="F61" s="820"/>
      <c r="G61" s="820"/>
      <c r="H61" s="820"/>
      <c r="I61" s="820"/>
      <c r="J61" s="251"/>
      <c r="K61" s="821"/>
      <c r="L61" s="822"/>
      <c r="M61" s="822"/>
      <c r="N61" s="822"/>
      <c r="O61" s="822"/>
      <c r="Q61" s="809"/>
      <c r="R61" s="251"/>
      <c r="S61" s="819"/>
      <c r="T61" s="819"/>
      <c r="U61" s="820"/>
      <c r="V61" s="820"/>
      <c r="W61" s="820"/>
      <c r="X61" s="820"/>
      <c r="Y61" s="251"/>
      <c r="Z61" s="821"/>
      <c r="AA61" s="822"/>
      <c r="AB61" s="822"/>
      <c r="AC61" s="822"/>
    </row>
    <row r="62" spans="2:29">
      <c r="B62" s="809"/>
      <c r="C62" s="251"/>
      <c r="D62" s="251"/>
      <c r="E62" s="251"/>
      <c r="F62" s="798"/>
      <c r="G62" s="799"/>
      <c r="H62" s="799"/>
      <c r="I62" s="799"/>
      <c r="J62" s="251"/>
      <c r="K62" s="823"/>
      <c r="L62" s="811"/>
      <c r="M62" s="811"/>
      <c r="N62" s="811"/>
      <c r="O62" s="811"/>
      <c r="Q62" s="809"/>
      <c r="R62" s="251"/>
      <c r="S62" s="251"/>
      <c r="T62" s="251"/>
      <c r="U62" s="798"/>
      <c r="V62" s="799"/>
      <c r="W62" s="799"/>
      <c r="X62" s="799"/>
      <c r="Y62" s="251"/>
      <c r="Z62" s="823"/>
      <c r="AA62" s="811"/>
      <c r="AB62" s="811"/>
      <c r="AC62" s="811"/>
    </row>
    <row r="63" spans="2:29">
      <c r="B63" s="809"/>
      <c r="C63" s="251"/>
      <c r="D63" s="251"/>
      <c r="E63" s="251"/>
      <c r="F63" s="798"/>
      <c r="G63" s="799"/>
      <c r="H63" s="799"/>
      <c r="I63" s="799"/>
      <c r="J63" s="251"/>
      <c r="K63" s="823"/>
      <c r="L63" s="811"/>
      <c r="M63" s="811"/>
      <c r="N63" s="811"/>
      <c r="O63" s="811"/>
      <c r="Q63" s="809"/>
      <c r="R63" s="251"/>
      <c r="S63" s="251"/>
      <c r="T63" s="251"/>
      <c r="U63" s="798"/>
      <c r="V63" s="799"/>
      <c r="W63" s="799"/>
      <c r="X63" s="799"/>
      <c r="Y63" s="251"/>
      <c r="Z63" s="823"/>
      <c r="AA63" s="811"/>
      <c r="AB63" s="811"/>
      <c r="AC63" s="811"/>
    </row>
    <row r="64" spans="2:29">
      <c r="B64" s="809"/>
      <c r="C64" s="251"/>
      <c r="D64" s="251"/>
      <c r="E64" s="251"/>
      <c r="F64" s="798"/>
      <c r="G64" s="799"/>
      <c r="H64" s="799"/>
      <c r="I64" s="799"/>
      <c r="J64" s="251"/>
      <c r="K64" s="823"/>
      <c r="L64" s="811"/>
      <c r="M64" s="811"/>
      <c r="N64" s="811"/>
      <c r="O64" s="811"/>
      <c r="Q64" s="809"/>
      <c r="R64" s="251"/>
      <c r="S64" s="251"/>
      <c r="T64" s="251"/>
      <c r="U64" s="798"/>
      <c r="V64" s="799"/>
      <c r="W64" s="799"/>
      <c r="X64" s="799"/>
      <c r="Y64" s="251"/>
      <c r="Z64" s="823"/>
      <c r="AA64" s="811"/>
      <c r="AB64" s="811"/>
      <c r="AC64" s="811"/>
    </row>
    <row r="65" spans="2:29">
      <c r="B65" s="809"/>
      <c r="C65" s="251"/>
      <c r="D65" s="251"/>
      <c r="E65" s="251"/>
      <c r="F65" s="798"/>
      <c r="G65" s="799"/>
      <c r="H65" s="799"/>
      <c r="I65" s="799"/>
      <c r="J65" s="251"/>
      <c r="K65" s="823"/>
      <c r="L65" s="811"/>
      <c r="M65" s="811"/>
      <c r="N65" s="811"/>
      <c r="O65" s="811"/>
      <c r="Q65" s="809"/>
      <c r="R65" s="251"/>
      <c r="S65" s="251"/>
      <c r="T65" s="251"/>
      <c r="U65" s="798"/>
      <c r="V65" s="799"/>
      <c r="W65" s="799"/>
      <c r="X65" s="799"/>
      <c r="Y65" s="251"/>
      <c r="Z65" s="823"/>
      <c r="AA65" s="811"/>
      <c r="AB65" s="811"/>
      <c r="AC65" s="811"/>
    </row>
    <row r="66" spans="2:29">
      <c r="B66" s="826"/>
      <c r="C66" s="827"/>
      <c r="D66" s="827"/>
      <c r="E66" s="827"/>
      <c r="F66" s="828"/>
      <c r="G66" s="829"/>
      <c r="H66" s="829"/>
      <c r="I66" s="829"/>
      <c r="J66" s="827"/>
      <c r="K66" s="830"/>
      <c r="L66" s="811"/>
      <c r="M66" s="811"/>
      <c r="N66" s="811"/>
      <c r="O66" s="811"/>
      <c r="Q66" s="826"/>
      <c r="R66" s="827"/>
      <c r="S66" s="827"/>
      <c r="T66" s="827"/>
      <c r="U66" s="828"/>
      <c r="V66" s="829"/>
      <c r="W66" s="829"/>
      <c r="X66" s="829"/>
      <c r="Y66" s="827"/>
      <c r="Z66" s="830"/>
      <c r="AA66" s="811"/>
      <c r="AB66" s="811"/>
      <c r="AC66" s="811"/>
    </row>
    <row r="67" spans="2:29">
      <c r="B67" s="251"/>
      <c r="C67" s="251"/>
      <c r="D67" s="251"/>
      <c r="E67" s="251"/>
      <c r="F67" s="798"/>
      <c r="G67" s="799"/>
      <c r="H67" s="799"/>
      <c r="I67" s="799"/>
      <c r="J67" s="251"/>
      <c r="K67" s="811"/>
      <c r="L67" s="811"/>
      <c r="M67" s="811"/>
      <c r="N67" s="811"/>
      <c r="O67" s="811"/>
    </row>
    <row r="68" spans="2:29">
      <c r="B68" s="251"/>
      <c r="C68" s="251"/>
      <c r="D68" s="251"/>
      <c r="E68" s="251"/>
      <c r="F68" s="798"/>
      <c r="G68" s="799"/>
      <c r="H68" s="799"/>
      <c r="I68" s="799"/>
      <c r="J68" s="251"/>
      <c r="K68" s="811"/>
      <c r="L68" s="811"/>
      <c r="M68" s="811"/>
      <c r="N68" s="811"/>
      <c r="O68" s="811"/>
    </row>
    <row r="69" spans="2:29">
      <c r="B69" s="251"/>
      <c r="C69" s="251"/>
      <c r="D69" s="251"/>
      <c r="E69" s="251"/>
      <c r="F69" s="798"/>
      <c r="G69" s="799"/>
      <c r="H69" s="799"/>
      <c r="I69" s="799"/>
      <c r="J69" s="251"/>
      <c r="K69" s="811"/>
      <c r="L69" s="811"/>
      <c r="M69" s="811"/>
      <c r="N69" s="811"/>
      <c r="O69" s="811"/>
    </row>
    <row r="70" spans="2:29">
      <c r="B70" s="251"/>
      <c r="C70" s="251"/>
      <c r="D70" s="251"/>
      <c r="E70" s="251"/>
      <c r="F70" s="251"/>
      <c r="G70" s="251"/>
      <c r="H70" s="251"/>
      <c r="I70" s="251"/>
      <c r="J70" s="251"/>
      <c r="K70" s="251"/>
      <c r="L70" s="251"/>
      <c r="M70" s="251"/>
      <c r="N70" s="251"/>
      <c r="O70" s="251"/>
    </row>
  </sheetData>
  <mergeCells count="4">
    <mergeCell ref="A1:M2"/>
    <mergeCell ref="P1:AB2"/>
    <mergeCell ref="A4:M5"/>
    <mergeCell ref="P4:AB5"/>
  </mergeCells>
  <conditionalFormatting sqref="A1">
    <cfRule type="expression" dxfId="88" priority="7">
      <formula>#REF!=0</formula>
    </cfRule>
    <cfRule type="cellIs" dxfId="87" priority="8" operator="equal">
      <formula>0</formula>
    </cfRule>
  </conditionalFormatting>
  <conditionalFormatting sqref="A4">
    <cfRule type="expression" dxfId="86" priority="5">
      <formula>#REF!=0</formula>
    </cfRule>
    <cfRule type="cellIs" dxfId="85" priority="6" operator="equal">
      <formula>0</formula>
    </cfRule>
  </conditionalFormatting>
  <conditionalFormatting sqref="P1">
    <cfRule type="expression" dxfId="84" priority="3">
      <formula>#REF!=0</formula>
    </cfRule>
    <cfRule type="cellIs" dxfId="83" priority="4" operator="equal">
      <formula>0</formula>
    </cfRule>
  </conditionalFormatting>
  <conditionalFormatting sqref="P4">
    <cfRule type="expression" dxfId="82" priority="1">
      <formula>#REF!=0</formula>
    </cfRule>
    <cfRule type="cellIs" dxfId="81" priority="2" operator="equal">
      <formula>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3F4F5-E693-455B-8659-48AD57222FB9}">
  <sheetPr codeName="Hoja18"/>
  <dimension ref="A2:AG125"/>
  <sheetViews>
    <sheetView workbookViewId="0"/>
  </sheetViews>
  <sheetFormatPr baseColWidth="10" defaultColWidth="10.7265625" defaultRowHeight="14.5"/>
  <cols>
    <col min="1" max="1" width="10.7265625" style="4"/>
    <col min="2" max="2" width="19.26953125" style="4" bestFit="1" customWidth="1"/>
    <col min="3" max="8" width="10.7265625" style="4"/>
    <col min="9" max="9" width="11.7265625" style="4" customWidth="1"/>
    <col min="10" max="12" width="10.7265625" style="4"/>
    <col min="13" max="13" width="12.26953125" style="4" bestFit="1" customWidth="1"/>
    <col min="14" max="16384" width="10.7265625" style="4"/>
  </cols>
  <sheetData>
    <row r="2" spans="2:2" ht="18.5">
      <c r="B2" s="112" t="s">
        <v>765</v>
      </c>
    </row>
    <row r="29" spans="1:12" ht="18.5">
      <c r="B29" s="1395" t="s">
        <v>427</v>
      </c>
      <c r="C29" s="1395"/>
    </row>
    <row r="30" spans="1:12" ht="15" thickBot="1"/>
    <row r="31" spans="1:12" ht="15" thickBot="1">
      <c r="C31" s="1393" t="s">
        <v>969</v>
      </c>
      <c r="D31" s="1397"/>
      <c r="E31" s="1397"/>
      <c r="F31" s="1397"/>
      <c r="G31" s="999"/>
      <c r="H31" s="1404" t="s">
        <v>17</v>
      </c>
      <c r="I31" s="1366"/>
      <c r="J31" s="1366"/>
      <c r="K31" s="1366"/>
      <c r="L31" s="1405"/>
    </row>
    <row r="32" spans="1:12">
      <c r="A32" s="68"/>
      <c r="C32" s="891">
        <v>45901</v>
      </c>
      <c r="D32" s="867">
        <v>45902</v>
      </c>
      <c r="E32" s="867">
        <v>45902</v>
      </c>
      <c r="F32" s="867">
        <v>45903</v>
      </c>
      <c r="G32" s="1406" t="s">
        <v>757</v>
      </c>
      <c r="H32" s="891">
        <v>45901</v>
      </c>
      <c r="I32" s="867">
        <v>45902</v>
      </c>
      <c r="J32" s="867">
        <v>45902</v>
      </c>
      <c r="K32" s="867">
        <v>45903</v>
      </c>
      <c r="L32" s="1406" t="s">
        <v>757</v>
      </c>
    </row>
    <row r="33" spans="1:15" ht="15" thickBot="1">
      <c r="A33" s="68"/>
      <c r="C33" s="892" t="s">
        <v>758</v>
      </c>
      <c r="D33" s="868" t="s">
        <v>759</v>
      </c>
      <c r="E33" s="868" t="s">
        <v>758</v>
      </c>
      <c r="F33" s="868" t="s">
        <v>759</v>
      </c>
      <c r="G33" s="1407"/>
      <c r="H33" s="892" t="s">
        <v>758</v>
      </c>
      <c r="I33" s="868" t="s">
        <v>759</v>
      </c>
      <c r="J33" s="868" t="s">
        <v>758</v>
      </c>
      <c r="K33" s="868" t="s">
        <v>759</v>
      </c>
      <c r="L33" s="1407"/>
    </row>
    <row r="34" spans="1:15">
      <c r="A34" s="68"/>
      <c r="B34" s="848" t="s">
        <v>744</v>
      </c>
      <c r="C34" s="869">
        <v>4.55</v>
      </c>
      <c r="D34" s="870">
        <v>3.9830000000000001</v>
      </c>
      <c r="E34" s="870">
        <v>4.6369999999999996</v>
      </c>
      <c r="F34" s="870">
        <v>4.6710000000000003</v>
      </c>
      <c r="G34" s="871">
        <f t="shared" ref="G34:G41" si="0">AVERAGE(C34:F34)</f>
        <v>4.4602499999999994</v>
      </c>
      <c r="H34" s="872">
        <v>6.21</v>
      </c>
      <c r="I34" s="870">
        <v>5.69</v>
      </c>
      <c r="J34" s="870">
        <v>7.25</v>
      </c>
      <c r="K34" s="870">
        <v>6.85</v>
      </c>
      <c r="L34" s="871">
        <f t="shared" ref="L34:L41" si="1">AVERAGE(H34:K34)</f>
        <v>6.5</v>
      </c>
      <c r="M34" s="117"/>
      <c r="N34" s="110"/>
    </row>
    <row r="35" spans="1:15" ht="14.65" customHeight="1">
      <c r="A35" s="68"/>
      <c r="B35" s="849" t="s">
        <v>746</v>
      </c>
      <c r="C35" s="873">
        <v>20.99</v>
      </c>
      <c r="D35" s="649">
        <v>23.34</v>
      </c>
      <c r="E35" s="649">
        <v>24.03</v>
      </c>
      <c r="F35" s="649">
        <v>22.36</v>
      </c>
      <c r="G35" s="874">
        <f t="shared" si="0"/>
        <v>22.68</v>
      </c>
      <c r="H35" s="875">
        <v>16.100000000000001</v>
      </c>
      <c r="I35" s="649">
        <v>17.3</v>
      </c>
      <c r="J35" s="649">
        <v>20.6</v>
      </c>
      <c r="K35" s="649">
        <v>19.600000000000001</v>
      </c>
      <c r="L35" s="874">
        <f t="shared" si="1"/>
        <v>18.400000000000002</v>
      </c>
      <c r="M35" s="110"/>
      <c r="N35" s="110"/>
    </row>
    <row r="36" spans="1:15">
      <c r="A36" s="68"/>
      <c r="B36" s="849" t="s">
        <v>745</v>
      </c>
      <c r="C36" s="873">
        <v>3.29</v>
      </c>
      <c r="D36" s="649">
        <v>1.9</v>
      </c>
      <c r="E36" s="649">
        <v>2.8130000000000002</v>
      </c>
      <c r="F36" s="649">
        <v>2.6880000000000002</v>
      </c>
      <c r="G36" s="874">
        <f t="shared" si="0"/>
        <v>2.6727500000000002</v>
      </c>
      <c r="H36" s="875">
        <v>7.26</v>
      </c>
      <c r="I36" s="649">
        <v>5.35</v>
      </c>
      <c r="J36" s="649">
        <v>6.81</v>
      </c>
      <c r="K36" s="649">
        <v>6.9</v>
      </c>
      <c r="L36" s="874">
        <f t="shared" si="1"/>
        <v>6.58</v>
      </c>
      <c r="N36" s="110"/>
    </row>
    <row r="37" spans="1:15">
      <c r="B37" s="849" t="s">
        <v>747</v>
      </c>
      <c r="C37" s="873">
        <v>2.1349999999999998</v>
      </c>
      <c r="D37" s="649">
        <v>2.9729999999999999</v>
      </c>
      <c r="E37" s="649">
        <v>3.976</v>
      </c>
      <c r="F37" s="649">
        <v>4.4649999999999999</v>
      </c>
      <c r="G37" s="874">
        <f t="shared" si="0"/>
        <v>3.3872499999999999</v>
      </c>
      <c r="H37" s="875">
        <v>5.82</v>
      </c>
      <c r="I37" s="649">
        <v>8.32</v>
      </c>
      <c r="J37" s="649">
        <v>9.24</v>
      </c>
      <c r="K37" s="649">
        <v>8.59</v>
      </c>
      <c r="L37" s="874">
        <f t="shared" si="1"/>
        <v>7.9925000000000006</v>
      </c>
      <c r="N37" s="110"/>
    </row>
    <row r="38" spans="1:15">
      <c r="B38" s="849" t="s">
        <v>748</v>
      </c>
      <c r="C38" s="873">
        <v>4.5679999999999996</v>
      </c>
      <c r="D38" s="876">
        <v>3.952</v>
      </c>
      <c r="E38" s="876">
        <v>4.6100000000000003</v>
      </c>
      <c r="F38" s="649">
        <v>5.78</v>
      </c>
      <c r="G38" s="874">
        <f t="shared" si="0"/>
        <v>4.7275</v>
      </c>
      <c r="H38" s="875">
        <v>9.02</v>
      </c>
      <c r="I38" s="649">
        <v>11.6</v>
      </c>
      <c r="J38" s="649">
        <v>9.81</v>
      </c>
      <c r="K38" s="649">
        <v>9.67</v>
      </c>
      <c r="L38" s="874">
        <f t="shared" si="1"/>
        <v>10.025</v>
      </c>
      <c r="N38" s="110"/>
    </row>
    <row r="39" spans="1:15">
      <c r="B39" s="849" t="s">
        <v>749</v>
      </c>
      <c r="C39" s="873">
        <v>17.55</v>
      </c>
      <c r="D39" s="649">
        <v>14.98</v>
      </c>
      <c r="E39" s="649">
        <v>15.2</v>
      </c>
      <c r="F39" s="649">
        <v>15.03</v>
      </c>
      <c r="G39" s="874">
        <f t="shared" si="0"/>
        <v>15.690000000000001</v>
      </c>
      <c r="H39" s="875">
        <v>19.600000000000001</v>
      </c>
      <c r="I39" s="649">
        <v>18.5</v>
      </c>
      <c r="J39" s="649">
        <v>20.8</v>
      </c>
      <c r="K39" s="649">
        <v>15.6</v>
      </c>
      <c r="L39" s="874">
        <f t="shared" si="1"/>
        <v>18.625</v>
      </c>
      <c r="N39" s="110"/>
    </row>
    <row r="40" spans="1:15">
      <c r="B40" s="849" t="s">
        <v>750</v>
      </c>
      <c r="C40" s="873">
        <v>4.5519999999999996</v>
      </c>
      <c r="D40" s="893">
        <v>4.8650000000000002</v>
      </c>
      <c r="E40" s="876">
        <v>5.19</v>
      </c>
      <c r="F40" s="779">
        <v>4.9660000000000002</v>
      </c>
      <c r="G40" s="874">
        <f t="shared" si="0"/>
        <v>4.8932500000000001</v>
      </c>
      <c r="H40" s="875">
        <v>9.98</v>
      </c>
      <c r="I40" s="779">
        <v>13.9</v>
      </c>
      <c r="J40" s="649">
        <v>12.7</v>
      </c>
      <c r="K40" s="779">
        <v>9.83</v>
      </c>
      <c r="L40" s="874">
        <f t="shared" si="1"/>
        <v>11.602499999999999</v>
      </c>
      <c r="N40" s="110"/>
    </row>
    <row r="41" spans="1:15" ht="15" thickBot="1">
      <c r="B41" s="850" t="s">
        <v>751</v>
      </c>
      <c r="C41" s="897">
        <v>0.22600000000000001</v>
      </c>
      <c r="D41" s="796">
        <v>0.253</v>
      </c>
      <c r="E41" s="877">
        <v>0.22800000000000001</v>
      </c>
      <c r="F41" s="796">
        <v>0.23400000000000001</v>
      </c>
      <c r="G41" s="878">
        <f t="shared" si="0"/>
        <v>0.23524999999999999</v>
      </c>
      <c r="H41" s="879">
        <v>3.5</v>
      </c>
      <c r="I41" s="796">
        <v>2.92</v>
      </c>
      <c r="J41" s="877">
        <v>2.61</v>
      </c>
      <c r="K41" s="796">
        <v>2.63</v>
      </c>
      <c r="L41" s="878">
        <f t="shared" si="1"/>
        <v>2.915</v>
      </c>
      <c r="M41" s="110"/>
      <c r="N41" s="110"/>
    </row>
    <row r="42" spans="1:15" ht="15" thickBot="1">
      <c r="G42" s="110"/>
      <c r="L42" s="110"/>
    </row>
    <row r="43" spans="1:15">
      <c r="B43" s="848" t="s">
        <v>756</v>
      </c>
      <c r="C43" s="880">
        <f>+C35/C34</f>
        <v>4.6131868131868128</v>
      </c>
      <c r="D43" s="880">
        <f>+D35/D34</f>
        <v>5.8599045945267383</v>
      </c>
      <c r="E43" s="880">
        <f>+E35/E34</f>
        <v>5.1822298900150967</v>
      </c>
      <c r="F43" s="880">
        <f>+F35/F34</f>
        <v>4.786983515307214</v>
      </c>
      <c r="G43" s="880">
        <f>AVERAGE(C43:F43)</f>
        <v>5.1105762032589652</v>
      </c>
      <c r="H43" s="880">
        <f>+H35/H34</f>
        <v>2.592592592592593</v>
      </c>
      <c r="I43" s="880">
        <f>+I35/I34</f>
        <v>3.0404217926186292</v>
      </c>
      <c r="J43" s="880">
        <f>+J35/J34</f>
        <v>2.8413793103448279</v>
      </c>
      <c r="K43" s="880">
        <f>+K35/K34</f>
        <v>2.8613138686131392</v>
      </c>
      <c r="L43" s="880">
        <f>AVERAGE(H43:K43)</f>
        <v>2.8339268910422972</v>
      </c>
      <c r="N43" s="110"/>
    </row>
    <row r="44" spans="1:15" ht="15" thickBot="1">
      <c r="B44" s="850" t="s">
        <v>764</v>
      </c>
      <c r="C44" s="880">
        <f>+C39/C38</f>
        <v>3.8419439579684767</v>
      </c>
      <c r="D44" s="880">
        <f>+D39/D38</f>
        <v>3.7904858299595143</v>
      </c>
      <c r="E44" s="880">
        <f>+E39/E38</f>
        <v>3.2971800433839475</v>
      </c>
      <c r="F44" s="880">
        <f>+F39/F38</f>
        <v>2.6003460207612457</v>
      </c>
      <c r="G44" s="880">
        <f>AVERAGE(C44:F44)</f>
        <v>3.3824889630182962</v>
      </c>
      <c r="H44" s="880">
        <f>+H39/H38</f>
        <v>2.1729490022172953</v>
      </c>
      <c r="I44" s="880">
        <f>+I39/I38</f>
        <v>1.5948275862068966</v>
      </c>
      <c r="J44" s="880">
        <f>+J39/J38</f>
        <v>2.1202854230377164</v>
      </c>
      <c r="K44" s="880">
        <f>+K39/K38</f>
        <v>1.6132368148914167</v>
      </c>
      <c r="L44" s="880">
        <f>AVERAGE(H44:K44)</f>
        <v>1.8753247065883314</v>
      </c>
      <c r="N44" s="110"/>
    </row>
    <row r="45" spans="1:15" ht="15" thickBot="1"/>
    <row r="46" spans="1:15">
      <c r="B46" s="848" t="s">
        <v>752</v>
      </c>
      <c r="C46" s="880">
        <f>+(C34-C41)/(C39-C41)*100</f>
        <v>24.959593627337796</v>
      </c>
      <c r="D46" s="880">
        <f>+(D34-D41)/(D39-D41)*100</f>
        <v>25.32762952400353</v>
      </c>
      <c r="E46" s="880">
        <f>+(E34-E41)/(E39-E41)*100</f>
        <v>29.448303499866419</v>
      </c>
      <c r="F46" s="880">
        <f>+(F34-F41)/(F39-F41)*100</f>
        <v>29.98783454987835</v>
      </c>
      <c r="G46" s="880">
        <f>AVERAGE(C46:F46)</f>
        <v>27.430840300271527</v>
      </c>
      <c r="H46" s="880">
        <f>+(H34-H41)/(H39-H41)*100</f>
        <v>16.832298136645964</v>
      </c>
      <c r="I46" s="880">
        <f>+(I34-I41)/(I39-I41)*100</f>
        <v>17.779204107830555</v>
      </c>
      <c r="J46" s="880">
        <f>+(J34-J41)/(J39-J41)*100</f>
        <v>25.508521165475539</v>
      </c>
      <c r="K46" s="880">
        <f>+(K34-K41)/(K39-K41)*100</f>
        <v>32.536622976098691</v>
      </c>
      <c r="L46" s="880">
        <f>AVERAGE(H46:K46)</f>
        <v>23.164161596512685</v>
      </c>
      <c r="N46" s="110"/>
      <c r="O46" s="110"/>
    </row>
    <row r="47" spans="1:15" ht="15" thickBot="1">
      <c r="B47" s="850" t="s">
        <v>753</v>
      </c>
      <c r="C47" s="880">
        <f>C39/C34</f>
        <v>3.8571428571428577</v>
      </c>
      <c r="D47" s="880">
        <f>D39/D34</f>
        <v>3.7609841827768014</v>
      </c>
      <c r="E47" s="880">
        <f>E39/E34</f>
        <v>3.2779814535259866</v>
      </c>
      <c r="F47" s="880">
        <f>F39/F34</f>
        <v>3.2177263969171479</v>
      </c>
      <c r="G47" s="880">
        <f>AVERAGE(C47:F47)</f>
        <v>3.528458722590698</v>
      </c>
      <c r="H47" s="880">
        <f>H39/H34</f>
        <v>3.1561996779388086</v>
      </c>
      <c r="I47" s="880">
        <f>I39/I34</f>
        <v>3.251318101933216</v>
      </c>
      <c r="J47" s="880">
        <f>J39/J34</f>
        <v>2.8689655172413793</v>
      </c>
      <c r="K47" s="880">
        <f>K39/K34</f>
        <v>2.2773722627737225</v>
      </c>
      <c r="L47" s="880">
        <f>AVERAGE(H47:K47)</f>
        <v>2.8884638899717818</v>
      </c>
      <c r="N47" s="110"/>
    </row>
    <row r="48" spans="1:15" ht="15" thickBot="1"/>
    <row r="49" spans="2:16">
      <c r="B49" s="848" t="s">
        <v>754</v>
      </c>
      <c r="C49" s="880">
        <f>+AVERAGE('13. Pilotaje Rougher'!$K$20:$K$36)</f>
        <v>79.807493568485683</v>
      </c>
      <c r="D49" s="880">
        <f>+AVERAGE('13. Pilotaje Rougher'!$K$20:$K$36)</f>
        <v>79.807493568485683</v>
      </c>
      <c r="E49" s="880" t="s">
        <v>639</v>
      </c>
      <c r="F49" s="880">
        <f>+AVERAGE('13. Pilotaje Rougher'!$K$20:$K$36)</f>
        <v>79.807493568485683</v>
      </c>
      <c r="G49" s="880">
        <f>AVERAGE(C49:F49)</f>
        <v>79.807493568485683</v>
      </c>
      <c r="H49" s="880">
        <f>+AVERAGE('13. Pilotaje Rougher'!$K$20:$K$36)</f>
        <v>79.807493568485683</v>
      </c>
      <c r="I49" s="880">
        <f>+AVERAGE('13. Pilotaje Rougher'!$K$20:$K$36)</f>
        <v>79.807493568485683</v>
      </c>
      <c r="J49" s="880">
        <f>+AVERAGE('13. Pilotaje Rougher'!$K$20:$K$36)</f>
        <v>79.807493568485683</v>
      </c>
      <c r="K49" s="880">
        <f>+AVERAGE('13. Pilotaje Rougher'!$K$20:$K$36)</f>
        <v>79.807493568485683</v>
      </c>
      <c r="L49" s="880">
        <f>AVERAGE(H49:K49)</f>
        <v>79.807493568485683</v>
      </c>
      <c r="N49" s="110"/>
      <c r="O49" s="881"/>
      <c r="P49" s="110"/>
    </row>
    <row r="50" spans="2:16">
      <c r="B50" s="849" t="s">
        <v>761</v>
      </c>
      <c r="C50" s="880">
        <f>+C46*C47</f>
        <v>96.272718276874372</v>
      </c>
      <c r="D50" s="880">
        <f>+D46*D47</f>
        <v>95.256814027008005</v>
      </c>
      <c r="E50" s="880">
        <f>+E46*E47</f>
        <v>96.530992710366519</v>
      </c>
      <c r="F50" s="880">
        <f>+F46*F47</f>
        <v>96.492646817527628</v>
      </c>
      <c r="G50" s="880">
        <f>AVERAGE(C50:F50)</f>
        <v>96.138292957944145</v>
      </c>
      <c r="H50" s="880">
        <f>+H46*H47</f>
        <v>53.126093957852</v>
      </c>
      <c r="I50" s="880">
        <f>+I46*I47</f>
        <v>57.80584815375488</v>
      </c>
      <c r="J50" s="880">
        <f>+J46*J47</f>
        <v>73.183067619571204</v>
      </c>
      <c r="K50" s="880">
        <f>+K46*K47</f>
        <v>74.098002690093367</v>
      </c>
      <c r="L50" s="880">
        <f>AVERAGE(H50:K50)</f>
        <v>64.553253105317864</v>
      </c>
      <c r="N50" s="110"/>
      <c r="O50" s="881"/>
    </row>
    <row r="51" spans="2:16">
      <c r="B51" s="849" t="s">
        <v>755</v>
      </c>
      <c r="C51" s="880">
        <f>+C50*C49/100</f>
        <v>76.832843447022853</v>
      </c>
      <c r="D51" s="880">
        <f>+D50*D49/100</f>
        <v>76.022075728148778</v>
      </c>
      <c r="E51" s="880" t="e">
        <f>+E50*E49/100</f>
        <v>#VALUE!</v>
      </c>
      <c r="F51" s="880">
        <f>+F50*F49/100</f>
        <v>77.008362902959973</v>
      </c>
      <c r="G51" s="880" t="e">
        <f>AVERAGE(C51:F51)</f>
        <v>#VALUE!</v>
      </c>
      <c r="H51" s="880">
        <f>+H50*H49/100</f>
        <v>42.398604018600402</v>
      </c>
      <c r="I51" s="880">
        <f>+I50*I49/100</f>
        <v>46.133398547516528</v>
      </c>
      <c r="J51" s="880">
        <f>+J50*J49/100</f>
        <v>58.405571983709812</v>
      </c>
      <c r="K51" s="880">
        <f>+K50*K49/100</f>
        <v>59.13575873127261</v>
      </c>
      <c r="L51" s="880">
        <f>AVERAGE(H51:K51)</f>
        <v>51.518333320274834</v>
      </c>
      <c r="N51" s="110"/>
      <c r="O51" s="881"/>
    </row>
    <row r="52" spans="2:16" ht="15" thickBot="1">
      <c r="B52" s="850" t="s">
        <v>763</v>
      </c>
      <c r="C52" s="880">
        <f>+(0.68-(AVERAGE(C41,0.15)))/((AVERAGE(C35,C39))-(AVERAGE(C41,0.15)))*100</f>
        <v>2.5783460853160047</v>
      </c>
      <c r="D52" s="880">
        <f>+(0.68-(AVERAGE(D41,0.15)))/((AVERAGE(D35,D39))-(AVERAGE(D41,0.15)))*100</f>
        <v>2.5239338555265447</v>
      </c>
      <c r="E52" s="880">
        <f>+(0.68-(AVERAGE(E41,0.15)))/((AVERAGE(E35,E39))-(AVERAGE(E41,0.15)))*100</f>
        <v>2.5275404097601153</v>
      </c>
      <c r="F52" s="880">
        <f>+(0.68-(AVERAGE(F41,0.15)))/((AVERAGE(F35,F39))-(AVERAGE(F41,0.15)))*100</f>
        <v>2.6374101497054534</v>
      </c>
      <c r="G52" s="880">
        <f>AVERAGE(C52:F52)</f>
        <v>2.56680762507703</v>
      </c>
      <c r="H52" s="880">
        <f>+(2.32-(AVERAGE(H41,0.15)))/((AVERAGE(H35,H39))-(AVERAGE(H41,0.15)))*100</f>
        <v>3.0889235569422766</v>
      </c>
      <c r="I52" s="880">
        <f>+(2.32-(AVERAGE(I41,0.15)))/((AVERAGE(I35,I39))-(AVERAGE(I41,0.15)))*100</f>
        <v>4.7968224870149703</v>
      </c>
      <c r="J52" s="880">
        <f>+(2.32-(AVERAGE(J41,0.15)))/((AVERAGE(J35,J39))-(AVERAGE(J41,0.15)))*100</f>
        <v>4.8654244306418208</v>
      </c>
      <c r="K52" s="880">
        <f>+(2.32-(AVERAGE(K41,0.15)))/((AVERAGE(K35,K39))-(AVERAGE(K41,0.15)))*100</f>
        <v>5.737199259716224</v>
      </c>
      <c r="L52" s="880">
        <f>AVERAGE(H52:K52)</f>
        <v>4.6220924335788229</v>
      </c>
      <c r="N52" s="110"/>
      <c r="O52" s="881"/>
    </row>
    <row r="54" spans="2:16">
      <c r="B54" s="4" t="s">
        <v>884</v>
      </c>
      <c r="C54" s="110">
        <f>+AVERAGE(C35,C39)</f>
        <v>19.27</v>
      </c>
      <c r="D54" s="110"/>
      <c r="E54" s="110"/>
      <c r="F54" s="110">
        <f t="shared" ref="F54" si="2">+AVERAGE(F35,F39)</f>
        <v>18.695</v>
      </c>
      <c r="G54" s="880">
        <f>AVERAGE(C54:F54)</f>
        <v>18.982500000000002</v>
      </c>
    </row>
    <row r="55" spans="2:16">
      <c r="B55" s="4" t="s">
        <v>909</v>
      </c>
      <c r="C55" s="4">
        <f>C38*(C37-C41)/(C37*(C38-C41))*100</f>
        <v>94.068523015219782</v>
      </c>
      <c r="F55" s="4">
        <f>F38*(F37-F41)/(F37*(F38-F41))*100</f>
        <v>98.757374442159218</v>
      </c>
    </row>
    <row r="56" spans="2:16">
      <c r="B56" s="4" t="s">
        <v>940</v>
      </c>
      <c r="C56" s="4">
        <f>C35*(C34-C36)/(C34*(C35-C36))*100</f>
        <v>32.839634941329855</v>
      </c>
      <c r="F56" s="4">
        <f t="shared" ref="F56" si="3">F35*(F34-F36)/(F34*(F35-F36))*100</f>
        <v>48.254312275590713</v>
      </c>
    </row>
    <row r="57" spans="2:16">
      <c r="B57" s="4" t="s">
        <v>941</v>
      </c>
      <c r="C57" s="4">
        <f>C39*(C38-C40)/(C38*(C39-C40))*100</f>
        <v>0.47292739904212711</v>
      </c>
      <c r="F57" s="4">
        <f>F39*(F38-F40)/(F38*(F39-F40))*100</f>
        <v>21.032210462039487</v>
      </c>
    </row>
    <row r="60" spans="2:16" ht="18.5">
      <c r="B60" s="1395" t="s">
        <v>428</v>
      </c>
      <c r="C60" s="1395"/>
    </row>
    <row r="61" spans="2:16" ht="15" thickBot="1"/>
    <row r="62" spans="2:16" ht="15" thickBot="1">
      <c r="B62" s="95"/>
      <c r="C62" s="1398" t="s">
        <v>970</v>
      </c>
      <c r="D62" s="1399"/>
      <c r="E62" s="1399"/>
      <c r="F62" s="1399"/>
      <c r="G62" s="1399"/>
      <c r="H62" s="1399"/>
      <c r="I62" s="1000"/>
      <c r="J62" s="1398" t="s">
        <v>17</v>
      </c>
      <c r="K62" s="1399"/>
      <c r="L62" s="1399"/>
      <c r="M62" s="1399"/>
      <c r="N62" s="1399"/>
      <c r="O62" s="1399"/>
      <c r="P62" s="1400"/>
    </row>
    <row r="63" spans="2:16">
      <c r="B63" s="95"/>
      <c r="C63" s="891">
        <v>45922</v>
      </c>
      <c r="D63" s="882">
        <v>45922</v>
      </c>
      <c r="E63" s="959">
        <v>45923</v>
      </c>
      <c r="F63" s="882">
        <v>45923</v>
      </c>
      <c r="G63" s="961">
        <v>45924</v>
      </c>
      <c r="H63" s="963">
        <v>45925</v>
      </c>
      <c r="I63" s="1401" t="s">
        <v>757</v>
      </c>
      <c r="J63" s="891">
        <v>45922</v>
      </c>
      <c r="K63" s="882">
        <v>45922</v>
      </c>
      <c r="L63" s="882">
        <v>45923</v>
      </c>
      <c r="M63" s="882">
        <v>45923</v>
      </c>
      <c r="N63" s="882">
        <v>45924</v>
      </c>
      <c r="O63" s="882">
        <v>45925</v>
      </c>
      <c r="P63" s="1401" t="s">
        <v>757</v>
      </c>
    </row>
    <row r="64" spans="2:16" ht="15" thickBot="1">
      <c r="B64" s="95"/>
      <c r="C64" s="894" t="s">
        <v>759</v>
      </c>
      <c r="D64" s="883" t="s">
        <v>758</v>
      </c>
      <c r="E64" s="960" t="s">
        <v>759</v>
      </c>
      <c r="F64" s="883" t="s">
        <v>758</v>
      </c>
      <c r="G64" s="962" t="s">
        <v>759</v>
      </c>
      <c r="H64" s="964" t="s">
        <v>758</v>
      </c>
      <c r="I64" s="1402"/>
      <c r="J64" s="894" t="s">
        <v>759</v>
      </c>
      <c r="K64" s="883" t="s">
        <v>758</v>
      </c>
      <c r="L64" s="883" t="s">
        <v>759</v>
      </c>
      <c r="M64" s="883" t="s">
        <v>758</v>
      </c>
      <c r="N64" s="883" t="s">
        <v>759</v>
      </c>
      <c r="O64" s="883" t="s">
        <v>758</v>
      </c>
      <c r="P64" s="1403"/>
    </row>
    <row r="65" spans="1:16">
      <c r="A65" s="95"/>
      <c r="B65" s="848" t="s">
        <v>744</v>
      </c>
      <c r="C65" s="886">
        <v>2.2959999999999998</v>
      </c>
      <c r="D65" s="884">
        <v>2.2839999999999998</v>
      </c>
      <c r="E65" s="884">
        <v>2.8570000000000002</v>
      </c>
      <c r="F65" s="884">
        <v>1.7849999999999999</v>
      </c>
      <c r="G65" s="884">
        <v>2.64</v>
      </c>
      <c r="H65" s="884">
        <v>1.89</v>
      </c>
      <c r="I65" s="885">
        <f>+AVERAGE(C65:D65,F65,H65)</f>
        <v>2.0637500000000002</v>
      </c>
      <c r="J65" s="965">
        <v>5.56</v>
      </c>
      <c r="K65" s="884">
        <v>5.21</v>
      </c>
      <c r="L65" s="884">
        <v>8.43</v>
      </c>
      <c r="M65" s="884">
        <v>5.29</v>
      </c>
      <c r="N65" s="884">
        <v>7.01</v>
      </c>
      <c r="O65" s="884">
        <v>4.9000000000000004</v>
      </c>
      <c r="P65" s="885">
        <f>+AVERAGE(J65,M65:N65)</f>
        <v>5.9533333333333331</v>
      </c>
    </row>
    <row r="66" spans="1:16">
      <c r="A66" s="95"/>
      <c r="B66" s="849" t="s">
        <v>746</v>
      </c>
      <c r="C66" s="875">
        <v>25.77</v>
      </c>
      <c r="D66" s="649">
        <v>23.75</v>
      </c>
      <c r="E66" s="649">
        <v>19.13</v>
      </c>
      <c r="F66" s="649">
        <v>23.84</v>
      </c>
      <c r="G66" s="649">
        <v>26.16</v>
      </c>
      <c r="H66" s="876">
        <v>18.72</v>
      </c>
      <c r="I66" s="874">
        <f t="shared" ref="I66:I72" si="4">+AVERAGE(C66:D66,F66,H66)</f>
        <v>23.02</v>
      </c>
      <c r="J66" s="873">
        <v>17.100000000000001</v>
      </c>
      <c r="K66" s="649">
        <v>16.899999999999999</v>
      </c>
      <c r="L66" s="649">
        <v>28</v>
      </c>
      <c r="M66" s="649">
        <v>20.6</v>
      </c>
      <c r="N66" s="649">
        <v>24.5</v>
      </c>
      <c r="O66" s="649">
        <v>27.1</v>
      </c>
      <c r="P66" s="874">
        <f>+AVERAGE(J66,M66:N66)</f>
        <v>20.733333333333334</v>
      </c>
    </row>
    <row r="67" spans="1:16">
      <c r="A67" s="95"/>
      <c r="B67" s="849" t="s">
        <v>745</v>
      </c>
      <c r="C67" s="875">
        <v>1.6850000000000001</v>
      </c>
      <c r="D67" s="649">
        <v>1.069</v>
      </c>
      <c r="E67" s="649">
        <v>0.86</v>
      </c>
      <c r="F67" s="649">
        <v>0.69899999999999995</v>
      </c>
      <c r="G67" s="649">
        <v>1.27</v>
      </c>
      <c r="H67" s="649">
        <v>0.78</v>
      </c>
      <c r="I67" s="874">
        <f t="shared" si="4"/>
        <v>1.0582499999999999</v>
      </c>
      <c r="J67" s="873">
        <v>6.15</v>
      </c>
      <c r="K67" s="649">
        <v>5.99</v>
      </c>
      <c r="L67" s="649">
        <v>4.33</v>
      </c>
      <c r="M67" s="649">
        <v>4.59</v>
      </c>
      <c r="N67" s="649">
        <v>4.54</v>
      </c>
      <c r="O67" s="649">
        <v>3.55</v>
      </c>
      <c r="P67" s="874">
        <f t="shared" ref="P67:P71" si="5">+AVERAGE(J67,M67:N67)</f>
        <v>5.0933333333333337</v>
      </c>
    </row>
    <row r="68" spans="1:16">
      <c r="A68" s="95"/>
      <c r="B68" s="849" t="s">
        <v>747</v>
      </c>
      <c r="C68" s="875">
        <v>2.085</v>
      </c>
      <c r="D68" s="649">
        <v>1.512</v>
      </c>
      <c r="E68" s="649">
        <v>2.1280000000000001</v>
      </c>
      <c r="F68" s="649">
        <v>1.982</v>
      </c>
      <c r="G68" s="649">
        <v>1.81</v>
      </c>
      <c r="H68" s="649">
        <v>1.33</v>
      </c>
      <c r="I68" s="874">
        <f t="shared" si="4"/>
        <v>1.72725</v>
      </c>
      <c r="J68" s="873">
        <v>6.33</v>
      </c>
      <c r="K68" s="649">
        <v>6.43</v>
      </c>
      <c r="L68" s="876">
        <v>9.24</v>
      </c>
      <c r="M68" s="649">
        <v>5.99</v>
      </c>
      <c r="N68" s="876">
        <v>6.28</v>
      </c>
      <c r="O68" s="649">
        <v>5.03</v>
      </c>
      <c r="P68" s="874">
        <f t="shared" si="5"/>
        <v>6.2</v>
      </c>
    </row>
    <row r="69" spans="1:16">
      <c r="A69" s="95"/>
      <c r="B69" s="849" t="s">
        <v>748</v>
      </c>
      <c r="C69" s="875">
        <v>5.92</v>
      </c>
      <c r="D69" s="649">
        <v>5.31</v>
      </c>
      <c r="E69" s="876">
        <v>1.984</v>
      </c>
      <c r="F69" s="649">
        <v>3.843</v>
      </c>
      <c r="G69" s="649">
        <v>2.27</v>
      </c>
      <c r="H69" s="649">
        <v>2.4500000000000002</v>
      </c>
      <c r="I69" s="874">
        <f t="shared" si="4"/>
        <v>4.3807499999999999</v>
      </c>
      <c r="J69" s="873">
        <v>10.3</v>
      </c>
      <c r="K69" s="876">
        <v>12.4</v>
      </c>
      <c r="L69" s="876">
        <v>5.98</v>
      </c>
      <c r="M69" s="649">
        <v>7.91</v>
      </c>
      <c r="N69" s="876">
        <v>5.77</v>
      </c>
      <c r="O69" s="649">
        <v>6.56</v>
      </c>
      <c r="P69" s="874">
        <f t="shared" si="5"/>
        <v>7.9933333333333332</v>
      </c>
    </row>
    <row r="70" spans="1:16">
      <c r="A70" s="95"/>
      <c r="B70" s="849" t="s">
        <v>749</v>
      </c>
      <c r="C70" s="875">
        <v>23.39</v>
      </c>
      <c r="D70" s="876">
        <v>9.83</v>
      </c>
      <c r="E70" s="649">
        <v>17.79</v>
      </c>
      <c r="F70" s="649">
        <v>15.93</v>
      </c>
      <c r="G70" s="649">
        <v>25.33</v>
      </c>
      <c r="H70" s="649">
        <v>16.71</v>
      </c>
      <c r="I70" s="874">
        <f t="shared" si="4"/>
        <v>16.465</v>
      </c>
      <c r="J70" s="873">
        <v>21.6</v>
      </c>
      <c r="K70" s="876">
        <v>12.4</v>
      </c>
      <c r="L70" s="649">
        <v>22.8</v>
      </c>
      <c r="M70" s="649">
        <v>19.399999999999999</v>
      </c>
      <c r="N70" s="649">
        <v>21.7</v>
      </c>
      <c r="O70" s="649">
        <v>18</v>
      </c>
      <c r="P70" s="874">
        <f t="shared" si="5"/>
        <v>20.900000000000002</v>
      </c>
    </row>
    <row r="71" spans="1:16">
      <c r="A71" s="95"/>
      <c r="B71" s="849" t="s">
        <v>750</v>
      </c>
      <c r="C71" s="875">
        <v>2.8260000000000001</v>
      </c>
      <c r="D71" s="649">
        <v>3.22</v>
      </c>
      <c r="E71" s="649">
        <v>1.8160000000000001</v>
      </c>
      <c r="F71" s="895">
        <v>2.5299999999999998</v>
      </c>
      <c r="G71" s="876">
        <v>1.58</v>
      </c>
      <c r="H71" s="649">
        <v>1.605</v>
      </c>
      <c r="I71" s="874">
        <f t="shared" si="4"/>
        <v>2.5452500000000002</v>
      </c>
      <c r="J71" s="873">
        <v>7.32</v>
      </c>
      <c r="K71" s="649">
        <v>8.59</v>
      </c>
      <c r="L71" s="649">
        <v>6.68</v>
      </c>
      <c r="M71" s="895">
        <v>6.97</v>
      </c>
      <c r="N71" s="876">
        <v>2.6</v>
      </c>
      <c r="O71" s="649">
        <v>5.03</v>
      </c>
      <c r="P71" s="874">
        <f t="shared" si="5"/>
        <v>5.63</v>
      </c>
    </row>
    <row r="72" spans="1:16" ht="15" thickBot="1">
      <c r="A72" s="95"/>
      <c r="B72" s="850" t="s">
        <v>751</v>
      </c>
      <c r="C72" s="879">
        <v>0.154</v>
      </c>
      <c r="D72" s="877">
        <v>0.13900000000000001</v>
      </c>
      <c r="E72" s="877">
        <v>0.25800000000000001</v>
      </c>
      <c r="F72" s="896">
        <v>0.21</v>
      </c>
      <c r="G72" s="889">
        <v>0.12</v>
      </c>
      <c r="H72" s="877">
        <v>0.14399999999999999</v>
      </c>
      <c r="I72" s="878">
        <f t="shared" si="4"/>
        <v>0.16175</v>
      </c>
      <c r="J72" s="897">
        <v>3.81</v>
      </c>
      <c r="K72" s="877">
        <v>4.07</v>
      </c>
      <c r="L72" s="877">
        <v>2.63</v>
      </c>
      <c r="M72" s="896">
        <v>3.22</v>
      </c>
      <c r="N72" s="889">
        <v>5.12</v>
      </c>
      <c r="O72" s="877">
        <v>2.38</v>
      </c>
      <c r="P72" s="878">
        <f>+AVERAGE(J72,M72:N72)</f>
        <v>4.05</v>
      </c>
    </row>
    <row r="73" spans="1:16" ht="15" thickBot="1">
      <c r="B73" s="95"/>
      <c r="C73" s="95"/>
      <c r="D73" s="95"/>
      <c r="E73" s="95">
        <v>0.27</v>
      </c>
      <c r="F73" s="95"/>
      <c r="G73" s="117" t="s">
        <v>944</v>
      </c>
      <c r="H73" s="95"/>
      <c r="I73" s="95"/>
      <c r="J73" s="95"/>
      <c r="K73" s="95"/>
      <c r="L73" s="117"/>
      <c r="M73" s="95"/>
      <c r="N73" s="95"/>
      <c r="O73" s="95"/>
      <c r="P73" s="95"/>
    </row>
    <row r="74" spans="1:16">
      <c r="B74" s="848" t="s">
        <v>756</v>
      </c>
      <c r="C74" s="886">
        <f t="shared" ref="C74:D74" si="6">+C66/C65</f>
        <v>11.223867595818817</v>
      </c>
      <c r="D74" s="884">
        <f t="shared" si="6"/>
        <v>10.398423817863398</v>
      </c>
      <c r="E74" s="884">
        <f>+E66/E65</f>
        <v>6.6958347917395864</v>
      </c>
      <c r="F74" s="884">
        <f>+F66/F65</f>
        <v>13.355742296918768</v>
      </c>
      <c r="G74" s="884">
        <f>+G66/G65</f>
        <v>9.9090909090909083</v>
      </c>
      <c r="H74" s="884">
        <f>+H66/H65</f>
        <v>9.9047619047619051</v>
      </c>
      <c r="I74" s="885">
        <f>+AVERAGE(C74:D74,F74,H74)</f>
        <v>11.220698903840722</v>
      </c>
      <c r="J74" s="886">
        <f t="shared" ref="J74:M74" si="7">+J66/J65</f>
        <v>3.0755395683453242</v>
      </c>
      <c r="K74" s="884">
        <f t="shared" si="7"/>
        <v>3.2437619961612283</v>
      </c>
      <c r="L74" s="884">
        <f t="shared" si="7"/>
        <v>3.3214709371293001</v>
      </c>
      <c r="M74" s="884">
        <f t="shared" si="7"/>
        <v>3.8941398865784502</v>
      </c>
      <c r="N74" s="884">
        <f>+N66/N65</f>
        <v>3.495007132667618</v>
      </c>
      <c r="O74" s="884">
        <f>+O66/O65</f>
        <v>5.5306122448979593</v>
      </c>
      <c r="P74" s="885">
        <f>+AVERAGE(J74,M74:N74)</f>
        <v>3.4882288625304643</v>
      </c>
    </row>
    <row r="75" spans="1:16" ht="15" thickBot="1">
      <c r="B75" s="850" t="s">
        <v>764</v>
      </c>
      <c r="C75" s="875">
        <f t="shared" ref="C75:D75" si="8">+C70/C69</f>
        <v>3.9510135135135136</v>
      </c>
      <c r="D75" s="649">
        <f t="shared" si="8"/>
        <v>1.8512241054613938</v>
      </c>
      <c r="E75" s="649">
        <f>+E70/E69</f>
        <v>8.966733870967742</v>
      </c>
      <c r="F75" s="649">
        <f>+F70/F69</f>
        <v>4.1451990632318498</v>
      </c>
      <c r="G75" s="649">
        <f>+G70/G69</f>
        <v>11.158590308370043</v>
      </c>
      <c r="H75" s="649">
        <f>+H70/H69</f>
        <v>6.8204081632653057</v>
      </c>
      <c r="I75" s="874">
        <f t="shared" ref="I75" si="9">+AVERAGE(C75:D75,F75,H75)</f>
        <v>4.1919612113680156</v>
      </c>
      <c r="J75" s="875">
        <f t="shared" ref="J75:M75" si="10">+J70/J69</f>
        <v>2.0970873786407767</v>
      </c>
      <c r="K75" s="649">
        <f t="shared" si="10"/>
        <v>1</v>
      </c>
      <c r="L75" s="649">
        <f t="shared" si="10"/>
        <v>3.8127090301003341</v>
      </c>
      <c r="M75" s="649">
        <f t="shared" si="10"/>
        <v>2.4525916561314789</v>
      </c>
      <c r="N75" s="649">
        <f>+N70/N69</f>
        <v>3.760831889081456</v>
      </c>
      <c r="O75" s="649">
        <f>+O70/O69</f>
        <v>2.7439024390243905</v>
      </c>
      <c r="P75" s="874">
        <f>+AVERAGE(J75,M75:N75)</f>
        <v>2.7701703079512376</v>
      </c>
    </row>
    <row r="76" spans="1:16" ht="15" thickBot="1">
      <c r="B76" s="95"/>
      <c r="C76" s="629"/>
      <c r="D76" s="95"/>
      <c r="E76" s="95"/>
      <c r="F76" s="95"/>
      <c r="G76" s="95"/>
      <c r="H76" s="95"/>
      <c r="I76" s="887"/>
      <c r="J76" s="629"/>
      <c r="K76" s="95"/>
      <c r="L76" s="95"/>
      <c r="M76" s="95"/>
      <c r="N76" s="95"/>
      <c r="O76" s="95"/>
      <c r="P76" s="887"/>
    </row>
    <row r="77" spans="1:16">
      <c r="B77" s="848" t="s">
        <v>752</v>
      </c>
      <c r="C77" s="649">
        <f>+(C65-C72)/(AVERAGE(C66,C70)-C72)*100</f>
        <v>8.7693441414885775</v>
      </c>
      <c r="D77" s="649">
        <f>+(D65-D72)/(AVERAGE(D66,D70)-D72)*100</f>
        <v>12.882109182631671</v>
      </c>
      <c r="E77" s="649">
        <f t="shared" ref="E77:H77" si="11">+(E65-E72)/(AVERAGE(E66,E70)-E72)*100</f>
        <v>14.278650697725526</v>
      </c>
      <c r="F77" s="649">
        <f t="shared" si="11"/>
        <v>8.0050825921219833</v>
      </c>
      <c r="G77" s="649">
        <f t="shared" si="11"/>
        <v>9.8341463414634163</v>
      </c>
      <c r="H77" s="649">
        <f t="shared" si="11"/>
        <v>9.9368277275055483</v>
      </c>
      <c r="I77" s="874">
        <f t="shared" ref="I77:I82" si="12">+AVERAGE(C77:D77,F77,H77)</f>
        <v>9.8983409109369447</v>
      </c>
      <c r="J77" s="875">
        <f t="shared" ref="J77:M77" si="13">+(J65-J72)/(J70-J72)*100</f>
        <v>9.8369870713884158</v>
      </c>
      <c r="K77" s="649">
        <f t="shared" si="13"/>
        <v>13.685474189675867</v>
      </c>
      <c r="L77" s="649">
        <f t="shared" si="13"/>
        <v>28.755577590480907</v>
      </c>
      <c r="M77" s="649">
        <f t="shared" si="13"/>
        <v>12.793572311495675</v>
      </c>
      <c r="N77" s="649">
        <f>+(N65-N72)/(N70-N72)*100</f>
        <v>11.399276236429433</v>
      </c>
      <c r="O77" s="649">
        <f>+(O65-O72)/(O70-O72)*100</f>
        <v>16.133162612035854</v>
      </c>
      <c r="P77" s="874">
        <f>+AVERAGE(J77,M77:N77)</f>
        <v>11.343278539771175</v>
      </c>
    </row>
    <row r="78" spans="1:16" ht="15" thickBot="1">
      <c r="B78" s="850" t="s">
        <v>753</v>
      </c>
      <c r="C78" s="649">
        <f>AVERAGE(C66,C70)/C65</f>
        <v>10.705574912891986</v>
      </c>
      <c r="D78" s="649">
        <f t="shared" ref="D78:H78" si="14">AVERAGE(D66,D70)/D65</f>
        <v>7.3511383537653243</v>
      </c>
      <c r="E78" s="649">
        <f t="shared" si="14"/>
        <v>6.4613230661533079</v>
      </c>
      <c r="F78" s="649">
        <f t="shared" si="14"/>
        <v>11.140056022408963</v>
      </c>
      <c r="G78" s="649">
        <f t="shared" si="14"/>
        <v>9.7518939393939377</v>
      </c>
      <c r="H78" s="649">
        <f t="shared" si="14"/>
        <v>9.3730158730158735</v>
      </c>
      <c r="I78" s="874">
        <f t="shared" si="12"/>
        <v>9.642446290520537</v>
      </c>
      <c r="J78" s="875">
        <f t="shared" ref="J78:M78" si="15">J70/J65</f>
        <v>3.884892086330936</v>
      </c>
      <c r="K78" s="649">
        <f t="shared" si="15"/>
        <v>2.3800383877159308</v>
      </c>
      <c r="L78" s="649">
        <f t="shared" si="15"/>
        <v>2.7046263345195731</v>
      </c>
      <c r="M78" s="649">
        <f t="shared" si="15"/>
        <v>3.6672967863894135</v>
      </c>
      <c r="N78" s="649">
        <f>N70/N65</f>
        <v>3.0955777460770326</v>
      </c>
      <c r="O78" s="649">
        <f>O70/O65</f>
        <v>3.6734693877551017</v>
      </c>
      <c r="P78" s="874">
        <f>+AVERAGE(J78,M78:N78)</f>
        <v>3.5492555395991272</v>
      </c>
    </row>
    <row r="79" spans="1:16" ht="15" thickBot="1">
      <c r="B79" s="95"/>
      <c r="C79" s="629"/>
      <c r="D79" s="95"/>
      <c r="E79" s="95"/>
      <c r="F79" s="95"/>
      <c r="G79" s="95"/>
      <c r="H79" s="95"/>
      <c r="I79" s="887"/>
      <c r="J79" s="629"/>
      <c r="K79" s="95"/>
      <c r="L79" s="95"/>
      <c r="M79" s="95"/>
      <c r="N79" s="95"/>
      <c r="O79" s="95"/>
      <c r="P79" s="887"/>
    </row>
    <row r="80" spans="1:16">
      <c r="B80" s="848" t="s">
        <v>754</v>
      </c>
      <c r="C80" s="875">
        <f>+AVERAGE('13. Pilotaje Rougher'!$K$37:$K$52)</f>
        <v>84.376281394866425</v>
      </c>
      <c r="D80" s="649">
        <f>+AVERAGE('13. Pilotaje Rougher'!$K$37:$K$52)</f>
        <v>84.376281394866425</v>
      </c>
      <c r="E80" s="649">
        <f>+AVERAGE('13. Pilotaje Rougher'!$K$37:$K$52)</f>
        <v>84.376281394866425</v>
      </c>
      <c r="F80" s="649">
        <f>+AVERAGE('13. Pilotaje Rougher'!$K$37:$K$52)</f>
        <v>84.376281394866425</v>
      </c>
      <c r="G80" s="649">
        <f>+AVERAGE('13. Pilotaje Rougher'!$K$37:$K$52)</f>
        <v>84.376281394866425</v>
      </c>
      <c r="H80" s="649">
        <f>+AVERAGE('13. Pilotaje Rougher'!$K$37:$K$52)</f>
        <v>84.376281394866425</v>
      </c>
      <c r="I80" s="874">
        <f t="shared" si="12"/>
        <v>84.376281394866425</v>
      </c>
      <c r="J80" s="875">
        <f>+AVERAGE('13. Pilotaje Rougher'!$K$37:$K$52)</f>
        <v>84.376281394866425</v>
      </c>
      <c r="K80" s="649">
        <f>+AVERAGE('13. Pilotaje Rougher'!$K$37:$K$52)</f>
        <v>84.376281394866425</v>
      </c>
      <c r="L80" s="649">
        <f>+AVERAGE('13. Pilotaje Rougher'!$K$37:$K$52)</f>
        <v>84.376281394866425</v>
      </c>
      <c r="M80" s="649">
        <f>+AVERAGE('13. Pilotaje Rougher'!$K$37:$K$52)</f>
        <v>84.376281394866425</v>
      </c>
      <c r="N80" s="649">
        <f>+AVERAGE('13. Pilotaje Rougher'!$K$37:$K$52)</f>
        <v>84.376281394866425</v>
      </c>
      <c r="O80" s="649">
        <f>+AVERAGE('13. Pilotaje Rougher'!$K$37:$K$52)</f>
        <v>84.376281394866425</v>
      </c>
      <c r="P80" s="874">
        <f t="shared" ref="P80" si="16">AVERAGE(J80:O80)</f>
        <v>84.37628139486641</v>
      </c>
    </row>
    <row r="81" spans="2:33">
      <c r="B81" s="849" t="s">
        <v>761</v>
      </c>
      <c r="C81" s="875">
        <f t="shared" ref="C81:D81" si="17">+C77*C78</f>
        <v>93.880870643636428</v>
      </c>
      <c r="D81" s="649">
        <f t="shared" si="17"/>
        <v>94.698166889836159</v>
      </c>
      <c r="E81" s="649">
        <f>+E77*E78</f>
        <v>92.258975106759962</v>
      </c>
      <c r="F81" s="649">
        <f>+F77*F78</f>
        <v>89.17706854024965</v>
      </c>
      <c r="G81" s="876">
        <f>+G77*G78</f>
        <v>95.901552106430159</v>
      </c>
      <c r="H81" s="649">
        <f>+H77*H78</f>
        <v>93.138044017333755</v>
      </c>
      <c r="I81" s="874">
        <f t="shared" si="12"/>
        <v>92.723537522763991</v>
      </c>
      <c r="J81" s="875">
        <f t="shared" ref="J81:M81" si="18">+J77*J78</f>
        <v>38.215633226976585</v>
      </c>
      <c r="K81" s="649">
        <f t="shared" si="18"/>
        <v>32.571953925524134</v>
      </c>
      <c r="L81" s="649">
        <f t="shared" si="18"/>
        <v>77.773092415535558</v>
      </c>
      <c r="M81" s="649">
        <f t="shared" si="18"/>
        <v>46.917826624388667</v>
      </c>
      <c r="N81" s="649">
        <f>+N77*N78</f>
        <v>35.287345838875702</v>
      </c>
      <c r="O81" s="649">
        <f>+O77*O78</f>
        <v>59.264678982988841</v>
      </c>
      <c r="P81" s="874">
        <f>+AVERAGE(J81,M81:N81)</f>
        <v>40.140268563413649</v>
      </c>
    </row>
    <row r="82" spans="2:33">
      <c r="B82" s="849" t="s">
        <v>755</v>
      </c>
      <c r="C82" s="875">
        <f t="shared" ref="C82:D82" si="19">+C81*C80/100</f>
        <v>79.213187590225218</v>
      </c>
      <c r="D82" s="649">
        <f t="shared" si="19"/>
        <v>79.902791770748379</v>
      </c>
      <c r="E82" s="649">
        <f>+E81*E80/100</f>
        <v>77.844692448099551</v>
      </c>
      <c r="F82" s="649">
        <f>+F81*F80/100</f>
        <v>75.244294291213947</v>
      </c>
      <c r="G82" s="649">
        <f>+G81*G80/100</f>
        <v>80.918163467365957</v>
      </c>
      <c r="H82" s="649">
        <f>+H81*H80/100</f>
        <v>78.58641810574008</v>
      </c>
      <c r="I82" s="874">
        <f t="shared" si="12"/>
        <v>78.236672939481906</v>
      </c>
      <c r="J82" s="875">
        <f t="shared" ref="J82:M82" si="20">+J81*J80/100</f>
        <v>32.24493022842384</v>
      </c>
      <c r="K82" s="649">
        <f t="shared" si="20"/>
        <v>27.483003500006486</v>
      </c>
      <c r="L82" s="649">
        <f t="shared" si="20"/>
        <v>65.622043306021794</v>
      </c>
      <c r="M82" s="649">
        <f t="shared" si="20"/>
        <v>39.587517416949737</v>
      </c>
      <c r="N82" s="649">
        <f>+N81*N80/100</f>
        <v>29.774150221789451</v>
      </c>
      <c r="O82" s="649">
        <f>+O81*O80/100</f>
        <v>50.005332306450924</v>
      </c>
      <c r="P82" s="874">
        <f>+AVERAGE(J82,M82:N82)</f>
        <v>33.868865955721013</v>
      </c>
    </row>
    <row r="83" spans="2:33" ht="15" thickBot="1">
      <c r="B83" s="850" t="s">
        <v>763</v>
      </c>
      <c r="C83" s="888">
        <f t="shared" ref="C83:D83" si="21">+(0.68-(AVERAGE(C72,0.13)))/((AVERAGE(C66,C70))-(AVERAGE(C72,0.13)))*100</f>
        <v>2.2014894835911289</v>
      </c>
      <c r="D83" s="889">
        <f t="shared" si="21"/>
        <v>3.2751943802347574</v>
      </c>
      <c r="E83" s="889">
        <f t="shared" ref="E83:O83" si="22">+(0.68-(AVERAGE(E72,0.13)))/((AVERAGE(E66,E70))-(AVERAGE(E72,0.13)))*100</f>
        <v>2.6606810467535311</v>
      </c>
      <c r="F83" s="889">
        <f t="shared" si="22"/>
        <v>2.5868627948262746</v>
      </c>
      <c r="G83" s="889">
        <f t="shared" si="22"/>
        <v>2.1662763466042159</v>
      </c>
      <c r="H83" s="889">
        <f t="shared" si="22"/>
        <v>3.0890886335191721</v>
      </c>
      <c r="I83" s="890">
        <f t="shared" si="22"/>
        <v>2.7255968821161809</v>
      </c>
      <c r="J83" s="888">
        <f t="shared" si="22"/>
        <v>-7.4223245109321043</v>
      </c>
      <c r="K83" s="889">
        <f t="shared" si="22"/>
        <v>-11.314741035856574</v>
      </c>
      <c r="L83" s="889">
        <f t="shared" si="22"/>
        <v>-2.9142381348875932</v>
      </c>
      <c r="M83" s="889">
        <f t="shared" si="22"/>
        <v>-5.4297407912687587</v>
      </c>
      <c r="N83" s="889">
        <f t="shared" si="22"/>
        <v>-9.4993894993894976</v>
      </c>
      <c r="O83" s="889">
        <f t="shared" si="22"/>
        <v>-2.7001643578304755</v>
      </c>
      <c r="P83" s="890">
        <f t="shared" ref="P83" si="23">+(0.68-(AVERAGE(P72,0.13)))/((AVERAGE(P66,P70))-(AVERAGE(P72,0.13)))*100</f>
        <v>-7.5293698825204673</v>
      </c>
    </row>
    <row r="85" spans="2:33">
      <c r="C85" s="95" t="s">
        <v>792</v>
      </c>
      <c r="D85" s="95" t="s">
        <v>792</v>
      </c>
      <c r="E85" s="1396" t="s">
        <v>793</v>
      </c>
      <c r="F85" s="1396"/>
      <c r="G85" s="1396" t="s">
        <v>793</v>
      </c>
      <c r="H85" s="1396"/>
    </row>
    <row r="86" spans="2:33">
      <c r="B86" s="898"/>
      <c r="C86" s="95"/>
      <c r="D86" s="95"/>
      <c r="E86" s="1396" t="s">
        <v>795</v>
      </c>
      <c r="F86" s="1396"/>
      <c r="G86" s="1396" t="s">
        <v>795</v>
      </c>
      <c r="H86" s="1396"/>
    </row>
    <row r="87" spans="2:33">
      <c r="C87" s="95"/>
      <c r="D87" s="95"/>
      <c r="E87" s="1396" t="s">
        <v>794</v>
      </c>
      <c r="F87" s="1396"/>
      <c r="G87" s="1396" t="s">
        <v>794</v>
      </c>
      <c r="H87" s="1396"/>
    </row>
    <row r="88" spans="2:33">
      <c r="B88" s="898"/>
    </row>
    <row r="89" spans="2:33">
      <c r="B89" s="4" t="s">
        <v>884</v>
      </c>
      <c r="C89" s="110">
        <f>+AVERAGE(C66,C70)</f>
        <v>24.58</v>
      </c>
      <c r="D89" s="110">
        <f t="shared" ref="D89:H89" si="24">+AVERAGE(D66,D70)</f>
        <v>16.79</v>
      </c>
      <c r="E89" s="110"/>
      <c r="F89" s="110">
        <f t="shared" si="24"/>
        <v>19.884999999999998</v>
      </c>
      <c r="G89" s="110"/>
      <c r="H89" s="110">
        <f t="shared" si="24"/>
        <v>17.715</v>
      </c>
      <c r="I89" s="110">
        <f>+AVERAGE(C89:H89)</f>
        <v>19.7425</v>
      </c>
    </row>
    <row r="90" spans="2:33">
      <c r="B90" s="4" t="s">
        <v>909</v>
      </c>
      <c r="C90" s="4">
        <f>C69*(C68-C72)/(C68*(C69-C72))*100</f>
        <v>95.087468006864029</v>
      </c>
      <c r="D90" s="4">
        <f>D69*(D68-D72)/(D68*(D69-D72))*100</f>
        <v>93.247829009770598</v>
      </c>
      <c r="F90" s="4">
        <f>F69*(F68-F72)/(F68*(F69-F72))*100</f>
        <v>94.57254014453784</v>
      </c>
      <c r="H90" s="4">
        <f>H69*(H68-H72)/(H68*(H69-H72))*100</f>
        <v>94.741406856256006</v>
      </c>
    </row>
    <row r="91" spans="2:33">
      <c r="B91" s="4" t="s">
        <v>940</v>
      </c>
      <c r="C91" s="4">
        <f>C66*(C65-C67)/(C65*(C66-C67))*100</f>
        <v>28.47325348160803</v>
      </c>
      <c r="D91" s="4">
        <f t="shared" ref="D91:H91" si="25">D66*(D65-D67)/(D65*(D66-D67))*100</f>
        <v>55.703385823835042</v>
      </c>
      <c r="F91" s="4">
        <f t="shared" si="25"/>
        <v>62.678087094135002</v>
      </c>
      <c r="H91" s="4">
        <f t="shared" si="25"/>
        <v>61.283643892339533</v>
      </c>
    </row>
    <row r="92" spans="2:33" ht="15" thickBot="1">
      <c r="B92" s="4" t="s">
        <v>941</v>
      </c>
      <c r="C92" s="4">
        <f t="shared" ref="C92:D92" si="26">C70*(C69-C71)/(C69*(C70-C71))*100</f>
        <v>59.445807288517862</v>
      </c>
      <c r="D92" s="4">
        <f t="shared" si="26"/>
        <v>58.533409688567517</v>
      </c>
      <c r="F92" s="4">
        <f>F70*(F69-F71)/(F69*(F70-F71))*100</f>
        <v>40.616763955398646</v>
      </c>
      <c r="H92" s="4">
        <f t="shared" ref="H92" si="27">H70*(H69-H71)/(H69*(H70-H71))*100</f>
        <v>38.154550797478883</v>
      </c>
    </row>
    <row r="93" spans="2:33" ht="15" thickBot="1">
      <c r="C93" s="1393" t="s">
        <v>1</v>
      </c>
      <c r="D93" s="1394"/>
      <c r="E93" s="1393" t="s">
        <v>17</v>
      </c>
      <c r="F93" s="1394"/>
      <c r="U93" s="1001"/>
      <c r="V93" s="1001"/>
      <c r="W93" s="1001"/>
      <c r="X93" s="1001"/>
      <c r="Y93" s="1001"/>
      <c r="Z93" s="1001"/>
      <c r="AA93" s="1001"/>
      <c r="AB93" s="1001"/>
      <c r="AC93" s="1001"/>
      <c r="AD93" s="1001"/>
      <c r="AE93" s="1001"/>
      <c r="AF93" s="1001"/>
      <c r="AG93" s="1001"/>
    </row>
    <row r="94" spans="2:33">
      <c r="C94" s="1391" t="s">
        <v>757</v>
      </c>
      <c r="D94" s="1392"/>
      <c r="E94" s="1391" t="s">
        <v>757</v>
      </c>
      <c r="F94" s="1392"/>
      <c r="U94" s="1001"/>
      <c r="V94" s="1001"/>
      <c r="W94" s="1001"/>
      <c r="X94" s="1001"/>
      <c r="Y94" s="1001"/>
      <c r="Z94" s="1001"/>
      <c r="AA94" s="1001"/>
      <c r="AB94" s="1001"/>
      <c r="AC94" s="1001"/>
      <c r="AD94" s="1001"/>
      <c r="AE94" s="1001"/>
      <c r="AF94" s="1001"/>
      <c r="AG94" s="1001"/>
    </row>
    <row r="95" spans="2:33" ht="15" thickBot="1">
      <c r="C95" s="892" t="s">
        <v>800</v>
      </c>
      <c r="D95" s="911" t="s">
        <v>801</v>
      </c>
      <c r="E95" s="892" t="s">
        <v>800</v>
      </c>
      <c r="F95" s="911" t="s">
        <v>801</v>
      </c>
      <c r="J95" s="1002" t="s">
        <v>901</v>
      </c>
      <c r="K95" s="1003" t="s">
        <v>902</v>
      </c>
      <c r="U95" s="1001"/>
      <c r="V95" s="1001"/>
      <c r="W95" s="1001"/>
      <c r="X95" s="1001"/>
      <c r="Y95" s="1001"/>
      <c r="Z95" s="1001"/>
      <c r="AA95" s="1001"/>
      <c r="AB95" s="1001"/>
      <c r="AC95" s="1001"/>
      <c r="AD95" s="1001"/>
      <c r="AE95" s="1001"/>
      <c r="AF95" s="1001"/>
      <c r="AG95" s="1001"/>
    </row>
    <row r="96" spans="2:33">
      <c r="B96" s="848" t="s">
        <v>744</v>
      </c>
      <c r="C96" s="872">
        <f>+AVERAGE(C34,F34)</f>
        <v>4.6105</v>
      </c>
      <c r="D96" s="871">
        <f>+I65</f>
        <v>2.0637500000000002</v>
      </c>
      <c r="E96" s="872">
        <v>4.55</v>
      </c>
      <c r="F96" s="871">
        <v>3.9830000000000001</v>
      </c>
      <c r="I96" s="848" t="s">
        <v>21</v>
      </c>
      <c r="J96" s="872">
        <f>+AVERAGE('13. Pilotaje Rougher'!$F$20:$F$36)</f>
        <v>0.67582352941176471</v>
      </c>
      <c r="K96" s="871">
        <f>+AVERAGE('13. Pilotaje Rougher'!$F$37:$F$52)</f>
        <v>0.68168749999999989</v>
      </c>
      <c r="U96" s="1001"/>
      <c r="V96" s="1001"/>
      <c r="W96" s="1001"/>
      <c r="X96" s="1001"/>
      <c r="Y96" s="1001"/>
      <c r="Z96" s="1001"/>
      <c r="AA96" s="1001"/>
      <c r="AB96" s="1001"/>
      <c r="AC96" s="1001"/>
      <c r="AD96" s="1001"/>
      <c r="AE96" s="1001"/>
      <c r="AF96" s="1001"/>
      <c r="AG96" s="1001"/>
    </row>
    <row r="97" spans="2:33">
      <c r="B97" s="849" t="s">
        <v>746</v>
      </c>
      <c r="C97" s="875">
        <f>+AVERAGE(C35,F35)</f>
        <v>21.674999999999997</v>
      </c>
      <c r="D97" s="874">
        <f>+I66</f>
        <v>23.02</v>
      </c>
      <c r="E97" s="875">
        <v>20.99</v>
      </c>
      <c r="F97" s="874">
        <v>23.34</v>
      </c>
      <c r="I97" s="849" t="s">
        <v>23</v>
      </c>
      <c r="J97" s="875">
        <f>+AVERAGE('13. Pilotaje Rougher'!$G$20:$G$36)</f>
        <v>0.15441176470588236</v>
      </c>
      <c r="K97" s="874">
        <f>+AVERAGE('13. Pilotaje Rougher'!$G$37:$G$52)</f>
        <v>0.13150000000000001</v>
      </c>
      <c r="U97" s="1001"/>
      <c r="V97" s="1001"/>
      <c r="W97" s="1001"/>
      <c r="X97" s="1001"/>
      <c r="Y97" s="1001"/>
      <c r="Z97" s="1001"/>
      <c r="AA97" s="1001"/>
      <c r="AB97" s="1001"/>
      <c r="AC97" s="1001"/>
      <c r="AD97" s="1001"/>
      <c r="AE97" s="1001"/>
      <c r="AF97" s="1001"/>
      <c r="AG97" s="1001"/>
    </row>
    <row r="98" spans="2:33">
      <c r="B98" s="849" t="s">
        <v>745</v>
      </c>
      <c r="C98" s="875">
        <f t="shared" ref="C98:C102" si="28">+AVERAGE(C36,F36)</f>
        <v>2.9889999999999999</v>
      </c>
      <c r="D98" s="874">
        <f t="shared" ref="D98:D102" si="29">+I67</f>
        <v>1.0582499999999999</v>
      </c>
      <c r="E98" s="875">
        <v>3.29</v>
      </c>
      <c r="F98" s="874">
        <v>1.9</v>
      </c>
      <c r="I98" s="849" t="s">
        <v>22</v>
      </c>
      <c r="J98" s="875">
        <f>+AVERAGE('13. Pilotaje Rougher'!$H$20:$H$36)</f>
        <v>5.1583529411764708</v>
      </c>
      <c r="K98" s="874">
        <f>+AVERAGE('13. Pilotaje Rougher'!$H$37:$H$52)</f>
        <v>3.2132499999999999</v>
      </c>
      <c r="U98" s="1001"/>
      <c r="V98" s="1001"/>
      <c r="W98" s="1001"/>
      <c r="X98" s="1001"/>
      <c r="Y98" s="1001"/>
      <c r="Z98" s="1001"/>
      <c r="AA98" s="1001"/>
      <c r="AB98" s="1001"/>
      <c r="AC98" s="1001"/>
      <c r="AD98" s="1001"/>
      <c r="AE98" s="1001"/>
      <c r="AF98" s="1001"/>
      <c r="AG98" s="1001"/>
    </row>
    <row r="99" spans="2:33">
      <c r="B99" s="849" t="s">
        <v>747</v>
      </c>
      <c r="C99" s="875">
        <f t="shared" si="28"/>
        <v>3.3</v>
      </c>
      <c r="D99" s="874">
        <f t="shared" si="29"/>
        <v>1.72725</v>
      </c>
      <c r="E99" s="875">
        <v>2.1349999999999998</v>
      </c>
      <c r="F99" s="874">
        <v>2.9729999999999999</v>
      </c>
      <c r="I99" s="849" t="str">
        <f t="shared" ref="I99:K100" si="30">B96</f>
        <v>Alim. 1° Cl</v>
      </c>
      <c r="J99" s="875">
        <f t="shared" si="30"/>
        <v>4.6105</v>
      </c>
      <c r="K99" s="874">
        <f t="shared" si="30"/>
        <v>2.0637500000000002</v>
      </c>
      <c r="U99" s="1001"/>
      <c r="V99" s="1001"/>
      <c r="W99" s="1001"/>
      <c r="X99" s="1001"/>
      <c r="Y99" s="1001"/>
      <c r="Z99" s="1001"/>
      <c r="AA99" s="1001"/>
      <c r="AB99" s="1001"/>
      <c r="AC99" s="1001"/>
      <c r="AD99" s="1001"/>
      <c r="AE99" s="1001"/>
      <c r="AF99" s="1001"/>
      <c r="AG99" s="1001"/>
    </row>
    <row r="100" spans="2:33">
      <c r="B100" s="849" t="s">
        <v>748</v>
      </c>
      <c r="C100" s="875">
        <f t="shared" si="28"/>
        <v>5.1739999999999995</v>
      </c>
      <c r="D100" s="874">
        <f t="shared" si="29"/>
        <v>4.3807499999999999</v>
      </c>
      <c r="E100" s="875">
        <v>4.5679999999999996</v>
      </c>
      <c r="F100" s="874">
        <v>3.952</v>
      </c>
      <c r="I100" s="849" t="str">
        <f t="shared" si="30"/>
        <v>Conc. 1° Cl</v>
      </c>
      <c r="J100" s="875">
        <f t="shared" si="30"/>
        <v>21.674999999999997</v>
      </c>
      <c r="K100" s="874">
        <f t="shared" si="30"/>
        <v>23.02</v>
      </c>
      <c r="U100" s="1001"/>
      <c r="V100" s="1001"/>
      <c r="W100" s="1001"/>
      <c r="X100" s="1001"/>
      <c r="Y100" s="1001"/>
      <c r="Z100" s="1001"/>
      <c r="AA100" s="1001"/>
      <c r="AB100" s="1001"/>
      <c r="AC100" s="1001"/>
      <c r="AD100" s="1001"/>
      <c r="AE100" s="1001"/>
      <c r="AF100" s="1001"/>
      <c r="AG100" s="1001"/>
    </row>
    <row r="101" spans="2:33">
      <c r="B101" s="849" t="s">
        <v>749</v>
      </c>
      <c r="C101" s="875">
        <f t="shared" si="28"/>
        <v>16.29</v>
      </c>
      <c r="D101" s="874">
        <f t="shared" si="29"/>
        <v>16.465</v>
      </c>
      <c r="E101" s="875">
        <v>17.55</v>
      </c>
      <c r="F101" s="874">
        <v>14.98</v>
      </c>
      <c r="I101" s="849" t="str">
        <f>B101</f>
        <v>Conc. Cl-SCV</v>
      </c>
      <c r="J101" s="875">
        <f>C101</f>
        <v>16.29</v>
      </c>
      <c r="K101" s="874">
        <f>D101</f>
        <v>16.465</v>
      </c>
      <c r="U101" s="1001"/>
      <c r="V101" s="1001"/>
      <c r="W101" s="1001"/>
      <c r="X101" s="1001"/>
      <c r="Y101" s="1001"/>
      <c r="Z101" s="1001"/>
      <c r="AA101" s="1001"/>
      <c r="AB101" s="1001"/>
      <c r="AC101" s="1001"/>
      <c r="AD101" s="1001"/>
      <c r="AE101" s="1001"/>
      <c r="AF101" s="1001"/>
      <c r="AG101" s="1001"/>
    </row>
    <row r="102" spans="2:33">
      <c r="B102" s="849" t="s">
        <v>750</v>
      </c>
      <c r="C102" s="875">
        <f t="shared" si="28"/>
        <v>4.7590000000000003</v>
      </c>
      <c r="D102" s="874">
        <f t="shared" si="29"/>
        <v>2.5452500000000002</v>
      </c>
      <c r="E102" s="875">
        <v>4.5519999999999996</v>
      </c>
      <c r="F102" s="874">
        <v>4.8650000000000002</v>
      </c>
      <c r="I102" s="849" t="str">
        <f>B103</f>
        <v>Cola SCV</v>
      </c>
      <c r="J102" s="875">
        <f>C103</f>
        <v>0.23</v>
      </c>
      <c r="K102" s="874">
        <f>D103</f>
        <v>0.16175</v>
      </c>
      <c r="U102" s="1001"/>
      <c r="V102" s="1001"/>
      <c r="W102" s="1001"/>
      <c r="X102" s="1001"/>
      <c r="Y102" s="1001"/>
      <c r="Z102" s="1001"/>
      <c r="AA102" s="1001"/>
      <c r="AB102" s="1001"/>
      <c r="AC102" s="1001"/>
      <c r="AD102" s="1001"/>
      <c r="AE102" s="1001"/>
      <c r="AF102" s="1001"/>
      <c r="AG102" s="1001"/>
    </row>
    <row r="103" spans="2:33" ht="15" thickBot="1">
      <c r="B103" s="850" t="s">
        <v>751</v>
      </c>
      <c r="C103" s="879">
        <f>+AVERAGE(C41,F41)</f>
        <v>0.23</v>
      </c>
      <c r="D103" s="910">
        <f>+I72</f>
        <v>0.16175</v>
      </c>
      <c r="E103" s="879">
        <v>0.22600000000000001</v>
      </c>
      <c r="F103" s="910">
        <v>0.253</v>
      </c>
      <c r="I103" s="850" t="s">
        <v>900</v>
      </c>
      <c r="J103" s="879">
        <f>+AVERAGE(J100:J101)</f>
        <v>18.982499999999998</v>
      </c>
      <c r="K103" s="910">
        <f>+AVERAGE(K100:K101)</f>
        <v>19.7425</v>
      </c>
      <c r="U103" s="1001"/>
      <c r="V103" s="1001"/>
      <c r="W103" s="1001"/>
      <c r="X103" s="1001"/>
      <c r="Y103" s="1001"/>
      <c r="Z103" s="1001"/>
      <c r="AA103" s="1001"/>
      <c r="AB103" s="1001"/>
      <c r="AC103" s="1001"/>
      <c r="AD103" s="1001"/>
      <c r="AE103" s="1001"/>
      <c r="AF103" s="1001"/>
      <c r="AG103" s="1001"/>
    </row>
    <row r="104" spans="2:33" ht="15" thickBot="1">
      <c r="U104" s="1001"/>
      <c r="V104" s="1001"/>
      <c r="W104" s="1001"/>
      <c r="X104" s="1001"/>
      <c r="Y104" s="1001"/>
      <c r="Z104" s="1001"/>
      <c r="AA104" s="1001"/>
      <c r="AB104" s="1001"/>
      <c r="AC104" s="1001"/>
      <c r="AD104" s="1001"/>
      <c r="AE104" s="1001"/>
      <c r="AF104" s="1001"/>
      <c r="AG104" s="1001"/>
    </row>
    <row r="105" spans="2:33">
      <c r="B105" s="848" t="s">
        <v>756</v>
      </c>
      <c r="C105" s="912">
        <f>+C97/C96</f>
        <v>4.7012254636156596</v>
      </c>
      <c r="D105" s="913">
        <f>+D97/D96</f>
        <v>11.154451847365232</v>
      </c>
      <c r="E105" s="912">
        <f>+E97/E96</f>
        <v>4.6131868131868128</v>
      </c>
      <c r="F105" s="913">
        <f>+F97/F96</f>
        <v>5.8599045945267383</v>
      </c>
      <c r="I105" s="848" t="str">
        <f t="shared" ref="I105:K108" si="31">B111</f>
        <v>Rec Ro</v>
      </c>
      <c r="J105" s="886">
        <f t="shared" si="31"/>
        <v>79.807493568485683</v>
      </c>
      <c r="K105" s="885">
        <f t="shared" si="31"/>
        <v>84.376281394866425</v>
      </c>
      <c r="U105" s="1001"/>
      <c r="V105" s="1001"/>
      <c r="W105" s="1001"/>
      <c r="X105" s="1001"/>
      <c r="Y105" s="1001"/>
      <c r="Z105" s="1001"/>
      <c r="AA105" s="1001"/>
      <c r="AB105" s="1001"/>
      <c r="AC105" s="1001"/>
      <c r="AD105" s="1001"/>
      <c r="AE105" s="1001"/>
      <c r="AF105" s="1001"/>
      <c r="AG105" s="1001"/>
    </row>
    <row r="106" spans="2:33" ht="15" thickBot="1">
      <c r="B106" s="850" t="s">
        <v>764</v>
      </c>
      <c r="C106" s="914">
        <f>+C101/C100</f>
        <v>3.1484344800927717</v>
      </c>
      <c r="D106" s="915">
        <f>+D101/D100</f>
        <v>3.758488843234606</v>
      </c>
      <c r="E106" s="914">
        <f>+E101/E100</f>
        <v>3.8419439579684767</v>
      </c>
      <c r="F106" s="915">
        <f>+F101/F100</f>
        <v>3.7904858299595143</v>
      </c>
      <c r="I106" s="849" t="str">
        <f t="shared" si="31"/>
        <v>Rec Cleaner</v>
      </c>
      <c r="J106" s="875">
        <f t="shared" si="31"/>
        <v>96.37207316722359</v>
      </c>
      <c r="K106" s="874">
        <f t="shared" si="31"/>
        <v>93.076699145026922</v>
      </c>
      <c r="U106" s="1001"/>
      <c r="V106" s="1001"/>
      <c r="W106" s="1001"/>
      <c r="X106" s="1001"/>
      <c r="Y106" s="1001"/>
      <c r="Z106" s="1001"/>
      <c r="AA106" s="1001"/>
      <c r="AB106" s="1001"/>
      <c r="AC106" s="1001"/>
      <c r="AD106" s="1001"/>
      <c r="AE106" s="1001"/>
      <c r="AF106" s="1001"/>
      <c r="AG106" s="1001"/>
    </row>
    <row r="107" spans="2:33" ht="15" thickBot="1">
      <c r="I107" s="849" t="str">
        <f t="shared" si="31"/>
        <v>Rec Global</v>
      </c>
      <c r="J107" s="875">
        <f t="shared" si="31"/>
        <v>76.912136094748291</v>
      </c>
      <c r="K107" s="874">
        <f t="shared" si="31"/>
        <v>78.534657583661144</v>
      </c>
      <c r="U107" s="1001"/>
      <c r="V107" s="1001"/>
      <c r="W107" s="1001"/>
      <c r="X107" s="1001"/>
      <c r="Y107" s="1001"/>
      <c r="Z107" s="1001"/>
      <c r="AA107" s="1001"/>
      <c r="AB107" s="1001"/>
      <c r="AC107" s="1001"/>
      <c r="AD107" s="1001"/>
      <c r="AE107" s="1001"/>
      <c r="AF107" s="1001"/>
      <c r="AG107" s="1001"/>
    </row>
    <row r="108" spans="2:33" ht="15" thickBot="1">
      <c r="B108" s="848" t="s">
        <v>752</v>
      </c>
      <c r="C108" s="912">
        <f>+(C96-C103)/(C101-C103)*100</f>
        <v>27.275840597758403</v>
      </c>
      <c r="D108" s="913">
        <f>+(D96-D103)/(D101-D103)*100</f>
        <v>11.666385536626136</v>
      </c>
      <c r="E108" s="912">
        <f>+(E96-E103)/(E101-E103)*100</f>
        <v>24.959593627337796</v>
      </c>
      <c r="F108" s="913">
        <f>+(F96-F103)/(F101-F103)*100</f>
        <v>25.32762952400353</v>
      </c>
      <c r="I108" s="850" t="str">
        <f t="shared" si="31"/>
        <v>Rp Global</v>
      </c>
      <c r="J108" s="879">
        <f t="shared" si="31"/>
        <v>2.6074231741386198</v>
      </c>
      <c r="K108" s="878">
        <f t="shared" si="31"/>
        <v>2.6759331942077824</v>
      </c>
      <c r="U108" s="1001"/>
      <c r="V108" s="1001"/>
      <c r="W108" s="1001"/>
      <c r="X108" s="1001"/>
      <c r="Y108" s="1001"/>
      <c r="Z108" s="1001"/>
      <c r="AA108" s="1001"/>
      <c r="AB108" s="1001"/>
      <c r="AC108" s="1001"/>
      <c r="AD108" s="1001"/>
      <c r="AE108" s="1001"/>
      <c r="AF108" s="1001"/>
      <c r="AG108" s="1001"/>
    </row>
    <row r="109" spans="2:33" ht="15" thickBot="1">
      <c r="B109" s="850" t="s">
        <v>753</v>
      </c>
      <c r="C109" s="914">
        <f>C101/C96</f>
        <v>3.5332393449734298</v>
      </c>
      <c r="D109" s="915">
        <f>D101/D96</f>
        <v>7.9781950333131428</v>
      </c>
      <c r="E109" s="914">
        <f>E101/E96</f>
        <v>3.8571428571428577</v>
      </c>
      <c r="F109" s="915">
        <f>F101/F96</f>
        <v>3.7609841827768014</v>
      </c>
      <c r="U109" s="1001"/>
      <c r="V109" s="1001"/>
      <c r="W109" s="1001"/>
      <c r="X109" s="1001"/>
      <c r="Y109" s="1001"/>
      <c r="Z109" s="1001"/>
      <c r="AA109" s="1001"/>
      <c r="AB109" s="1001"/>
      <c r="AC109" s="1001"/>
      <c r="AD109" s="1001"/>
      <c r="AE109" s="1001"/>
      <c r="AF109" s="1001"/>
      <c r="AG109" s="1001"/>
    </row>
    <row r="110" spans="2:33" ht="15" thickBot="1">
      <c r="U110" s="1001"/>
      <c r="V110" s="1001"/>
      <c r="W110" s="1001"/>
      <c r="X110" s="1001"/>
      <c r="Y110" s="1001"/>
      <c r="Z110" s="1001"/>
      <c r="AA110" s="1001"/>
      <c r="AB110" s="1001"/>
      <c r="AC110" s="1001"/>
      <c r="AD110" s="1001"/>
      <c r="AE110" s="1001"/>
      <c r="AF110" s="1001"/>
      <c r="AG110" s="1001"/>
    </row>
    <row r="111" spans="2:33">
      <c r="B111" s="848" t="s">
        <v>754</v>
      </c>
      <c r="C111" s="1004">
        <f>+AVERAGE('13. Pilotaje Rougher'!$K$20:$K$36)</f>
        <v>79.807493568485683</v>
      </c>
      <c r="D111" s="1005">
        <f>+AVERAGE('13. Pilotaje Rougher'!$K$37:$K$52)</f>
        <v>84.376281394866425</v>
      </c>
      <c r="E111" s="912">
        <f>+AVERAGE('13. Pilotaje Rougher'!$K$20:$K$36)</f>
        <v>79.807493568485683</v>
      </c>
      <c r="F111" s="913">
        <f>+AVERAGE('13. Pilotaje Rougher'!$K$20:$K$36)</f>
        <v>79.807493568485683</v>
      </c>
      <c r="U111" s="1001"/>
      <c r="V111" s="1001"/>
      <c r="W111" s="1001"/>
      <c r="X111" s="1001"/>
      <c r="Y111" s="1001"/>
      <c r="Z111" s="1001"/>
      <c r="AA111" s="1001"/>
      <c r="AB111" s="1001"/>
      <c r="AC111" s="1001"/>
      <c r="AD111" s="1001"/>
      <c r="AE111" s="1001"/>
      <c r="AF111" s="1001"/>
      <c r="AG111" s="1001"/>
    </row>
    <row r="112" spans="2:33">
      <c r="B112" s="849" t="s">
        <v>761</v>
      </c>
      <c r="C112" s="1006">
        <f>+C108*C109</f>
        <v>96.37207316722359</v>
      </c>
      <c r="D112" s="1007">
        <f>+D108*D109</f>
        <v>93.076699145026922</v>
      </c>
      <c r="E112" s="916">
        <f>+E108*E109</f>
        <v>96.272718276874372</v>
      </c>
      <c r="F112" s="917">
        <f>+F108*F109</f>
        <v>95.256814027008005</v>
      </c>
      <c r="U112" s="1001"/>
      <c r="V112" s="1001"/>
      <c r="W112" s="1001"/>
      <c r="X112" s="1001"/>
      <c r="Y112" s="1001"/>
      <c r="Z112" s="1001"/>
      <c r="AA112" s="1001"/>
      <c r="AB112" s="1001"/>
      <c r="AC112" s="1001"/>
      <c r="AD112" s="1001"/>
      <c r="AE112" s="1001"/>
      <c r="AF112" s="1001"/>
      <c r="AG112" s="1001"/>
    </row>
    <row r="113" spans="2:33">
      <c r="B113" s="849" t="s">
        <v>755</v>
      </c>
      <c r="C113" s="1006">
        <f>+C112*C111/100</f>
        <v>76.912136094748291</v>
      </c>
      <c r="D113" s="1007">
        <f>+D112*D111/100</f>
        <v>78.534657583661144</v>
      </c>
      <c r="E113" s="916">
        <f>+E112*E111/100</f>
        <v>76.832843447022853</v>
      </c>
      <c r="F113" s="917">
        <f>+F112*F111/100</f>
        <v>76.022075728148778</v>
      </c>
      <c r="U113" s="1001"/>
      <c r="V113" s="1001"/>
      <c r="W113" s="1001"/>
      <c r="X113" s="1001"/>
      <c r="Y113" s="1001"/>
      <c r="Z113" s="1001"/>
      <c r="AA113" s="1001"/>
      <c r="AB113" s="1001"/>
      <c r="AC113" s="1001"/>
      <c r="AD113" s="1001"/>
      <c r="AE113" s="1001"/>
      <c r="AF113" s="1001"/>
      <c r="AG113" s="1001"/>
    </row>
    <row r="114" spans="2:33" ht="15" thickBot="1">
      <c r="B114" s="850" t="s">
        <v>763</v>
      </c>
      <c r="C114" s="1008">
        <f>+(0.68-(AVERAGE(C103,0.15)))/((AVERAGE(C97,C101))-(AVERAGE(C103,0.15)))*100</f>
        <v>2.6074231741386198</v>
      </c>
      <c r="D114" s="1009">
        <f>+(0.68-(AVERAGE(D103,0.15)))/((AVERAGE(D97,D101))-(AVERAGE(D103,0.15)))*100</f>
        <v>2.6759331942077824</v>
      </c>
      <c r="E114" s="914">
        <f>+(0.68-(AVERAGE(E103,0.15)))/((AVERAGE(E97,E101))-(AVERAGE(E103,0.15)))*100</f>
        <v>2.5783460853160047</v>
      </c>
      <c r="F114" s="915">
        <f>+(0.68-(AVERAGE(F103,0.15)))/((AVERAGE(F97,F101))-(AVERAGE(F103,0.15)))*100</f>
        <v>2.5239338555265447</v>
      </c>
      <c r="U114" s="1001"/>
      <c r="V114" s="1001"/>
      <c r="W114" s="1001"/>
      <c r="X114" s="1001"/>
      <c r="Y114" s="1001"/>
      <c r="Z114" s="1001"/>
      <c r="AA114" s="1001"/>
      <c r="AB114" s="1001"/>
      <c r="AC114" s="1001"/>
      <c r="AD114" s="1001"/>
      <c r="AE114" s="1001"/>
      <c r="AF114" s="1001"/>
      <c r="AG114" s="1001"/>
    </row>
    <row r="115" spans="2:33">
      <c r="U115" s="1001"/>
      <c r="V115" s="1001"/>
      <c r="W115" s="1001"/>
      <c r="X115" s="1001"/>
      <c r="Y115" s="1001"/>
      <c r="Z115" s="1001"/>
      <c r="AA115" s="1001"/>
      <c r="AB115" s="1001"/>
      <c r="AC115" s="1001"/>
      <c r="AD115" s="1001"/>
      <c r="AE115" s="1001"/>
      <c r="AF115" s="1001"/>
      <c r="AG115" s="1001"/>
    </row>
    <row r="116" spans="2:33">
      <c r="U116" s="1001"/>
      <c r="V116" s="1001"/>
      <c r="W116" s="1001"/>
      <c r="X116" s="1001"/>
      <c r="Y116" s="1001"/>
      <c r="Z116" s="1001"/>
      <c r="AA116" s="1001"/>
      <c r="AB116" s="1001"/>
      <c r="AC116" s="1001"/>
      <c r="AD116" s="1001"/>
      <c r="AE116" s="1001"/>
      <c r="AF116" s="1001"/>
      <c r="AG116" s="1001"/>
    </row>
    <row r="117" spans="2:33">
      <c r="U117" s="1001"/>
      <c r="V117" s="1001"/>
      <c r="W117" s="1001"/>
      <c r="X117" s="1001"/>
      <c r="Y117" s="1001"/>
      <c r="Z117" s="1001"/>
      <c r="AA117" s="1001"/>
      <c r="AB117" s="1001"/>
      <c r="AC117" s="1001"/>
      <c r="AD117" s="1001"/>
      <c r="AE117" s="1001"/>
      <c r="AF117" s="1001"/>
      <c r="AG117" s="1001"/>
    </row>
    <row r="118" spans="2:33">
      <c r="U118" s="1001"/>
      <c r="V118" s="1001"/>
      <c r="W118" s="1001"/>
      <c r="X118" s="1001"/>
      <c r="Y118" s="1001"/>
      <c r="Z118" s="1001"/>
      <c r="AA118" s="1001"/>
      <c r="AB118" s="1001"/>
      <c r="AC118" s="1001"/>
      <c r="AD118" s="1001"/>
      <c r="AE118" s="1001"/>
      <c r="AF118" s="1001"/>
      <c r="AG118" s="1001"/>
    </row>
    <row r="119" spans="2:33">
      <c r="C119" s="4" t="s">
        <v>744</v>
      </c>
      <c r="D119" s="4" t="s">
        <v>746</v>
      </c>
      <c r="E119" s="4" t="s">
        <v>745</v>
      </c>
      <c r="F119" s="4" t="s">
        <v>747</v>
      </c>
      <c r="G119" s="4" t="s">
        <v>748</v>
      </c>
      <c r="H119" s="4" t="s">
        <v>749</v>
      </c>
      <c r="I119" s="4" t="s">
        <v>750</v>
      </c>
      <c r="J119" s="4" t="s">
        <v>751</v>
      </c>
      <c r="K119" s="4" t="s">
        <v>756</v>
      </c>
      <c r="L119" s="4" t="s">
        <v>764</v>
      </c>
      <c r="M119" s="4" t="s">
        <v>753</v>
      </c>
      <c r="N119" s="4" t="s">
        <v>897</v>
      </c>
      <c r="O119" s="4" t="s">
        <v>763</v>
      </c>
      <c r="P119" s="4" t="s">
        <v>761</v>
      </c>
      <c r="Q119" s="4" t="s">
        <v>755</v>
      </c>
      <c r="R119" s="4" t="s">
        <v>909</v>
      </c>
      <c r="S119" s="4" t="s">
        <v>884</v>
      </c>
      <c r="U119" s="1001"/>
      <c r="V119" s="1001"/>
      <c r="W119" s="1001"/>
      <c r="X119" s="1001"/>
      <c r="Y119" s="1001"/>
      <c r="Z119" s="1001"/>
      <c r="AA119" s="1001"/>
      <c r="AB119" s="1001"/>
      <c r="AC119" s="1001"/>
      <c r="AD119" s="1001"/>
      <c r="AE119" s="1001"/>
      <c r="AF119" s="1001"/>
      <c r="AG119" s="1001"/>
    </row>
    <row r="120" spans="2:33">
      <c r="B120" s="4" t="s">
        <v>966</v>
      </c>
      <c r="C120" s="4">
        <v>4.55</v>
      </c>
      <c r="D120" s="4">
        <v>20.99</v>
      </c>
      <c r="E120" s="4">
        <v>3.29</v>
      </c>
      <c r="F120" s="4">
        <v>2.1349999999999998</v>
      </c>
      <c r="G120" s="4">
        <v>4.5679999999999996</v>
      </c>
      <c r="H120" s="4">
        <v>17.55</v>
      </c>
      <c r="I120" s="4">
        <v>4.5519999999999996</v>
      </c>
      <c r="J120" s="4">
        <v>0.22600000000000001</v>
      </c>
      <c r="K120" s="4">
        <v>4.6131868131868128</v>
      </c>
      <c r="L120" s="4">
        <v>3.8419439579684767</v>
      </c>
      <c r="M120" s="4">
        <v>3.8571428571428577</v>
      </c>
      <c r="N120" s="4">
        <v>24.959593627337796</v>
      </c>
      <c r="O120" s="4">
        <v>2.5783460853160047</v>
      </c>
      <c r="P120" s="4">
        <v>96.272718276874372</v>
      </c>
      <c r="Q120" s="4">
        <v>76.832843447022853</v>
      </c>
      <c r="R120" s="4">
        <v>94.068523015219782</v>
      </c>
      <c r="S120" s="4">
        <f>+AVERAGE(D120,H120)</f>
        <v>19.27</v>
      </c>
      <c r="U120" s="1001"/>
      <c r="V120" s="1001"/>
      <c r="W120" s="1001"/>
      <c r="X120" s="1001"/>
      <c r="Y120" s="1001"/>
      <c r="Z120" s="1001"/>
      <c r="AA120" s="1001"/>
      <c r="AB120" s="1001"/>
      <c r="AC120" s="1001"/>
      <c r="AD120" s="1001"/>
      <c r="AE120" s="1001"/>
      <c r="AF120" s="1001"/>
      <c r="AG120" s="1001"/>
    </row>
    <row r="121" spans="2:33">
      <c r="B121" s="4" t="s">
        <v>966</v>
      </c>
      <c r="C121" s="4">
        <v>4.6710000000000003</v>
      </c>
      <c r="D121" s="4">
        <v>22.36</v>
      </c>
      <c r="E121" s="4">
        <v>2.6880000000000002</v>
      </c>
      <c r="F121" s="4">
        <v>4.4649999999999999</v>
      </c>
      <c r="G121" s="4">
        <v>5.78</v>
      </c>
      <c r="H121" s="4">
        <v>15.03</v>
      </c>
      <c r="I121" s="4">
        <v>4.9660000000000002</v>
      </c>
      <c r="J121" s="4">
        <v>0.23400000000000001</v>
      </c>
      <c r="K121" s="4">
        <v>4.786983515307214</v>
      </c>
      <c r="L121" s="4">
        <v>2.6003460207612457</v>
      </c>
      <c r="M121" s="4">
        <v>3.2177263969171479</v>
      </c>
      <c r="N121" s="4">
        <v>29.98783454987835</v>
      </c>
      <c r="O121" s="4">
        <v>2.6374101497054534</v>
      </c>
      <c r="P121" s="4">
        <v>96.492646817527628</v>
      </c>
      <c r="Q121" s="4">
        <v>77.008362902959973</v>
      </c>
      <c r="R121" s="4">
        <v>98.757374442159218</v>
      </c>
      <c r="S121" s="4">
        <f t="shared" ref="S121:S125" si="32">+AVERAGE(D121,H121)</f>
        <v>18.695</v>
      </c>
      <c r="U121" s="1001"/>
      <c r="V121" s="1001"/>
      <c r="W121" s="1001"/>
      <c r="X121" s="1001"/>
      <c r="Y121" s="1001"/>
      <c r="Z121" s="1001"/>
      <c r="AA121" s="1001"/>
      <c r="AB121" s="1001"/>
      <c r="AC121" s="1001"/>
      <c r="AD121" s="1001"/>
      <c r="AE121" s="1001"/>
      <c r="AF121" s="1001"/>
      <c r="AG121" s="1001"/>
    </row>
    <row r="122" spans="2:33">
      <c r="B122" s="4" t="s">
        <v>967</v>
      </c>
      <c r="C122" s="4">
        <v>2.2959999999999998</v>
      </c>
      <c r="D122" s="4">
        <v>25.77</v>
      </c>
      <c r="E122" s="4">
        <v>1.6850000000000001</v>
      </c>
      <c r="F122" s="4">
        <v>2.085</v>
      </c>
      <c r="G122" s="4">
        <v>5.92</v>
      </c>
      <c r="H122" s="4">
        <v>23.39</v>
      </c>
      <c r="I122" s="4">
        <v>2.8260000000000001</v>
      </c>
      <c r="J122" s="4">
        <v>0.154</v>
      </c>
      <c r="K122" s="4">
        <v>11.223867595818817</v>
      </c>
      <c r="L122" s="4">
        <v>3.9510135135135136</v>
      </c>
      <c r="M122" s="4">
        <v>10.705574912891986</v>
      </c>
      <c r="N122" s="4">
        <v>8.7693441414885775</v>
      </c>
      <c r="O122" s="4">
        <v>2.2014894835911289</v>
      </c>
      <c r="P122" s="4">
        <v>93.880870643636428</v>
      </c>
      <c r="Q122" s="4">
        <v>79.213187590225218</v>
      </c>
      <c r="R122" s="4">
        <v>80.150649350649346</v>
      </c>
      <c r="S122" s="4">
        <f t="shared" si="32"/>
        <v>24.58</v>
      </c>
      <c r="U122" s="1001"/>
      <c r="V122" s="1001"/>
      <c r="W122" s="1001"/>
      <c r="X122" s="1001"/>
      <c r="Y122" s="1001"/>
      <c r="Z122" s="1001"/>
      <c r="AA122" s="1001"/>
      <c r="AB122" s="1001"/>
      <c r="AC122" s="1001"/>
      <c r="AD122" s="1001"/>
      <c r="AE122" s="1001"/>
      <c r="AF122" s="1001"/>
      <c r="AG122" s="1001"/>
    </row>
    <row r="123" spans="2:33">
      <c r="B123" s="4" t="s">
        <v>967</v>
      </c>
      <c r="C123" s="4">
        <v>2.2839999999999998</v>
      </c>
      <c r="D123" s="4">
        <v>23.75</v>
      </c>
      <c r="E123" s="4">
        <v>1.069</v>
      </c>
      <c r="F123" s="4">
        <v>1.512</v>
      </c>
      <c r="G123" s="4">
        <v>5.31</v>
      </c>
      <c r="H123" s="4">
        <v>9.83</v>
      </c>
      <c r="I123" s="4">
        <v>3.22</v>
      </c>
      <c r="J123" s="4">
        <v>0.13900000000000001</v>
      </c>
      <c r="K123" s="4">
        <v>10.398423817863398</v>
      </c>
      <c r="L123" s="4">
        <v>1.8512241054613938</v>
      </c>
      <c r="M123" s="4">
        <v>7.3511383537653243</v>
      </c>
      <c r="N123" s="4">
        <v>12.882109182631671</v>
      </c>
      <c r="O123" s="4">
        <v>3.2751943802347574</v>
      </c>
      <c r="P123" s="4">
        <v>94.698166889836159</v>
      </c>
      <c r="Q123" s="4">
        <v>79.902791770748379</v>
      </c>
      <c r="R123" s="4">
        <v>57.760575539568336</v>
      </c>
      <c r="S123" s="4">
        <f t="shared" si="32"/>
        <v>16.79</v>
      </c>
      <c r="U123" s="1001"/>
      <c r="V123" s="1001"/>
      <c r="W123" s="1001"/>
      <c r="X123" s="1001"/>
      <c r="Y123" s="1001"/>
      <c r="Z123" s="1001"/>
      <c r="AA123" s="1001"/>
      <c r="AB123" s="1001"/>
      <c r="AC123" s="1001"/>
      <c r="AD123" s="1001"/>
      <c r="AE123" s="1001"/>
      <c r="AF123" s="1001"/>
      <c r="AG123" s="1001"/>
    </row>
    <row r="124" spans="2:33">
      <c r="B124" s="4" t="s">
        <v>967</v>
      </c>
      <c r="C124" s="4">
        <v>1.7849999999999999</v>
      </c>
      <c r="D124" s="4">
        <v>23.84</v>
      </c>
      <c r="E124" s="4">
        <v>0.69899999999999995</v>
      </c>
      <c r="F124" s="4">
        <v>1.982</v>
      </c>
      <c r="G124" s="4">
        <v>3.843</v>
      </c>
      <c r="H124" s="4">
        <v>15.93</v>
      </c>
      <c r="I124" s="4">
        <v>2.5299999999999998</v>
      </c>
      <c r="J124" s="4">
        <v>0.21</v>
      </c>
      <c r="K124" s="4">
        <v>13.355742296918768</v>
      </c>
      <c r="L124" s="4">
        <v>4.1451990632318498</v>
      </c>
      <c r="M124" s="4">
        <v>11.140056022408963</v>
      </c>
      <c r="N124" s="4">
        <v>8.0050825921219833</v>
      </c>
      <c r="O124" s="4">
        <v>2.5868627948262746</v>
      </c>
      <c r="P124" s="4">
        <v>89.17706854024965</v>
      </c>
      <c r="Q124" s="4">
        <v>75.244294291213947</v>
      </c>
      <c r="R124" s="1001">
        <v>36.270600000000002</v>
      </c>
      <c r="S124" s="4">
        <f t="shared" si="32"/>
        <v>19.884999999999998</v>
      </c>
      <c r="U124" s="1001"/>
      <c r="V124" s="1001"/>
      <c r="W124" s="1001"/>
      <c r="X124" s="1001"/>
      <c r="Y124" s="1001"/>
      <c r="Z124" s="1001"/>
      <c r="AA124" s="1001"/>
      <c r="AB124" s="1001"/>
      <c r="AC124" s="1001"/>
      <c r="AD124" s="1001"/>
      <c r="AE124" s="1001"/>
      <c r="AF124" s="1001"/>
      <c r="AG124" s="1001"/>
    </row>
    <row r="125" spans="2:33">
      <c r="B125" s="4" t="s">
        <v>967</v>
      </c>
      <c r="C125" s="4">
        <v>1.89</v>
      </c>
      <c r="D125" s="4">
        <v>18.72</v>
      </c>
      <c r="E125" s="4">
        <v>0.78</v>
      </c>
      <c r="F125" s="4">
        <v>1.33</v>
      </c>
      <c r="G125" s="4">
        <v>2.4500000000000002</v>
      </c>
      <c r="H125" s="4">
        <v>16.71</v>
      </c>
      <c r="I125" s="4">
        <v>1.605</v>
      </c>
      <c r="J125" s="4">
        <v>0.14399999999999999</v>
      </c>
      <c r="K125" s="4">
        <v>9.9047619047619051</v>
      </c>
      <c r="L125" s="4">
        <v>6.8204081632653057</v>
      </c>
      <c r="M125" s="4">
        <v>9.3730158730158735</v>
      </c>
      <c r="N125" s="4">
        <v>9.9368277275055483</v>
      </c>
      <c r="O125" s="4">
        <v>3.0890886335191721</v>
      </c>
      <c r="P125" s="4">
        <v>93.138044017333755</v>
      </c>
      <c r="Q125" s="4">
        <v>78.58641810574008</v>
      </c>
      <c r="R125" s="1001">
        <v>22.628472222222229</v>
      </c>
      <c r="S125" s="4">
        <f t="shared" si="32"/>
        <v>17.715</v>
      </c>
    </row>
  </sheetData>
  <mergeCells count="20">
    <mergeCell ref="G86:H86"/>
    <mergeCell ref="G87:H87"/>
    <mergeCell ref="C31:F31"/>
    <mergeCell ref="C62:H62"/>
    <mergeCell ref="J62:P62"/>
    <mergeCell ref="I63:I64"/>
    <mergeCell ref="P63:P64"/>
    <mergeCell ref="E85:F85"/>
    <mergeCell ref="H31:L31"/>
    <mergeCell ref="G32:G33"/>
    <mergeCell ref="L32:L33"/>
    <mergeCell ref="G85:H85"/>
    <mergeCell ref="C94:D94"/>
    <mergeCell ref="C93:D93"/>
    <mergeCell ref="E93:F93"/>
    <mergeCell ref="E94:F94"/>
    <mergeCell ref="B29:C29"/>
    <mergeCell ref="B60:C60"/>
    <mergeCell ref="E87:F87"/>
    <mergeCell ref="E86:F86"/>
  </mergeCells>
  <phoneticPr fontId="4" type="noConversion"/>
  <pageMargins left="0.7" right="0.7" top="0.75" bottom="0.75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C1455-505B-4030-9EE5-AAB81CB1156B}">
  <dimension ref="B2:J31"/>
  <sheetViews>
    <sheetView workbookViewId="0"/>
  </sheetViews>
  <sheetFormatPr baseColWidth="10" defaultRowHeight="14.5"/>
  <cols>
    <col min="3" max="3" width="12.7265625" customWidth="1"/>
    <col min="4" max="4" width="12" customWidth="1"/>
    <col min="5" max="5" width="12.26953125" customWidth="1"/>
    <col min="7" max="7" width="12.54296875" customWidth="1"/>
    <col min="8" max="8" width="12.453125" customWidth="1"/>
    <col min="9" max="9" width="12.54296875" customWidth="1"/>
    <col min="10" max="10" width="10.7265625" customWidth="1"/>
  </cols>
  <sheetData>
    <row r="2" spans="2:10" ht="18.5">
      <c r="B2" s="112" t="s">
        <v>932</v>
      </c>
    </row>
    <row r="3" spans="2:10" ht="16">
      <c r="B3" s="94" t="s">
        <v>427</v>
      </c>
    </row>
    <row r="5" spans="2:10">
      <c r="B5" s="2" t="s">
        <v>938</v>
      </c>
    </row>
    <row r="6" spans="2:10" ht="15" thickBot="1">
      <c r="C6" s="1055"/>
      <c r="D6" s="1055"/>
      <c r="E6" s="1055"/>
      <c r="F6" s="1055"/>
      <c r="G6" s="1055"/>
      <c r="H6" s="1055"/>
      <c r="I6" s="1055"/>
      <c r="J6" s="1055"/>
    </row>
    <row r="7" spans="2:10" ht="15" thickBot="1">
      <c r="B7" s="1054"/>
      <c r="C7" s="1408" t="s">
        <v>370</v>
      </c>
      <c r="D7" s="1409"/>
      <c r="E7" s="1409"/>
      <c r="F7" s="1410"/>
      <c r="G7" s="1404" t="s">
        <v>937</v>
      </c>
      <c r="H7" s="1366"/>
      <c r="I7" s="1366"/>
      <c r="J7" s="1405"/>
    </row>
    <row r="8" spans="2:10" ht="29.5" thickBot="1">
      <c r="B8" s="239" t="s">
        <v>20</v>
      </c>
      <c r="C8" s="1042" t="s">
        <v>933</v>
      </c>
      <c r="D8" s="1042" t="s">
        <v>935</v>
      </c>
      <c r="E8" s="1042" t="s">
        <v>934</v>
      </c>
      <c r="F8" s="1043" t="s">
        <v>936</v>
      </c>
      <c r="G8" s="1044" t="s">
        <v>933</v>
      </c>
      <c r="H8" s="1042" t="s">
        <v>935</v>
      </c>
      <c r="I8" s="1042" t="s">
        <v>934</v>
      </c>
      <c r="J8" s="1043" t="s">
        <v>936</v>
      </c>
    </row>
    <row r="9" spans="2:10">
      <c r="B9" s="1045">
        <v>212</v>
      </c>
      <c r="C9" s="1046"/>
      <c r="D9" s="1046"/>
      <c r="E9" s="1046">
        <v>8.83</v>
      </c>
      <c r="F9" s="1047"/>
      <c r="G9" s="1048"/>
      <c r="H9" s="1046"/>
      <c r="I9" s="1046">
        <v>13.6</v>
      </c>
      <c r="J9" s="1047"/>
    </row>
    <row r="10" spans="2:10">
      <c r="B10" s="1049">
        <v>150</v>
      </c>
      <c r="C10" s="1039">
        <v>3.7160000000000002</v>
      </c>
      <c r="D10" s="1039">
        <v>13.24</v>
      </c>
      <c r="E10" s="1039">
        <v>9.91</v>
      </c>
      <c r="F10" s="1041">
        <v>1.3580000000000001</v>
      </c>
      <c r="G10" s="1040">
        <v>14.4</v>
      </c>
      <c r="H10" s="1039">
        <v>31.2</v>
      </c>
      <c r="I10" s="1039">
        <v>17.3</v>
      </c>
      <c r="J10" s="1041">
        <v>12.9</v>
      </c>
    </row>
    <row r="11" spans="2:10">
      <c r="B11" s="1049">
        <v>106</v>
      </c>
      <c r="C11" s="1039">
        <v>5.59</v>
      </c>
      <c r="D11" s="1039">
        <v>22.2</v>
      </c>
      <c r="E11" s="1039">
        <v>9.9</v>
      </c>
      <c r="F11" s="1041">
        <v>1.603</v>
      </c>
      <c r="G11" s="1040">
        <v>18.8</v>
      </c>
      <c r="H11" s="1039">
        <v>28.6</v>
      </c>
      <c r="I11" s="1039">
        <v>19.899999999999999</v>
      </c>
      <c r="J11" s="1041">
        <v>19.600000000000001</v>
      </c>
    </row>
    <row r="12" spans="2:10">
      <c r="B12" s="1049">
        <v>53</v>
      </c>
      <c r="C12" s="1039">
        <v>5.58</v>
      </c>
      <c r="D12" s="1039">
        <v>28.34</v>
      </c>
      <c r="E12" s="1039">
        <v>11.04</v>
      </c>
      <c r="F12" s="1041">
        <v>0.52200000000000002</v>
      </c>
      <c r="G12" s="1040">
        <v>17</v>
      </c>
      <c r="H12" s="1039">
        <v>25.7</v>
      </c>
      <c r="I12" s="1039">
        <v>21</v>
      </c>
      <c r="J12" s="1041">
        <v>15.6</v>
      </c>
    </row>
    <row r="13" spans="2:10">
      <c r="B13" s="1049">
        <v>25</v>
      </c>
      <c r="C13" s="1039">
        <v>4.6390000000000002</v>
      </c>
      <c r="D13" s="1039">
        <v>33.03</v>
      </c>
      <c r="E13" s="1039">
        <v>12.08</v>
      </c>
      <c r="F13" s="1041">
        <v>0.19600000000000001</v>
      </c>
      <c r="G13" s="1040">
        <v>10.4</v>
      </c>
      <c r="H13" s="1039">
        <v>22.8</v>
      </c>
      <c r="I13" s="1039">
        <v>20.7</v>
      </c>
      <c r="J13" s="1041">
        <v>8.76</v>
      </c>
    </row>
    <row r="14" spans="2:10" ht="15" thickBot="1">
      <c r="B14" s="1050">
        <v>-25</v>
      </c>
      <c r="C14" s="1051">
        <v>1.5660000000000001</v>
      </c>
      <c r="D14" s="1051">
        <v>23.14</v>
      </c>
      <c r="E14" s="1051">
        <v>3.278</v>
      </c>
      <c r="F14" s="1052">
        <v>0.156</v>
      </c>
      <c r="G14" s="1053">
        <v>2.92</v>
      </c>
      <c r="H14" s="1051">
        <v>12.7</v>
      </c>
      <c r="I14" s="1051">
        <v>5.87</v>
      </c>
      <c r="J14" s="1052">
        <v>2.04</v>
      </c>
    </row>
    <row r="19" spans="2:10" ht="18.5">
      <c r="B19" s="112" t="s">
        <v>932</v>
      </c>
    </row>
    <row r="20" spans="2:10" ht="16">
      <c r="B20" s="94" t="s">
        <v>428</v>
      </c>
    </row>
    <row r="22" spans="2:10">
      <c r="B22" s="2" t="s">
        <v>939</v>
      </c>
    </row>
    <row r="23" spans="2:10" ht="15" thickBot="1">
      <c r="C23" s="1055"/>
      <c r="D23" s="1055"/>
      <c r="E23" s="1055"/>
      <c r="F23" s="1055"/>
      <c r="G23" s="1055"/>
      <c r="H23" s="1055"/>
      <c r="I23" s="1055"/>
      <c r="J23" s="1055"/>
    </row>
    <row r="24" spans="2:10" ht="15" thickBot="1">
      <c r="B24" s="1054"/>
      <c r="C24" s="1408" t="s">
        <v>370</v>
      </c>
      <c r="D24" s="1409"/>
      <c r="E24" s="1409"/>
      <c r="F24" s="1410"/>
      <c r="G24" s="1404" t="s">
        <v>937</v>
      </c>
      <c r="H24" s="1366"/>
      <c r="I24" s="1366"/>
      <c r="J24" s="1405"/>
    </row>
    <row r="25" spans="2:10" ht="29.5" thickBot="1">
      <c r="B25" s="239" t="s">
        <v>20</v>
      </c>
      <c r="C25" s="1042" t="s">
        <v>933</v>
      </c>
      <c r="D25" s="1042" t="s">
        <v>935</v>
      </c>
      <c r="E25" s="1042" t="s">
        <v>934</v>
      </c>
      <c r="F25" s="1043" t="s">
        <v>936</v>
      </c>
      <c r="G25" s="1044" t="s">
        <v>933</v>
      </c>
      <c r="H25" s="1042" t="s">
        <v>935</v>
      </c>
      <c r="I25" s="1042" t="s">
        <v>934</v>
      </c>
      <c r="J25" s="1043" t="s">
        <v>936</v>
      </c>
    </row>
    <row r="26" spans="2:10">
      <c r="B26" s="1045">
        <v>212</v>
      </c>
      <c r="C26" s="1056">
        <v>4.7409999999999997</v>
      </c>
      <c r="D26" s="1056">
        <v>11.12</v>
      </c>
      <c r="E26" s="1056">
        <v>7.92</v>
      </c>
      <c r="F26" s="1057">
        <v>1.3260000000000001</v>
      </c>
      <c r="G26" s="1058">
        <v>11.1</v>
      </c>
      <c r="H26" s="1056">
        <v>26</v>
      </c>
      <c r="I26" s="1056">
        <v>14.4</v>
      </c>
      <c r="J26" s="1057">
        <v>9.02</v>
      </c>
    </row>
    <row r="27" spans="2:10">
      <c r="B27" s="1049">
        <v>150</v>
      </c>
      <c r="C27" s="1059">
        <v>8.66</v>
      </c>
      <c r="D27" s="1059">
        <v>16.79</v>
      </c>
      <c r="E27" s="1059">
        <v>7.27</v>
      </c>
      <c r="F27" s="1060">
        <v>0.89400000000000002</v>
      </c>
      <c r="G27" s="1061">
        <v>15.7</v>
      </c>
      <c r="H27" s="1059">
        <v>25.8</v>
      </c>
      <c r="I27" s="1059">
        <v>14.7</v>
      </c>
      <c r="J27" s="1060">
        <v>18.100000000000001</v>
      </c>
    </row>
    <row r="28" spans="2:10">
      <c r="B28" s="1049">
        <v>106</v>
      </c>
      <c r="C28" s="1059">
        <v>10.4</v>
      </c>
      <c r="D28" s="1059">
        <v>20.58</v>
      </c>
      <c r="E28" s="1059">
        <v>6.86</v>
      </c>
      <c r="F28" s="1060">
        <v>0.63200000000000001</v>
      </c>
      <c r="G28" s="1061">
        <v>17.600000000000001</v>
      </c>
      <c r="H28" s="1059">
        <v>25.3</v>
      </c>
      <c r="I28" s="1059">
        <v>16.3</v>
      </c>
      <c r="J28" s="1060">
        <v>20.9</v>
      </c>
    </row>
    <row r="29" spans="2:10">
      <c r="B29" s="1049">
        <v>53</v>
      </c>
      <c r="C29" s="1059">
        <v>11.94</v>
      </c>
      <c r="D29" s="1059">
        <v>25.58</v>
      </c>
      <c r="E29" s="1059">
        <v>7.99</v>
      </c>
      <c r="F29" s="1060">
        <v>0.36299999999999999</v>
      </c>
      <c r="G29" s="1061">
        <v>17</v>
      </c>
      <c r="H29" s="1059">
        <v>24</v>
      </c>
      <c r="I29" s="1059">
        <v>19.2</v>
      </c>
      <c r="J29" s="1060">
        <v>15.1</v>
      </c>
    </row>
    <row r="30" spans="2:10">
      <c r="B30" s="1049">
        <v>25</v>
      </c>
      <c r="C30" s="1059">
        <v>10.55</v>
      </c>
      <c r="D30" s="1059">
        <v>30.17</v>
      </c>
      <c r="E30" s="1059">
        <v>8.6</v>
      </c>
      <c r="F30" s="1060">
        <v>0.24199999999999999</v>
      </c>
      <c r="G30" s="1061">
        <v>14.2</v>
      </c>
      <c r="H30" s="1059">
        <v>22.6</v>
      </c>
      <c r="I30" s="1059">
        <v>18.5</v>
      </c>
      <c r="J30" s="1060">
        <v>8.9</v>
      </c>
    </row>
    <row r="31" spans="2:10" ht="15" thickBot="1">
      <c r="B31" s="1050">
        <v>-25</v>
      </c>
      <c r="C31" s="1062">
        <v>2.7469999999999999</v>
      </c>
      <c r="D31" s="1062">
        <v>16.260000000000002</v>
      </c>
      <c r="E31" s="1062">
        <v>3.177</v>
      </c>
      <c r="F31" s="146">
        <v>0.249</v>
      </c>
      <c r="G31" s="1063">
        <v>3.38</v>
      </c>
      <c r="H31" s="1062">
        <v>9.49</v>
      </c>
      <c r="I31" s="1062">
        <v>4.87</v>
      </c>
      <c r="J31" s="146">
        <v>1.99</v>
      </c>
    </row>
  </sheetData>
  <mergeCells count="4">
    <mergeCell ref="C24:F24"/>
    <mergeCell ref="G24:J24"/>
    <mergeCell ref="C7:F7"/>
    <mergeCell ref="G7:J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91398-C04B-4E45-B4EA-E24199198520}">
  <sheetPr codeName="Hoja19"/>
  <dimension ref="B2:X72"/>
  <sheetViews>
    <sheetView topLeftCell="A10" zoomScale="70" zoomScaleNormal="70" workbookViewId="0">
      <selection activeCell="E27" sqref="E27:P30"/>
    </sheetView>
  </sheetViews>
  <sheetFormatPr baseColWidth="10" defaultRowHeight="14.5"/>
  <cols>
    <col min="2" max="2" width="20.26953125" bestFit="1" customWidth="1"/>
    <col min="3" max="3" width="12.26953125" bestFit="1" customWidth="1"/>
    <col min="4" max="4" width="23.26953125" bestFit="1" customWidth="1"/>
    <col min="5" max="5" width="12.7265625" style="652" bestFit="1" customWidth="1"/>
    <col min="6" max="6" width="16.54296875" style="652" bestFit="1" customWidth="1"/>
    <col min="7" max="7" width="7.453125" style="652" bestFit="1" customWidth="1"/>
    <col min="8" max="8" width="19.26953125" style="652" bestFit="1" customWidth="1"/>
    <col min="9" max="9" width="9.453125" style="652" bestFit="1" customWidth="1"/>
    <col min="10" max="10" width="20.26953125" style="652" bestFit="1" customWidth="1"/>
    <col min="11" max="11" width="18.7265625" style="652" bestFit="1" customWidth="1"/>
    <col min="12" max="12" width="12.26953125" style="652" bestFit="1" customWidth="1"/>
    <col min="13" max="13" width="23" style="652" bestFit="1" customWidth="1"/>
    <col min="14" max="14" width="11.453125" style="652" bestFit="1" customWidth="1"/>
    <col min="15" max="15" width="19.7265625" style="652" bestFit="1" customWidth="1"/>
    <col min="16" max="16" width="18.54296875" style="652" bestFit="1" customWidth="1"/>
  </cols>
  <sheetData>
    <row r="2" spans="2:16" ht="18.5">
      <c r="B2" s="112" t="s">
        <v>650</v>
      </c>
    </row>
    <row r="3" spans="2:16" ht="16">
      <c r="B3" s="94" t="s">
        <v>651</v>
      </c>
    </row>
    <row r="5" spans="2:16">
      <c r="B5" s="121" t="s">
        <v>652</v>
      </c>
      <c r="C5" s="121" t="s">
        <v>308</v>
      </c>
      <c r="D5" s="121" t="s">
        <v>309</v>
      </c>
      <c r="E5" s="121" t="s">
        <v>311</v>
      </c>
      <c r="F5" s="121" t="s">
        <v>312</v>
      </c>
      <c r="G5" s="121" t="s">
        <v>310</v>
      </c>
      <c r="H5" s="121" t="s">
        <v>271</v>
      </c>
      <c r="I5" s="121" t="s">
        <v>272</v>
      </c>
      <c r="J5" s="121" t="s">
        <v>273</v>
      </c>
      <c r="K5" s="121" t="s">
        <v>274</v>
      </c>
      <c r="L5" s="121" t="s">
        <v>316</v>
      </c>
      <c r="M5" s="121" t="s">
        <v>317</v>
      </c>
      <c r="N5" s="121" t="s">
        <v>275</v>
      </c>
      <c r="O5" s="121" t="s">
        <v>276</v>
      </c>
      <c r="P5" s="121" t="s">
        <v>277</v>
      </c>
    </row>
    <row r="6" spans="2:16">
      <c r="B6" s="122" t="s">
        <v>255</v>
      </c>
      <c r="C6" s="98"/>
      <c r="D6" s="98"/>
      <c r="E6" s="142">
        <v>37.187839294054733</v>
      </c>
      <c r="F6" s="114"/>
      <c r="G6" s="114" t="e">
        <f>+E6/F6*100</f>
        <v>#DIV/0!</v>
      </c>
      <c r="H6" s="114">
        <f>E6</f>
        <v>37.187839294054733</v>
      </c>
      <c r="I6" s="114">
        <v>12.7</v>
      </c>
      <c r="J6" s="114">
        <f>SUMPRODUCT(E6,I6)/H6</f>
        <v>12.7</v>
      </c>
      <c r="K6" s="125">
        <f>SUMPRODUCT(H6,J6)/SUMPRODUCT($H$12,$J$12)*100</f>
        <v>16.683161286588849</v>
      </c>
      <c r="L6" s="125">
        <f>E6/$E$13*100</f>
        <v>6.6207191752478289</v>
      </c>
      <c r="M6" s="125">
        <f>+L6</f>
        <v>6.6207191752478289</v>
      </c>
      <c r="N6" s="114">
        <v>11.6</v>
      </c>
      <c r="O6" s="114">
        <f>SUMPRODUCT(E6,N6)/H6</f>
        <v>11.6</v>
      </c>
      <c r="P6" s="125">
        <f>SUMPRODUCT(H6,O6)/SUMPRODUCT($H$12,$O$12)*100</f>
        <v>9.5952284117254472</v>
      </c>
    </row>
    <row r="7" spans="2:16">
      <c r="B7" s="122" t="s">
        <v>256</v>
      </c>
      <c r="C7" s="98"/>
      <c r="D7" s="98"/>
      <c r="E7" s="142">
        <v>14.915884466549459</v>
      </c>
      <c r="F7" s="114"/>
      <c r="G7" s="114" t="e">
        <f t="shared" ref="G7:G12" si="0">+E7/F7*100</f>
        <v>#DIV/0!</v>
      </c>
      <c r="H7" s="114">
        <f t="shared" ref="H7:H12" si="1">H6+E7</f>
        <v>52.10372376060419</v>
      </c>
      <c r="I7" s="114">
        <v>12.97</v>
      </c>
      <c r="J7" s="114">
        <f>SUMPRODUCT(E6:E7,I6:I7)/H7</f>
        <v>12.777293684890395</v>
      </c>
      <c r="K7" s="125">
        <f t="shared" ref="K6:K12" si="2">SUMPRODUCT(H7,J7)/SUMPRODUCT($H$12,$J$12)*100</f>
        <v>23.516967649730365</v>
      </c>
      <c r="L7" s="125">
        <f t="shared" ref="L7:L12" si="3">E7/$E$13*100</f>
        <v>2.6555423541171734</v>
      </c>
      <c r="M7" s="125">
        <f t="shared" ref="M7:M12" si="4">+M6+L7</f>
        <v>9.2762615293650015</v>
      </c>
      <c r="N7" s="114">
        <v>12</v>
      </c>
      <c r="O7" s="114">
        <f>SUMPRODUCT(E6:E7,N6:N7)/H7</f>
        <v>11.714509162800585</v>
      </c>
      <c r="P7" s="125">
        <f t="shared" ref="P7:P12" si="5">SUMPRODUCT(H7,O7)/SUMPRODUCT($H$12,$O$12)*100</f>
        <v>13.576544323232367</v>
      </c>
    </row>
    <row r="8" spans="2:16">
      <c r="B8" s="122" t="s">
        <v>257</v>
      </c>
      <c r="C8" s="98"/>
      <c r="D8" s="98"/>
      <c r="E8" s="142">
        <v>24.194871381063535</v>
      </c>
      <c r="F8" s="114"/>
      <c r="G8" s="114" t="e">
        <f t="shared" si="0"/>
        <v>#DIV/0!</v>
      </c>
      <c r="H8" s="114">
        <f t="shared" si="1"/>
        <v>76.298595141667732</v>
      </c>
      <c r="I8" s="114">
        <v>13.24</v>
      </c>
      <c r="J8" s="114">
        <f>SUMPRODUCT(E6:E8,I6:I8)/H8</f>
        <v>12.924021416383956</v>
      </c>
      <c r="K8" s="125">
        <f t="shared" si="2"/>
        <v>34.832760402658764</v>
      </c>
      <c r="L8" s="125">
        <f t="shared" si="3"/>
        <v>4.3075223496749819</v>
      </c>
      <c r="M8" s="125">
        <f t="shared" si="4"/>
        <v>13.583783879039984</v>
      </c>
      <c r="N8" s="114">
        <v>12.2</v>
      </c>
      <c r="O8" s="114">
        <f>SUMPRODUCT(E6:E8,N6:N8)/H8</f>
        <v>11.868462041499262</v>
      </c>
      <c r="P8" s="125">
        <f t="shared" si="5"/>
        <v>20.142221587137747</v>
      </c>
    </row>
    <row r="9" spans="2:16">
      <c r="B9" s="122" t="s">
        <v>259</v>
      </c>
      <c r="C9" s="98"/>
      <c r="D9" s="98"/>
      <c r="E9" s="142">
        <v>84.147725621786932</v>
      </c>
      <c r="F9" s="114"/>
      <c r="G9" s="114" t="e">
        <f t="shared" si="0"/>
        <v>#DIV/0!</v>
      </c>
      <c r="H9" s="114">
        <f t="shared" si="1"/>
        <v>160.44632076345465</v>
      </c>
      <c r="I9" s="114">
        <v>14.55</v>
      </c>
      <c r="J9" s="114">
        <f>SUMPRODUCT(E6:E9,I6:I9)/H9</f>
        <v>13.776782633157143</v>
      </c>
      <c r="K9" s="125">
        <f t="shared" si="2"/>
        <v>78.082057889489192</v>
      </c>
      <c r="L9" s="125">
        <f t="shared" si="3"/>
        <v>14.981200068451543</v>
      </c>
      <c r="M9" s="125">
        <f t="shared" si="4"/>
        <v>28.564983947491527</v>
      </c>
      <c r="N9" s="114">
        <v>14.9</v>
      </c>
      <c r="O9" s="114">
        <f>SUMPRODUCT(E6:E9,N6:N9)/H9</f>
        <v>13.458383350570854</v>
      </c>
      <c r="P9" s="125">
        <f t="shared" si="5"/>
        <v>48.030713702865057</v>
      </c>
    </row>
    <row r="10" spans="2:16">
      <c r="B10" s="122" t="s">
        <v>261</v>
      </c>
      <c r="C10" s="98"/>
      <c r="D10" s="98"/>
      <c r="E10" s="142">
        <v>62.211154802031324</v>
      </c>
      <c r="F10" s="114"/>
      <c r="G10" s="114" t="e">
        <f t="shared" si="0"/>
        <v>#DIV/0!</v>
      </c>
      <c r="H10" s="114">
        <f t="shared" si="1"/>
        <v>222.65747556548598</v>
      </c>
      <c r="I10" s="114">
        <v>6.86</v>
      </c>
      <c r="J10" s="114">
        <f>SUMPRODUCT(E6:E10,I6:I10)/H10</f>
        <v>11.844213183016294</v>
      </c>
      <c r="K10" s="125">
        <f t="shared" si="2"/>
        <v>93.157361267707472</v>
      </c>
      <c r="L10" s="125">
        <f t="shared" si="3"/>
        <v>11.075733178667575</v>
      </c>
      <c r="M10" s="125">
        <f t="shared" si="4"/>
        <v>39.640717126159103</v>
      </c>
      <c r="N10" s="114">
        <v>13.5</v>
      </c>
      <c r="O10" s="114">
        <f>SUMPRODUCT(E6:E10,N6:N10)/H10</f>
        <v>13.47001116505767</v>
      </c>
      <c r="P10" s="125">
        <f t="shared" si="5"/>
        <v>66.711640313167848</v>
      </c>
    </row>
    <row r="11" spans="2:16">
      <c r="B11" s="122" t="s">
        <v>283</v>
      </c>
      <c r="C11" s="98"/>
      <c r="D11" s="98"/>
      <c r="E11" s="142">
        <v>56.183412704461311</v>
      </c>
      <c r="F11" s="114"/>
      <c r="G11" s="114" t="e">
        <f t="shared" si="0"/>
        <v>#DIV/0!</v>
      </c>
      <c r="H11" s="114">
        <f t="shared" si="1"/>
        <v>278.8408882699473</v>
      </c>
      <c r="I11" s="114">
        <v>2.1589999999999998</v>
      </c>
      <c r="J11" s="114">
        <f>SUMPRODUCT(E6:E11,I6:I11)/H11</f>
        <v>9.8927478410134349</v>
      </c>
      <c r="K11" s="125">
        <f t="shared" si="2"/>
        <v>97.442199594089942</v>
      </c>
      <c r="L11" s="125">
        <f t="shared" si="3"/>
        <v>10.002586998453483</v>
      </c>
      <c r="M11" s="125">
        <f t="shared" si="4"/>
        <v>49.643304124612584</v>
      </c>
      <c r="N11" s="114">
        <v>8.01</v>
      </c>
      <c r="O11" s="114">
        <f>SUMPRODUCT(E6:E11,N6:N11)/H11</f>
        <v>12.369878173226057</v>
      </c>
      <c r="P11" s="125">
        <f t="shared" si="5"/>
        <v>76.721708007957659</v>
      </c>
    </row>
    <row r="12" spans="2:16">
      <c r="B12" s="122" t="s">
        <v>278</v>
      </c>
      <c r="C12" s="98"/>
      <c r="D12" s="98"/>
      <c r="E12" s="142">
        <v>282.84792996425466</v>
      </c>
      <c r="F12" s="649"/>
      <c r="G12" s="114" t="e">
        <f t="shared" si="0"/>
        <v>#DIV/0!</v>
      </c>
      <c r="H12" s="114">
        <f t="shared" si="1"/>
        <v>561.68881823420202</v>
      </c>
      <c r="I12" s="649">
        <v>0.25600000000000001</v>
      </c>
      <c r="J12" s="114">
        <f>SUMPRODUCT(E6:E12,I6:I12)/H12</f>
        <v>5.0400000384363368</v>
      </c>
      <c r="K12" s="125">
        <f>SUMPRODUCT(H12,J12)/SUMPRODUCT($H$12,$J$12)*100</f>
        <v>100</v>
      </c>
      <c r="L12" s="125">
        <f t="shared" si="3"/>
        <v>50.356695875387402</v>
      </c>
      <c r="M12" s="125">
        <f t="shared" si="4"/>
        <v>99.999999999999986</v>
      </c>
      <c r="N12" s="649">
        <v>3.7</v>
      </c>
      <c r="O12" s="114">
        <f>SUMPRODUCT(E6:E12,N6:N12)/H12</f>
        <v>8.0040139887680173</v>
      </c>
      <c r="P12" s="125">
        <f t="shared" si="5"/>
        <v>100</v>
      </c>
    </row>
    <row r="13" spans="2:16">
      <c r="B13" s="123" t="s">
        <v>32</v>
      </c>
      <c r="C13" s="4"/>
      <c r="D13" s="4"/>
      <c r="E13" s="142">
        <v>561.68881823420202</v>
      </c>
      <c r="F13" s="114"/>
      <c r="G13" s="114" t="e">
        <f>+I13/F13*100</f>
        <v>#DIV/0!</v>
      </c>
      <c r="H13" s="117"/>
      <c r="I13" s="652">
        <f>+SUMPRODUCT(I6:I12,E6:E12)/SUM(E6:E12)</f>
        <v>5.0400000384363368</v>
      </c>
      <c r="J13" s="117"/>
      <c r="K13" s="95"/>
      <c r="L13" s="95"/>
      <c r="M13" s="95"/>
      <c r="N13" s="95"/>
      <c r="O13" s="95"/>
      <c r="P13" s="95"/>
    </row>
    <row r="14" spans="2:16">
      <c r="B14" s="124" t="s">
        <v>292</v>
      </c>
      <c r="C14" s="4"/>
      <c r="D14" s="4"/>
      <c r="F14" s="95"/>
      <c r="G14" s="95"/>
      <c r="H14" s="95"/>
      <c r="I14" s="251">
        <v>5.04</v>
      </c>
      <c r="J14" s="114"/>
      <c r="K14" s="95"/>
      <c r="L14" s="95"/>
      <c r="M14" s="95"/>
      <c r="N14" s="95"/>
      <c r="O14" s="95"/>
      <c r="P14" s="95"/>
    </row>
    <row r="15" spans="2:16">
      <c r="B15" s="124" t="s">
        <v>53</v>
      </c>
      <c r="C15" s="4"/>
      <c r="D15" s="4"/>
      <c r="F15" s="95"/>
      <c r="G15" s="95"/>
      <c r="H15" s="95"/>
      <c r="I15" s="654">
        <f>+(I13-I14)/I13</f>
        <v>7.626257239463878E-9</v>
      </c>
      <c r="J15" s="114">
        <f>+SUMPRODUCT(I6:I12,E6:E12)/SUM(E6:E12)</f>
        <v>5.0400000384363368</v>
      </c>
      <c r="K15" s="95"/>
      <c r="L15" s="95"/>
      <c r="M15" s="95"/>
      <c r="N15" s="95"/>
      <c r="O15" s="95"/>
      <c r="P15" s="95"/>
    </row>
    <row r="16" spans="2:16">
      <c r="B16" s="124" t="s">
        <v>51</v>
      </c>
      <c r="C16" s="4"/>
      <c r="D16" s="4"/>
      <c r="E16" s="95"/>
      <c r="F16" s="95"/>
      <c r="G16" s="95"/>
      <c r="H16" s="95"/>
      <c r="I16" s="95"/>
      <c r="J16" s="118" t="e">
        <f>+(J14-J15)/J14</f>
        <v>#DIV/0!</v>
      </c>
      <c r="K16" s="95"/>
      <c r="L16" s="95"/>
      <c r="M16" s="95"/>
      <c r="N16" s="95"/>
      <c r="O16" s="95"/>
      <c r="P16" s="95"/>
    </row>
    <row r="19" spans="2:16" ht="16">
      <c r="B19" s="94" t="s">
        <v>653</v>
      </c>
    </row>
    <row r="21" spans="2:16">
      <c r="B21" s="121" t="s">
        <v>652</v>
      </c>
      <c r="C21" s="121" t="s">
        <v>308</v>
      </c>
      <c r="D21" s="121" t="s">
        <v>309</v>
      </c>
      <c r="E21" s="121" t="s">
        <v>311</v>
      </c>
      <c r="F21" s="121" t="s">
        <v>312</v>
      </c>
      <c r="G21" s="121" t="s">
        <v>310</v>
      </c>
      <c r="H21" s="121" t="s">
        <v>271</v>
      </c>
      <c r="I21" s="121" t="s">
        <v>272</v>
      </c>
      <c r="J21" s="121" t="s">
        <v>273</v>
      </c>
      <c r="K21" s="121" t="s">
        <v>274</v>
      </c>
      <c r="L21" s="121" t="s">
        <v>316</v>
      </c>
      <c r="M21" s="121" t="s">
        <v>317</v>
      </c>
      <c r="N21" s="121" t="s">
        <v>275</v>
      </c>
      <c r="O21" s="121" t="s">
        <v>276</v>
      </c>
      <c r="P21" s="121" t="s">
        <v>277</v>
      </c>
    </row>
    <row r="22" spans="2:16">
      <c r="B22" s="122" t="s">
        <v>255</v>
      </c>
      <c r="C22" s="98"/>
      <c r="D22" s="98"/>
      <c r="E22" s="651">
        <v>33.559847892517567</v>
      </c>
      <c r="F22" s="98"/>
      <c r="G22" s="114" t="e">
        <f>+E22/F22*100</f>
        <v>#DIV/0!</v>
      </c>
      <c r="H22" s="114">
        <f>E22</f>
        <v>33.559847892517567</v>
      </c>
      <c r="I22" s="114">
        <v>11.11</v>
      </c>
      <c r="J22" s="114">
        <f>SUMPRODUCT(E22,I22)/H22</f>
        <v>11.11</v>
      </c>
      <c r="K22" s="125">
        <f>SUMPRODUCT(H22,J22)/SUMPRODUCT($H$28,$J$28)*100</f>
        <v>17.619909599021344</v>
      </c>
      <c r="L22" s="125">
        <f>E22/$E$29*100</f>
        <v>5.1257918844726529</v>
      </c>
      <c r="M22" s="125">
        <f>+L22</f>
        <v>5.1257918844726529</v>
      </c>
      <c r="N22" s="114">
        <v>12</v>
      </c>
      <c r="O22" s="114">
        <f>SUMPRODUCT(E22,N22)/H22</f>
        <v>12</v>
      </c>
      <c r="P22" s="125">
        <f>SUMPRODUCT(H22,O22)/SUMPRODUCT($H$28,$O$28)*100</f>
        <v>6.887865434386546</v>
      </c>
    </row>
    <row r="23" spans="2:16">
      <c r="B23" s="122" t="s">
        <v>256</v>
      </c>
      <c r="C23" s="98"/>
      <c r="D23" s="98"/>
      <c r="E23" s="651">
        <v>14.422112036679543</v>
      </c>
      <c r="F23" s="98"/>
      <c r="G23" s="114" t="e">
        <f t="shared" ref="G23:G28" si="6">+E23/F23*100</f>
        <v>#DIV/0!</v>
      </c>
      <c r="H23" s="114">
        <f t="shared" ref="H23:H28" si="7">H22+E23</f>
        <v>47.98195992919711</v>
      </c>
      <c r="I23" s="114">
        <v>10.050000000000001</v>
      </c>
      <c r="J23" s="114">
        <f>SUMPRODUCT(E22:E23,I22:I23)/H23</f>
        <v>10.791391948527348</v>
      </c>
      <c r="K23" s="125">
        <f t="shared" ref="K23:K28" si="8">SUMPRODUCT(H23,J23)/SUMPRODUCT($H$28,$J$28)*100</f>
        <v>24.469499338924994</v>
      </c>
      <c r="L23" s="125">
        <f t="shared" ref="L23:L28" si="9">E23/$E$29*100</f>
        <v>2.2027735367373187</v>
      </c>
      <c r="M23" s="125">
        <f t="shared" ref="M23:M28" si="10">+M22+L23</f>
        <v>7.3285654212099711</v>
      </c>
      <c r="N23" s="114">
        <v>11.9</v>
      </c>
      <c r="O23" s="114">
        <f>SUMPRODUCT(E22:E23,N22:N23)/H23</f>
        <v>11.969942636653524</v>
      </c>
      <c r="P23" s="125">
        <f t="shared" ref="P23:P28" si="11">SUMPRODUCT(H23,O23)/SUMPRODUCT($H$28,$O$28)*100</f>
        <v>9.8232110964276096</v>
      </c>
    </row>
    <row r="24" spans="2:16">
      <c r="B24" s="122" t="s">
        <v>257</v>
      </c>
      <c r="C24" s="98"/>
      <c r="D24" s="98"/>
      <c r="E24" s="651">
        <v>23.016163587293168</v>
      </c>
      <c r="F24" s="98"/>
      <c r="G24" s="114" t="e">
        <f t="shared" si="6"/>
        <v>#DIV/0!</v>
      </c>
      <c r="H24" s="114">
        <f t="shared" si="7"/>
        <v>70.998123516490281</v>
      </c>
      <c r="I24" s="114">
        <v>9.51</v>
      </c>
      <c r="J24" s="114">
        <f>SUMPRODUCT(E22:E24,I22:I24)/H24</f>
        <v>10.375990452741396</v>
      </c>
      <c r="K24" s="125">
        <f t="shared" si="8"/>
        <v>34.813370101052158</v>
      </c>
      <c r="L24" s="125">
        <f t="shared" si="9"/>
        <v>3.515393302892353</v>
      </c>
      <c r="M24" s="125">
        <f t="shared" si="10"/>
        <v>10.843958724102324</v>
      </c>
      <c r="N24" s="114">
        <v>11.8</v>
      </c>
      <c r="O24" s="114">
        <f>SUMPRODUCT(E22:E24,N22:N24)/H24</f>
        <v>11.914850652077833</v>
      </c>
      <c r="P24" s="125">
        <f t="shared" si="11"/>
        <v>14.468346382627006</v>
      </c>
    </row>
    <row r="25" spans="2:16">
      <c r="B25" s="122" t="s">
        <v>259</v>
      </c>
      <c r="C25" s="98"/>
      <c r="D25" s="98"/>
      <c r="E25" s="651">
        <v>62.387092864974129</v>
      </c>
      <c r="F25" s="98"/>
      <c r="G25" s="114" t="e">
        <f t="shared" si="6"/>
        <v>#DIV/0!</v>
      </c>
      <c r="H25" s="114">
        <f t="shared" si="7"/>
        <v>133.3852163814644</v>
      </c>
      <c r="I25" s="114">
        <v>12.29</v>
      </c>
      <c r="J25" s="114">
        <f>SUMPRODUCT(E22:E25,I22:I25)/H25</f>
        <v>11.271213286340693</v>
      </c>
      <c r="K25" s="125">
        <f t="shared" si="8"/>
        <v>71.047368831456623</v>
      </c>
      <c r="L25" s="125">
        <f t="shared" si="9"/>
        <v>9.5287456405433932</v>
      </c>
      <c r="M25" s="125">
        <f t="shared" si="10"/>
        <v>20.372704364645717</v>
      </c>
      <c r="N25" s="114">
        <v>16.100000000000001</v>
      </c>
      <c r="O25" s="114">
        <f>SUMPRODUCT(E22:E25,N22:N25)/H25</f>
        <v>13.872333708340204</v>
      </c>
      <c r="P25" s="125">
        <f t="shared" si="11"/>
        <v>31.647590410965964</v>
      </c>
    </row>
    <row r="26" spans="2:16">
      <c r="B26" s="122" t="s">
        <v>261</v>
      </c>
      <c r="C26" s="98"/>
      <c r="D26" s="98"/>
      <c r="E26" s="651">
        <v>59.212686045334017</v>
      </c>
      <c r="F26" s="98"/>
      <c r="G26" s="114" t="e">
        <f t="shared" si="6"/>
        <v>#DIV/0!</v>
      </c>
      <c r="H26" s="114">
        <f t="shared" si="7"/>
        <v>192.59790242679841</v>
      </c>
      <c r="I26" s="114">
        <v>6.26</v>
      </c>
      <c r="J26" s="114">
        <f>SUMPRODUCT(E22:E26,I22:I26)/H26</f>
        <v>9.7305558062153494</v>
      </c>
      <c r="K26" s="125">
        <f t="shared" si="8"/>
        <v>88.564328445207821</v>
      </c>
      <c r="L26" s="125">
        <f t="shared" si="9"/>
        <v>9.043899917575926</v>
      </c>
      <c r="M26" s="125">
        <f t="shared" si="10"/>
        <v>29.416604282221641</v>
      </c>
      <c r="N26" s="114">
        <v>14</v>
      </c>
      <c r="O26" s="114">
        <f>SUMPRODUCT(E22:E26,N22:N26)/H26</f>
        <v>13.911583689525731</v>
      </c>
      <c r="P26" s="125">
        <f t="shared" si="11"/>
        <v>45.825957684686557</v>
      </c>
    </row>
    <row r="27" spans="2:16">
      <c r="B27" s="122" t="s">
        <v>283</v>
      </c>
      <c r="C27" s="98"/>
      <c r="D27" s="98"/>
      <c r="E27" s="651">
        <v>58.509635551955022</v>
      </c>
      <c r="F27" s="98"/>
      <c r="G27" s="114" t="e">
        <f t="shared" si="6"/>
        <v>#DIV/0!</v>
      </c>
      <c r="H27" s="114">
        <f t="shared" si="7"/>
        <v>251.10753797875344</v>
      </c>
      <c r="I27" s="114">
        <v>2.294</v>
      </c>
      <c r="J27" s="114">
        <f>SUMPRODUCT(E22:E27,I22:I27)/H27</f>
        <v>7.9977915352349598</v>
      </c>
      <c r="K27" s="125">
        <f t="shared" si="8"/>
        <v>94.907266056334379</v>
      </c>
      <c r="L27" s="125">
        <f t="shared" si="9"/>
        <v>8.936518903070791</v>
      </c>
      <c r="M27" s="125">
        <f t="shared" si="10"/>
        <v>38.353123185292432</v>
      </c>
      <c r="N27" s="114">
        <v>10.4</v>
      </c>
      <c r="O27" s="114">
        <f>SUMPRODUCT(E22:E27,N22:N27)/H27</f>
        <v>13.09336260568983</v>
      </c>
      <c r="P27" s="125">
        <f t="shared" si="11"/>
        <v>56.233403448720829</v>
      </c>
    </row>
    <row r="28" spans="2:16">
      <c r="B28" s="122" t="s">
        <v>278</v>
      </c>
      <c r="C28" s="4"/>
      <c r="D28" s="4"/>
      <c r="E28" s="651">
        <v>403.61759813492705</v>
      </c>
      <c r="F28" s="648"/>
      <c r="G28" s="114" t="e">
        <f t="shared" si="6"/>
        <v>#DIV/0!</v>
      </c>
      <c r="H28" s="114">
        <f t="shared" si="7"/>
        <v>654.72513611368049</v>
      </c>
      <c r="I28" s="649">
        <v>0.26700000000000002</v>
      </c>
      <c r="J28" s="114">
        <f>SUMPRODUCT(E22:E28,I22:I28)/H28</f>
        <v>3.2320000007068246</v>
      </c>
      <c r="K28" s="125">
        <f t="shared" si="8"/>
        <v>100</v>
      </c>
      <c r="L28" s="125">
        <f t="shared" si="9"/>
        <v>61.646876814707561</v>
      </c>
      <c r="M28" s="125">
        <f t="shared" si="10"/>
        <v>100</v>
      </c>
      <c r="N28" s="649">
        <v>6.34</v>
      </c>
      <c r="O28" s="114">
        <f>SUMPRODUCT(E22:E28,N22:N28)/H28</f>
        <v>8.9301254793096945</v>
      </c>
      <c r="P28" s="125">
        <f t="shared" si="11"/>
        <v>100</v>
      </c>
    </row>
    <row r="29" spans="2:16">
      <c r="B29" s="123" t="s">
        <v>32</v>
      </c>
      <c r="C29" s="4"/>
      <c r="D29" s="4"/>
      <c r="E29" s="653">
        <f>+SUM(E22:E28)</f>
        <v>654.72513611368049</v>
      </c>
      <c r="F29" s="98"/>
      <c r="G29" s="114" t="e">
        <f>+I29/F29*100</f>
        <v>#DIV/0!</v>
      </c>
      <c r="H29" s="97"/>
      <c r="I29" s="654">
        <f>+SUMPRODUCT(I22:I28,E22:E28)/SUM(E22:E28)</f>
        <v>3.2320000007068246</v>
      </c>
      <c r="J29" s="117"/>
      <c r="K29" s="95"/>
      <c r="L29" s="95"/>
      <c r="M29" s="95"/>
      <c r="N29" s="95"/>
      <c r="O29" s="95"/>
      <c r="P29" s="95"/>
    </row>
    <row r="30" spans="2:16">
      <c r="B30" s="124" t="s">
        <v>292</v>
      </c>
      <c r="C30" s="4"/>
      <c r="D30" s="4"/>
      <c r="E30" s="654"/>
      <c r="F30" s="95"/>
      <c r="G30" s="95"/>
      <c r="H30" s="97"/>
      <c r="I30" s="647">
        <v>3.2320000000000002</v>
      </c>
      <c r="J30" s="114"/>
      <c r="K30" s="95"/>
      <c r="L30" s="95"/>
      <c r="M30" s="95"/>
      <c r="N30" s="95"/>
      <c r="O30" s="95"/>
      <c r="P30" s="95"/>
    </row>
    <row r="31" spans="2:16">
      <c r="B31" s="124" t="s">
        <v>53</v>
      </c>
      <c r="C31" s="4"/>
      <c r="D31" s="4"/>
      <c r="E31" s="654"/>
      <c r="F31" s="95"/>
      <c r="G31" s="95"/>
      <c r="H31" s="97"/>
      <c r="I31" s="654">
        <f>+(I29-I30)/I29</f>
        <v>2.1869566109265041E-10</v>
      </c>
      <c r="J31" s="114">
        <f>+SUMPRODUCT(I22:I28,E22:E28)/SUM(E22:E28)</f>
        <v>3.2320000007068246</v>
      </c>
      <c r="K31" s="95"/>
      <c r="L31" s="95"/>
      <c r="M31" s="95"/>
      <c r="N31" s="95"/>
      <c r="O31" s="95"/>
      <c r="P31" s="95"/>
    </row>
    <row r="32" spans="2:16">
      <c r="B32" s="124" t="s">
        <v>51</v>
      </c>
      <c r="C32" s="4"/>
      <c r="D32" s="4"/>
      <c r="E32" s="97"/>
      <c r="F32" s="95"/>
      <c r="G32" s="95"/>
      <c r="H32" s="97"/>
      <c r="I32" s="95"/>
      <c r="J32" s="118" t="e">
        <f>+(J30-J31)/J30</f>
        <v>#DIV/0!</v>
      </c>
      <c r="K32" s="95"/>
      <c r="L32" s="95"/>
      <c r="M32" s="95"/>
      <c r="N32" s="95"/>
      <c r="O32" s="95"/>
      <c r="P32" s="95"/>
    </row>
    <row r="33" spans="2:16">
      <c r="E33" s="654"/>
      <c r="H33" s="654"/>
    </row>
    <row r="34" spans="2:16">
      <c r="E34" s="654"/>
      <c r="H34" s="654"/>
    </row>
    <row r="35" spans="2:16" ht="16">
      <c r="B35" s="94" t="s">
        <v>654</v>
      </c>
      <c r="E35" s="654"/>
      <c r="H35" s="654"/>
    </row>
    <row r="36" spans="2:16">
      <c r="E36" s="654"/>
      <c r="H36" s="654"/>
    </row>
    <row r="37" spans="2:16">
      <c r="B37" s="121" t="s">
        <v>652</v>
      </c>
      <c r="C37" s="121" t="s">
        <v>308</v>
      </c>
      <c r="D37" s="121" t="s">
        <v>309</v>
      </c>
      <c r="E37" s="650" t="s">
        <v>311</v>
      </c>
      <c r="F37" s="121" t="s">
        <v>312</v>
      </c>
      <c r="G37" s="121" t="s">
        <v>310</v>
      </c>
      <c r="H37" s="650" t="s">
        <v>271</v>
      </c>
      <c r="I37" s="121" t="s">
        <v>272</v>
      </c>
      <c r="J37" s="121" t="s">
        <v>273</v>
      </c>
      <c r="K37" s="121" t="s">
        <v>274</v>
      </c>
      <c r="L37" s="121" t="s">
        <v>316</v>
      </c>
      <c r="M37" s="121" t="s">
        <v>317</v>
      </c>
      <c r="N37" s="121" t="s">
        <v>275</v>
      </c>
      <c r="O37" s="121" t="s">
        <v>276</v>
      </c>
      <c r="P37" s="121" t="s">
        <v>277</v>
      </c>
    </row>
    <row r="38" spans="2:16">
      <c r="B38" s="122" t="s">
        <v>255</v>
      </c>
      <c r="C38" s="98"/>
      <c r="D38" s="98"/>
      <c r="E38" s="651">
        <v>33.72757656061583</v>
      </c>
      <c r="F38" s="98"/>
      <c r="G38" s="114" t="e">
        <f>+E38/F38*100</f>
        <v>#DIV/0!</v>
      </c>
      <c r="H38" s="114">
        <f>E38</f>
        <v>33.72757656061583</v>
      </c>
      <c r="I38" s="114">
        <v>14.31</v>
      </c>
      <c r="J38" s="114">
        <f>SUMPRODUCT(E38,I38)/H38</f>
        <v>14.31</v>
      </c>
      <c r="K38" s="125">
        <f>SUMPRODUCT(H38,J38)/SUMPRODUCT($H$44,$J$44)*100</f>
        <v>23.013781523349127</v>
      </c>
      <c r="L38" s="125">
        <f>E38/$E$45*100</f>
        <v>5.1978016691367577</v>
      </c>
      <c r="M38" s="125">
        <f>+L38</f>
        <v>5.1978016691367577</v>
      </c>
      <c r="N38" s="114">
        <v>14.5</v>
      </c>
      <c r="O38" s="114">
        <f>SUMPRODUCT(E38,N38)/H38</f>
        <v>14.5</v>
      </c>
      <c r="P38" s="125">
        <f>SUMPRODUCT(H38,O38)/SUMPRODUCT($H$44,$O$44)*100</f>
        <v>8.1614541066579172</v>
      </c>
    </row>
    <row r="39" spans="2:16">
      <c r="B39" s="122" t="s">
        <v>256</v>
      </c>
      <c r="C39" s="98"/>
      <c r="D39" s="98"/>
      <c r="E39" s="651">
        <v>14.447487694389672</v>
      </c>
      <c r="F39" s="98"/>
      <c r="G39" s="114" t="e">
        <f t="shared" ref="G39:G44" si="12">+E39/F39*100</f>
        <v>#DIV/0!</v>
      </c>
      <c r="H39" s="114">
        <f t="shared" ref="H39:H44" si="13">H38+E39</f>
        <v>48.175064255005502</v>
      </c>
      <c r="I39" s="114">
        <v>12.3</v>
      </c>
      <c r="J39" s="114">
        <f>SUMPRODUCT(E38:E39,I38:I39)/H39</f>
        <v>13.707209931843401</v>
      </c>
      <c r="K39" s="125">
        <f t="shared" ref="K39:K44" si="14">SUMPRODUCT(H39,J39)/SUMPRODUCT($H$44,$J$44)*100</f>
        <v>31.487239110766573</v>
      </c>
      <c r="L39" s="125">
        <f t="shared" ref="L39:L44" si="15">E39/$E$45*100</f>
        <v>2.2265215384736861</v>
      </c>
      <c r="M39" s="125">
        <f t="shared" ref="M39:M44" si="16">+M38+L39</f>
        <v>7.4243232076104437</v>
      </c>
      <c r="N39" s="114">
        <v>13.5</v>
      </c>
      <c r="O39" s="114">
        <f>SUMPRODUCT(E38:E39,N38:N39)/H39</f>
        <v>14.200104443703184</v>
      </c>
      <c r="P39" s="125">
        <f t="shared" ref="P39:P44" si="17">SUMPRODUCT(H39,O39)/SUMPRODUCT($H$44,$O$44)*100</f>
        <v>11.416375505741724</v>
      </c>
    </row>
    <row r="40" spans="2:16">
      <c r="B40" s="122" t="s">
        <v>257</v>
      </c>
      <c r="C40" s="98"/>
      <c r="D40" s="98"/>
      <c r="E40" s="651">
        <v>23.074547627066131</v>
      </c>
      <c r="F40" s="98"/>
      <c r="G40" s="114" t="e">
        <f t="shared" si="12"/>
        <v>#DIV/0!</v>
      </c>
      <c r="H40" s="114">
        <f t="shared" si="13"/>
        <v>71.249611882071633</v>
      </c>
      <c r="I40" s="114">
        <v>11.42</v>
      </c>
      <c r="J40" s="114">
        <f>SUMPRODUCT(E38:E40,I38:I40)/H40</f>
        <v>12.966485412630979</v>
      </c>
      <c r="K40" s="125">
        <f t="shared" si="14"/>
        <v>44.052239742100632</v>
      </c>
      <c r="L40" s="125">
        <f t="shared" si="15"/>
        <v>3.5560492155428682</v>
      </c>
      <c r="M40" s="125">
        <f t="shared" si="16"/>
        <v>10.980372423153312</v>
      </c>
      <c r="N40" s="114">
        <v>13.3</v>
      </c>
      <c r="O40" s="114">
        <f>SUMPRODUCT(E38:E40,N38:N40)/H40</f>
        <v>13.908601061341756</v>
      </c>
      <c r="P40" s="125">
        <f t="shared" si="17"/>
        <v>16.53789983694028</v>
      </c>
    </row>
    <row r="41" spans="2:16">
      <c r="B41" s="122" t="s">
        <v>259</v>
      </c>
      <c r="C41" s="98"/>
      <c r="D41" s="98"/>
      <c r="E41" s="651">
        <v>62.801976557171862</v>
      </c>
      <c r="F41" s="98"/>
      <c r="G41" s="114" t="e">
        <f t="shared" si="12"/>
        <v>#DIV/0!</v>
      </c>
      <c r="H41" s="114">
        <f t="shared" si="13"/>
        <v>134.05158843924349</v>
      </c>
      <c r="I41" s="114">
        <v>11.15</v>
      </c>
      <c r="J41" s="114">
        <f>SUMPRODUCT(E38:E41,I38:I41)/H41</f>
        <v>12.115478157672568</v>
      </c>
      <c r="K41" s="125">
        <f t="shared" si="14"/>
        <v>77.44185349038321</v>
      </c>
      <c r="L41" s="125">
        <f t="shared" si="15"/>
        <v>9.6784961109579086</v>
      </c>
      <c r="M41" s="125">
        <f t="shared" si="16"/>
        <v>20.658868534111221</v>
      </c>
      <c r="N41" s="114">
        <v>15.1</v>
      </c>
      <c r="O41" s="114">
        <f>SUMPRODUCT(E38:E41,N38:N41)/H41</f>
        <v>14.46676086449669</v>
      </c>
      <c r="P41" s="125">
        <f t="shared" si="17"/>
        <v>32.363663052758262</v>
      </c>
    </row>
    <row r="42" spans="2:16">
      <c r="B42" s="122" t="s">
        <v>261</v>
      </c>
      <c r="C42" s="98"/>
      <c r="D42" s="98"/>
      <c r="E42" s="651">
        <v>59.296357481133469</v>
      </c>
      <c r="F42" s="98"/>
      <c r="G42" s="114" t="e">
        <f t="shared" si="12"/>
        <v>#DIV/0!</v>
      </c>
      <c r="H42" s="114">
        <f t="shared" si="13"/>
        <v>193.34794592037696</v>
      </c>
      <c r="I42" s="114">
        <v>4.9740000000000002</v>
      </c>
      <c r="J42" s="114">
        <f>SUMPRODUCT(E38:E42,I38:I42)/H42</f>
        <v>9.9253145137544347</v>
      </c>
      <c r="K42" s="125">
        <f t="shared" si="14"/>
        <v>91.505469893780031</v>
      </c>
      <c r="L42" s="125">
        <f t="shared" si="15"/>
        <v>9.1382404939543562</v>
      </c>
      <c r="M42" s="125">
        <f t="shared" si="16"/>
        <v>29.797109028065577</v>
      </c>
      <c r="N42" s="114">
        <v>14</v>
      </c>
      <c r="O42" s="114">
        <f>SUMPRODUCT(E38:E42,N38:N42)/H42</f>
        <v>14.323613654177754</v>
      </c>
      <c r="P42" s="125">
        <f t="shared" si="17"/>
        <v>46.21751223298984</v>
      </c>
    </row>
    <row r="43" spans="2:16">
      <c r="B43" s="122" t="s">
        <v>283</v>
      </c>
      <c r="C43" s="98"/>
      <c r="D43" s="98"/>
      <c r="E43" s="651">
        <v>58.439771290881374</v>
      </c>
      <c r="F43" s="98"/>
      <c r="G43" s="114" t="e">
        <f t="shared" si="12"/>
        <v>#DIV/0!</v>
      </c>
      <c r="H43" s="114">
        <f t="shared" si="13"/>
        <v>251.78771721125833</v>
      </c>
      <c r="I43" s="114">
        <v>1.669</v>
      </c>
      <c r="J43" s="114">
        <f>SUMPRODUCT(E38:E43,I38:I43)/H43</f>
        <v>8.0090290919180607</v>
      </c>
      <c r="K43" s="125">
        <f t="shared" si="14"/>
        <v>96.156274132744088</v>
      </c>
      <c r="L43" s="125">
        <f t="shared" si="15"/>
        <v>9.0062308572272727</v>
      </c>
      <c r="M43" s="125">
        <f t="shared" si="16"/>
        <v>38.80333988529285</v>
      </c>
      <c r="N43" s="114">
        <v>10.3</v>
      </c>
      <c r="O43" s="114">
        <f>SUMPRODUCT(E38:E43,N38:N43)/H43</f>
        <v>13.389735447896047</v>
      </c>
      <c r="P43" s="125">
        <f t="shared" si="17"/>
        <v>56.262748042001711</v>
      </c>
    </row>
    <row r="44" spans="2:16">
      <c r="B44" s="122" t="s">
        <v>278</v>
      </c>
      <c r="C44" s="4"/>
      <c r="D44" s="4"/>
      <c r="E44" s="651">
        <v>397.09384286983743</v>
      </c>
      <c r="F44" s="648"/>
      <c r="G44" s="114" t="e">
        <f t="shared" si="12"/>
        <v>#DIV/0!</v>
      </c>
      <c r="H44" s="114">
        <f t="shared" si="13"/>
        <v>648.88156008109581</v>
      </c>
      <c r="I44" s="649">
        <v>0.20300000000000001</v>
      </c>
      <c r="J44" s="114">
        <f>SUMPRODUCT(E38:E44,I38:I44)/H44</f>
        <v>3.2320000000818041</v>
      </c>
      <c r="K44" s="125">
        <f t="shared" si="14"/>
        <v>100</v>
      </c>
      <c r="L44" s="125">
        <f t="shared" si="15"/>
        <v>61.196660114707143</v>
      </c>
      <c r="M44" s="125">
        <f t="shared" si="16"/>
        <v>100</v>
      </c>
      <c r="N44" s="649">
        <v>6.6</v>
      </c>
      <c r="O44" s="114">
        <f>SUMPRODUCT(E38:E44,N38:N44)/H44</f>
        <v>9.2346441231593133</v>
      </c>
      <c r="P44" s="125">
        <f t="shared" si="17"/>
        <v>100</v>
      </c>
    </row>
    <row r="45" spans="2:16">
      <c r="B45" s="123" t="s">
        <v>32</v>
      </c>
      <c r="C45" s="4"/>
      <c r="D45" s="4"/>
      <c r="E45" s="653">
        <f>+SUM(E38:E44)</f>
        <v>648.88156008109581</v>
      </c>
      <c r="F45" s="98"/>
      <c r="G45" s="114" t="e">
        <f>+I45/F45*100</f>
        <v>#DIV/0!</v>
      </c>
      <c r="H45" s="95"/>
      <c r="I45" s="654">
        <f>+SUMPRODUCT(I38:I44,E38:E44)/SUM(E38:E44)</f>
        <v>3.2320000000818041</v>
      </c>
      <c r="J45" s="117"/>
      <c r="K45" s="95"/>
      <c r="L45" s="95"/>
      <c r="M45" s="95"/>
      <c r="N45" s="95"/>
      <c r="O45" s="95"/>
      <c r="P45" s="95"/>
    </row>
    <row r="46" spans="2:16">
      <c r="B46" s="124" t="s">
        <v>292</v>
      </c>
      <c r="C46" s="4"/>
      <c r="D46" s="4"/>
      <c r="E46" s="654"/>
      <c r="F46" s="95"/>
      <c r="G46" s="95"/>
      <c r="H46" s="95"/>
      <c r="I46" s="647">
        <v>3.2320000000000002</v>
      </c>
      <c r="J46" s="114"/>
      <c r="K46" s="95"/>
      <c r="L46" s="95"/>
      <c r="M46" s="95"/>
      <c r="N46" s="95"/>
      <c r="O46" s="95"/>
      <c r="P46" s="95"/>
    </row>
    <row r="47" spans="2:16">
      <c r="B47" s="124" t="s">
        <v>53</v>
      </c>
      <c r="C47" s="4"/>
      <c r="D47" s="4"/>
      <c r="F47" s="95"/>
      <c r="G47" s="95"/>
      <c r="H47" s="95"/>
      <c r="I47" s="654">
        <f>+(I45-I46)/I45</f>
        <v>2.5310611691698676E-11</v>
      </c>
      <c r="J47" s="114">
        <f>+SUMPRODUCT(I38:I44,E38:E44)/SUM(E38:E44)</f>
        <v>3.2320000000818041</v>
      </c>
      <c r="K47" s="95"/>
      <c r="L47" s="95"/>
      <c r="M47" s="95"/>
      <c r="N47" s="95"/>
      <c r="O47" s="95"/>
      <c r="P47" s="95"/>
    </row>
    <row r="48" spans="2:16">
      <c r="B48" s="124" t="s">
        <v>51</v>
      </c>
      <c r="C48" s="4"/>
      <c r="D48" s="4"/>
      <c r="E48" s="95"/>
      <c r="F48" s="95"/>
      <c r="G48" s="95"/>
      <c r="H48" s="95"/>
      <c r="I48" s="95"/>
      <c r="J48" s="118" t="e">
        <f>+(J46-J47)/J46</f>
        <v>#DIV/0!</v>
      </c>
      <c r="K48" s="95"/>
      <c r="L48" s="95"/>
      <c r="M48" s="95"/>
      <c r="N48" s="95"/>
      <c r="O48" s="95"/>
      <c r="P48" s="95"/>
    </row>
    <row r="51" spans="24:24">
      <c r="X51" t="s">
        <v>743</v>
      </c>
    </row>
    <row r="52" spans="24:24">
      <c r="X52" s="702">
        <v>0</v>
      </c>
    </row>
    <row r="53" spans="24:24">
      <c r="X53" s="703">
        <v>0.75</v>
      </c>
    </row>
    <row r="54" spans="24:24">
      <c r="X54" s="703">
        <v>2</v>
      </c>
    </row>
    <row r="55" spans="24:24">
      <c r="X55" s="703">
        <v>8</v>
      </c>
    </row>
    <row r="56" spans="24:24">
      <c r="X56" s="703">
        <v>30</v>
      </c>
    </row>
    <row r="71" spans="10:10">
      <c r="J71" s="652" t="s">
        <v>696</v>
      </c>
    </row>
    <row r="72" spans="10:10">
      <c r="J72" s="652" t="s">
        <v>697</v>
      </c>
    </row>
  </sheetData>
  <autoFilter ref="B2:B3" xr:uid="{3AB91398-C04B-4E45-B4EA-E24199198520}"/>
  <phoneticPr fontId="4" type="noConversion"/>
  <conditionalFormatting sqref="B6:B16">
    <cfRule type="cellIs" dxfId="80" priority="3" operator="equal">
      <formula>0</formula>
    </cfRule>
  </conditionalFormatting>
  <conditionalFormatting sqref="B22:B32">
    <cfRule type="cellIs" dxfId="79" priority="2" operator="equal">
      <formula>0</formula>
    </cfRule>
  </conditionalFormatting>
  <conditionalFormatting sqref="B38:B48">
    <cfRule type="cellIs" dxfId="78" priority="1" operator="equal">
      <formula>0</formula>
    </cfRule>
  </conditionalFormatting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2EBFC-9B60-40C6-976C-7F68F092A317}">
  <sheetPr codeName="Hoja20"/>
  <dimension ref="B2:AH108"/>
  <sheetViews>
    <sheetView workbookViewId="0"/>
  </sheetViews>
  <sheetFormatPr baseColWidth="10" defaultColWidth="10.7265625" defaultRowHeight="14.5"/>
  <cols>
    <col min="1" max="1" width="10.7265625" style="4"/>
    <col min="2" max="2" width="19.54296875" style="4" bestFit="1" customWidth="1"/>
    <col min="3" max="3" width="12.7265625" style="4" bestFit="1" customWidth="1"/>
    <col min="4" max="4" width="24.453125" style="4" bestFit="1" customWidth="1"/>
    <col min="5" max="5" width="14.453125" style="4" bestFit="1" customWidth="1"/>
    <col min="6" max="6" width="17.7265625" style="4" bestFit="1" customWidth="1"/>
    <col min="7" max="7" width="9.26953125" style="4" bestFit="1" customWidth="1"/>
    <col min="8" max="8" width="20" style="4" bestFit="1" customWidth="1"/>
    <col min="9" max="9" width="9.7265625" style="4" bestFit="1" customWidth="1"/>
    <col min="10" max="10" width="21" style="4" bestFit="1" customWidth="1"/>
    <col min="11" max="11" width="20.26953125" style="4" bestFit="1" customWidth="1"/>
    <col min="12" max="12" width="11.7265625" style="4" bestFit="1" customWidth="1"/>
    <col min="13" max="13" width="22.26953125" style="4" bestFit="1" customWidth="1"/>
    <col min="14" max="14" width="9.54296875" style="4" bestFit="1" customWidth="1"/>
    <col min="15" max="15" width="20.7265625" style="4" bestFit="1" customWidth="1"/>
    <col min="16" max="16" width="19.7265625" style="4" bestFit="1" customWidth="1"/>
    <col min="17" max="17" width="10.7265625" style="4"/>
    <col min="18" max="18" width="27.7265625" style="4" bestFit="1" customWidth="1"/>
    <col min="19" max="19" width="19.7265625" style="4" bestFit="1" customWidth="1"/>
    <col min="20" max="20" width="20.26953125" style="4" bestFit="1" customWidth="1"/>
    <col min="21" max="21" width="19.26953125" style="4" bestFit="1" customWidth="1"/>
    <col min="22" max="16384" width="10.7265625" style="4"/>
  </cols>
  <sheetData>
    <row r="2" spans="2:2" ht="18.5">
      <c r="B2" s="112" t="s">
        <v>405</v>
      </c>
    </row>
    <row r="30" spans="2:16" ht="18.5">
      <c r="B30" s="112"/>
    </row>
    <row r="32" spans="2:16">
      <c r="B32" s="1411" t="s">
        <v>269</v>
      </c>
      <c r="C32" s="1411"/>
      <c r="D32" s="1411"/>
      <c r="E32" s="1411"/>
      <c r="F32" s="1411"/>
      <c r="G32" s="1411"/>
      <c r="H32" s="1411"/>
      <c r="I32" s="1411"/>
      <c r="J32" s="1411"/>
      <c r="K32" s="1411"/>
      <c r="L32" s="1411"/>
      <c r="M32" s="1411"/>
      <c r="N32" s="1411"/>
      <c r="O32" s="1411"/>
      <c r="P32" s="1411"/>
    </row>
    <row r="33" spans="2:16">
      <c r="B33" s="121" t="s">
        <v>270</v>
      </c>
      <c r="C33" s="121" t="s">
        <v>308</v>
      </c>
      <c r="D33" s="121" t="s">
        <v>309</v>
      </c>
      <c r="E33" s="121" t="s">
        <v>311</v>
      </c>
      <c r="F33" s="121" t="s">
        <v>312</v>
      </c>
      <c r="G33" s="121" t="s">
        <v>310</v>
      </c>
      <c r="H33" s="121" t="s">
        <v>271</v>
      </c>
      <c r="I33" s="121" t="s">
        <v>272</v>
      </c>
      <c r="J33" s="121" t="s">
        <v>273</v>
      </c>
      <c r="K33" s="121" t="s">
        <v>274</v>
      </c>
      <c r="L33" s="121" t="s">
        <v>316</v>
      </c>
      <c r="M33" s="121" t="s">
        <v>317</v>
      </c>
      <c r="N33" s="121" t="s">
        <v>275</v>
      </c>
      <c r="O33" s="121" t="s">
        <v>276</v>
      </c>
      <c r="P33" s="121" t="s">
        <v>277</v>
      </c>
    </row>
    <row r="34" spans="2:16">
      <c r="B34" s="122" t="s">
        <v>255</v>
      </c>
      <c r="C34" s="98">
        <v>0.5</v>
      </c>
      <c r="D34" s="98">
        <f>+C34</f>
        <v>0.5</v>
      </c>
      <c r="E34" s="111">
        <v>32.4</v>
      </c>
      <c r="F34" s="98">
        <v>150.39999999999998</v>
      </c>
      <c r="G34" s="114">
        <f>+E34/F34*100</f>
        <v>21.542553191489365</v>
      </c>
      <c r="H34" s="111">
        <f>E34</f>
        <v>32.4</v>
      </c>
      <c r="I34" s="115">
        <v>12.97</v>
      </c>
      <c r="J34" s="115">
        <f>SUMPRODUCT(E34,I34)/H34</f>
        <v>12.97</v>
      </c>
      <c r="K34" s="116">
        <f t="shared" ref="K34:K39" si="0">SUMPRODUCT(H34,J34)/SUMPRODUCT($H$39,$J$39)*100</f>
        <v>43.574207364151782</v>
      </c>
      <c r="L34" s="125">
        <f t="shared" ref="L34:L39" si="1">E34/$E$40*100</f>
        <v>2.1734755484000803</v>
      </c>
      <c r="M34" s="125">
        <f>+L34</f>
        <v>2.1734755484000803</v>
      </c>
      <c r="N34" s="115">
        <v>14.6</v>
      </c>
      <c r="O34" s="115">
        <f>SUMPRODUCT(E34,N34)/H34</f>
        <v>14.6</v>
      </c>
      <c r="P34" s="116">
        <f t="shared" ref="P34:P39" si="2">SUMPRODUCT(H34,O34)/SUMPRODUCT($H$39,$O$39)*100</f>
        <v>16.231997046232227</v>
      </c>
    </row>
    <row r="35" spans="2:16">
      <c r="B35" s="122" t="s">
        <v>256</v>
      </c>
      <c r="C35" s="98">
        <v>1</v>
      </c>
      <c r="D35" s="98">
        <f>+D34+C35</f>
        <v>1.5</v>
      </c>
      <c r="E35" s="111">
        <v>14</v>
      </c>
      <c r="F35" s="98">
        <v>84.899999999999977</v>
      </c>
      <c r="G35" s="114">
        <f t="shared" ref="G35:G40" si="3">+E35/F35*100</f>
        <v>16.489988221436988</v>
      </c>
      <c r="H35" s="111">
        <f>H34+E35</f>
        <v>46.4</v>
      </c>
      <c r="I35" s="115">
        <v>9.01</v>
      </c>
      <c r="J35" s="115">
        <f>SUMPRODUCT(E34:E35,I34:I35)/H35</f>
        <v>11.775172413793104</v>
      </c>
      <c r="K35" s="116">
        <f t="shared" si="0"/>
        <v>56.653893907918764</v>
      </c>
      <c r="L35" s="125">
        <f t="shared" si="1"/>
        <v>0.93915610116052861</v>
      </c>
      <c r="M35" s="125">
        <f>+M34+L35</f>
        <v>3.1126316495606088</v>
      </c>
      <c r="N35" s="115">
        <v>11.3</v>
      </c>
      <c r="O35" s="115">
        <f>SUMPRODUCT(E34:E35,N34:N35)/H35</f>
        <v>13.604310344827587</v>
      </c>
      <c r="P35" s="116">
        <f t="shared" si="2"/>
        <v>21.660506120969966</v>
      </c>
    </row>
    <row r="36" spans="2:16">
      <c r="B36" s="122" t="s">
        <v>257</v>
      </c>
      <c r="C36" s="98">
        <v>2</v>
      </c>
      <c r="D36" s="98">
        <f>+D35+C36</f>
        <v>3.5</v>
      </c>
      <c r="E36" s="111">
        <v>21.9</v>
      </c>
      <c r="F36" s="98">
        <v>156.60000000000002</v>
      </c>
      <c r="G36" s="114">
        <f t="shared" si="3"/>
        <v>13.984674329501912</v>
      </c>
      <c r="H36" s="111">
        <f>H35+E36</f>
        <v>68.3</v>
      </c>
      <c r="I36" s="115">
        <v>6.29</v>
      </c>
      <c r="J36" s="115">
        <f>SUMPRODUCT(E34:E36,I34:I36)/H36</f>
        <v>10.016383601756955</v>
      </c>
      <c r="K36" s="116">
        <f t="shared" si="0"/>
        <v>70.937546207668589</v>
      </c>
      <c r="L36" s="125">
        <f t="shared" si="1"/>
        <v>1.4691084725296839</v>
      </c>
      <c r="M36" s="125">
        <f>+M35+L36</f>
        <v>4.5817401220902925</v>
      </c>
      <c r="N36" s="115">
        <v>9.2799999999999994</v>
      </c>
      <c r="O36" s="115">
        <f>SUMPRODUCT(E34:E36,N34:N36)/H36</f>
        <v>12.217745241581259</v>
      </c>
      <c r="P36" s="116">
        <f t="shared" si="2"/>
        <v>28.63425300009196</v>
      </c>
    </row>
    <row r="37" spans="2:16">
      <c r="B37" s="122" t="s">
        <v>259</v>
      </c>
      <c r="C37" s="98">
        <v>8</v>
      </c>
      <c r="D37" s="98">
        <f>+D36+C37</f>
        <v>11.5</v>
      </c>
      <c r="E37" s="111">
        <v>63</v>
      </c>
      <c r="F37" s="98">
        <v>610.70000000000005</v>
      </c>
      <c r="G37" s="114">
        <f t="shared" si="3"/>
        <v>10.316030784345832</v>
      </c>
      <c r="H37" s="111">
        <f>H36+E37</f>
        <v>131.30000000000001</v>
      </c>
      <c r="I37" s="115">
        <v>1.905</v>
      </c>
      <c r="J37" s="115">
        <f>SUMPRODUCT(E34:E37,I34:I37)/H37</f>
        <v>6.1244021325209443</v>
      </c>
      <c r="K37" s="116">
        <f t="shared" si="0"/>
        <v>83.382120336019568</v>
      </c>
      <c r="L37" s="125">
        <f t="shared" si="1"/>
        <v>4.2262024552223787</v>
      </c>
      <c r="M37" s="125">
        <f>+M36+L37</f>
        <v>8.8079425773126712</v>
      </c>
      <c r="N37" s="115">
        <v>5.24</v>
      </c>
      <c r="O37" s="115">
        <f>SUMPRODUCT(E34:E37,N34:N37)/H37</f>
        <v>8.8697029702970305</v>
      </c>
      <c r="P37" s="116">
        <f t="shared" si="2"/>
        <v>39.962062202066818</v>
      </c>
    </row>
    <row r="38" spans="2:16">
      <c r="B38" s="122" t="s">
        <v>261</v>
      </c>
      <c r="C38" s="98">
        <v>16</v>
      </c>
      <c r="D38" s="98">
        <f>+D37+C38</f>
        <v>27.5</v>
      </c>
      <c r="E38" s="111">
        <v>55.6</v>
      </c>
      <c r="F38" s="98">
        <v>641.90000000000009</v>
      </c>
      <c r="G38" s="114">
        <f t="shared" si="3"/>
        <v>8.6617853248169485</v>
      </c>
      <c r="H38" s="111">
        <f>H37+E38</f>
        <v>186.9</v>
      </c>
      <c r="I38" s="115">
        <v>0.51400000000000001</v>
      </c>
      <c r="J38" s="115">
        <f>SUMPRODUCT(E34:E38,I34:I38)/H38</f>
        <v>4.4553900481540927</v>
      </c>
      <c r="K38" s="116">
        <f t="shared" si="0"/>
        <v>86.345466728301076</v>
      </c>
      <c r="L38" s="125">
        <f t="shared" si="1"/>
        <v>3.7297913731803849</v>
      </c>
      <c r="M38" s="125">
        <f>+M37+L38</f>
        <v>12.537733950493056</v>
      </c>
      <c r="N38" s="115">
        <v>2.86</v>
      </c>
      <c r="O38" s="115">
        <f>SUMPRODUCT(E34:E38,N34:N38)/H38</f>
        <v>7.081904761904763</v>
      </c>
      <c r="P38" s="116">
        <f t="shared" si="2"/>
        <v>45.418571677594606</v>
      </c>
    </row>
    <row r="39" spans="2:16">
      <c r="B39" s="122" t="s">
        <v>278</v>
      </c>
      <c r="E39" s="111">
        <v>1303.8</v>
      </c>
      <c r="F39" s="98">
        <v>5519.6</v>
      </c>
      <c r="G39" s="114">
        <f t="shared" si="3"/>
        <v>23.621276904123484</v>
      </c>
      <c r="H39" s="111">
        <f>H38+E39</f>
        <v>1490.7</v>
      </c>
      <c r="I39" s="115">
        <v>0.10100000000000001</v>
      </c>
      <c r="J39" s="115">
        <f>SUMPRODUCT(E34:E39,I34:I39)/H39</f>
        <v>0.64694183940430672</v>
      </c>
      <c r="K39" s="116">
        <f t="shared" si="0"/>
        <v>100</v>
      </c>
      <c r="L39" s="125">
        <f t="shared" si="1"/>
        <v>87.462266049506937</v>
      </c>
      <c r="M39" s="125">
        <f>+M38+L39</f>
        <v>100</v>
      </c>
      <c r="N39" s="115">
        <v>1.22</v>
      </c>
      <c r="O39" s="115">
        <f>SUMPRODUCT(E34:E39,N34:N39)/H39</f>
        <v>1.9549500234789026</v>
      </c>
      <c r="P39" s="116">
        <f t="shared" si="2"/>
        <v>100</v>
      </c>
    </row>
    <row r="40" spans="2:16">
      <c r="B40" s="123" t="s">
        <v>32</v>
      </c>
      <c r="E40" s="111">
        <f>+SUM(E34:E39)</f>
        <v>1490.7</v>
      </c>
      <c r="F40" s="111">
        <f>+SUM(F34:F39)</f>
        <v>7164.1</v>
      </c>
      <c r="G40" s="114">
        <f t="shared" si="3"/>
        <v>20.807917254086348</v>
      </c>
      <c r="J40" s="117"/>
    </row>
    <row r="41" spans="2:16">
      <c r="B41" s="124" t="s">
        <v>292</v>
      </c>
      <c r="J41" s="114">
        <v>0.64800000000000002</v>
      </c>
    </row>
    <row r="42" spans="2:16">
      <c r="B42" s="124" t="s">
        <v>53</v>
      </c>
      <c r="J42" s="114">
        <f>+SUMPRODUCT(I34:I39,E34:E39)/SUM(E34:E39)</f>
        <v>0.64694183940430672</v>
      </c>
    </row>
    <row r="43" spans="2:16">
      <c r="B43" s="124" t="s">
        <v>51</v>
      </c>
      <c r="J43" s="118">
        <f>+(J41-J42)/J41</f>
        <v>1.6329638822427509E-3</v>
      </c>
    </row>
    <row r="45" spans="2:16">
      <c r="B45" s="1411" t="s">
        <v>269</v>
      </c>
      <c r="C45" s="1411"/>
      <c r="D45" s="1411"/>
      <c r="E45" s="1411"/>
      <c r="F45" s="1411"/>
      <c r="G45" s="1411"/>
      <c r="H45" s="1411"/>
      <c r="I45" s="1411"/>
      <c r="J45" s="1411"/>
      <c r="K45" s="1411"/>
      <c r="L45" s="1411"/>
      <c r="M45" s="1411"/>
      <c r="N45" s="1411"/>
      <c r="O45" s="1411"/>
      <c r="P45" s="1411"/>
    </row>
    <row r="46" spans="2:16">
      <c r="B46" s="121" t="s">
        <v>279</v>
      </c>
      <c r="C46" s="121" t="s">
        <v>308</v>
      </c>
      <c r="D46" s="121" t="s">
        <v>309</v>
      </c>
      <c r="E46" s="121" t="s">
        <v>311</v>
      </c>
      <c r="F46" s="121" t="s">
        <v>312</v>
      </c>
      <c r="G46" s="121" t="s">
        <v>310</v>
      </c>
      <c r="H46" s="121" t="s">
        <v>271</v>
      </c>
      <c r="I46" s="121" t="s">
        <v>272</v>
      </c>
      <c r="J46" s="121" t="s">
        <v>273</v>
      </c>
      <c r="K46" s="121" t="s">
        <v>274</v>
      </c>
      <c r="L46" s="121" t="s">
        <v>316</v>
      </c>
      <c r="M46" s="121" t="s">
        <v>317</v>
      </c>
      <c r="N46" s="121" t="s">
        <v>275</v>
      </c>
      <c r="O46" s="121" t="s">
        <v>276</v>
      </c>
      <c r="P46" s="121" t="s">
        <v>277</v>
      </c>
    </row>
    <row r="47" spans="2:16">
      <c r="B47" s="122" t="s">
        <v>255</v>
      </c>
      <c r="C47" s="98">
        <f>+D47</f>
        <v>0.5</v>
      </c>
      <c r="D47" s="98">
        <v>0.5</v>
      </c>
      <c r="E47" s="111">
        <v>7.2</v>
      </c>
      <c r="F47" s="114">
        <v>35</v>
      </c>
      <c r="G47" s="114">
        <f>+E47/F47*100</f>
        <v>20.571428571428569</v>
      </c>
      <c r="H47" s="111">
        <f>E47</f>
        <v>7.2</v>
      </c>
      <c r="I47" s="115">
        <v>23.22</v>
      </c>
      <c r="J47" s="115">
        <f>SUMPRODUCT(E47,I47)/H47</f>
        <v>23.22</v>
      </c>
      <c r="K47" s="116">
        <f>SUMPRODUCT(H47,J47)/SUMPRODUCT($H$54,$J$54)*100</f>
        <v>19.530393930232435</v>
      </c>
      <c r="L47" s="125">
        <f>E47/$E$55*100</f>
        <v>0.51513200257566005</v>
      </c>
      <c r="M47" s="125">
        <f>+L47</f>
        <v>0.51513200257566005</v>
      </c>
      <c r="N47" s="115">
        <v>20.2</v>
      </c>
      <c r="O47" s="115">
        <f>SUMPRODUCT(E47,N47)/H47</f>
        <v>20.2</v>
      </c>
      <c r="P47" s="116">
        <f>SUMPRODUCT(H47,O47)/SUMPRODUCT($H$54,$O$54)*100</f>
        <v>5.0430797738658617</v>
      </c>
    </row>
    <row r="48" spans="2:16">
      <c r="B48" s="122" t="s">
        <v>256</v>
      </c>
      <c r="C48" s="98">
        <f>+D48-D47</f>
        <v>0.5</v>
      </c>
      <c r="D48" s="98">
        <v>1</v>
      </c>
      <c r="E48" s="111">
        <v>2.6</v>
      </c>
      <c r="F48" s="114">
        <v>16.299999999999955</v>
      </c>
      <c r="G48" s="114">
        <f t="shared" ref="G48:G55" si="4">+E48/F48*100</f>
        <v>15.950920245398818</v>
      </c>
      <c r="H48" s="111">
        <f t="shared" ref="H48:H54" si="5">H47+E48</f>
        <v>9.8000000000000007</v>
      </c>
      <c r="I48" s="115">
        <v>21.53</v>
      </c>
      <c r="J48" s="115">
        <f>SUMPRODUCT(E47:E48,I47:I48)/H48</f>
        <v>22.771632653061225</v>
      </c>
      <c r="K48" s="116">
        <f t="shared" ref="K48:K54" si="6">SUMPRODUCT(H48,J48)/SUMPRODUCT($H$54,$J$54)*100</f>
        <v>26.069730179075339</v>
      </c>
      <c r="L48" s="125">
        <f t="shared" ref="L48:L54" si="7">E48/$E$55*100</f>
        <v>0.18601988981898834</v>
      </c>
      <c r="M48" s="125">
        <f t="shared" ref="M48:M54" si="8">+M47+L48</f>
        <v>0.70115189239464837</v>
      </c>
      <c r="N48" s="115">
        <v>20.9</v>
      </c>
      <c r="O48" s="115">
        <f>SUMPRODUCT(E47:E48,N47:N48)/H48</f>
        <v>20.385714285714286</v>
      </c>
      <c r="P48" s="116">
        <f t="shared" ref="P48:P54" si="9">SUMPRODUCT(H48,O48)/SUMPRODUCT($H$54,$O$54)*100</f>
        <v>6.9272997608836757</v>
      </c>
    </row>
    <row r="49" spans="2:16">
      <c r="B49" s="122" t="s">
        <v>257</v>
      </c>
      <c r="C49" s="98">
        <f t="shared" ref="C49:C51" si="10">+D49-D48</f>
        <v>1</v>
      </c>
      <c r="D49" s="98">
        <v>2</v>
      </c>
      <c r="E49" s="111">
        <v>4.8</v>
      </c>
      <c r="F49" s="114">
        <v>36.600000000000023</v>
      </c>
      <c r="G49" s="114">
        <f t="shared" si="4"/>
        <v>13.114754098360649</v>
      </c>
      <c r="H49" s="111">
        <f t="shared" si="5"/>
        <v>14.600000000000001</v>
      </c>
      <c r="I49" s="115">
        <v>20.5</v>
      </c>
      <c r="J49" s="115">
        <f>SUMPRODUCT(E47:E49,I47:I49)/H49</f>
        <v>22.024794520547943</v>
      </c>
      <c r="K49" s="116">
        <f t="shared" si="6"/>
        <v>37.56479407714496</v>
      </c>
      <c r="L49" s="125">
        <f t="shared" si="7"/>
        <v>0.34342133505043998</v>
      </c>
      <c r="M49" s="125">
        <f t="shared" si="8"/>
        <v>1.0445732274450883</v>
      </c>
      <c r="N49" s="115">
        <v>20.6</v>
      </c>
      <c r="O49" s="115">
        <f>SUMPRODUCT(E47:E49,N47:N49)/H49</f>
        <v>20.456164383561642</v>
      </c>
      <c r="P49" s="116">
        <f t="shared" si="9"/>
        <v>10.355928254007003</v>
      </c>
    </row>
    <row r="50" spans="2:16">
      <c r="B50" s="122" t="s">
        <v>259</v>
      </c>
      <c r="C50" s="98">
        <f t="shared" si="10"/>
        <v>4</v>
      </c>
      <c r="D50" s="98">
        <v>6</v>
      </c>
      <c r="E50" s="111">
        <v>8.1999999999999993</v>
      </c>
      <c r="F50" s="114">
        <v>132.00000000000006</v>
      </c>
      <c r="G50" s="114">
        <f t="shared" si="4"/>
        <v>6.2121212121212093</v>
      </c>
      <c r="H50" s="111">
        <f t="shared" si="5"/>
        <v>22.8</v>
      </c>
      <c r="I50" s="115">
        <v>15.37</v>
      </c>
      <c r="J50" s="115">
        <f>SUMPRODUCT(E47:E50,I47:I50)/H50</f>
        <v>19.631403508771928</v>
      </c>
      <c r="K50" s="116">
        <f t="shared" si="6"/>
        <v>52.288055086589139</v>
      </c>
      <c r="L50" s="125">
        <f t="shared" si="7"/>
        <v>0.58667811404450165</v>
      </c>
      <c r="M50" s="125">
        <f t="shared" si="8"/>
        <v>1.6312513414895899</v>
      </c>
      <c r="N50" s="115">
        <v>18.600000000000001</v>
      </c>
      <c r="O50" s="115">
        <f>SUMPRODUCT(E47:E50,N47:N50)/H50</f>
        <v>19.788596491228073</v>
      </c>
      <c r="P50" s="116">
        <f t="shared" si="9"/>
        <v>15.644504485511549</v>
      </c>
    </row>
    <row r="51" spans="2:16">
      <c r="B51" s="122" t="s">
        <v>261</v>
      </c>
      <c r="C51" s="98">
        <f t="shared" si="10"/>
        <v>4</v>
      </c>
      <c r="D51" s="98">
        <v>10</v>
      </c>
      <c r="E51" s="111">
        <v>4.8</v>
      </c>
      <c r="F51" s="114">
        <v>164.8</v>
      </c>
      <c r="G51" s="114">
        <f t="shared" si="4"/>
        <v>2.9126213592233006</v>
      </c>
      <c r="H51" s="111">
        <f t="shared" si="5"/>
        <v>27.6</v>
      </c>
      <c r="I51" s="115">
        <v>11.03</v>
      </c>
      <c r="J51" s="115">
        <f>SUMPRODUCT(E47:E51,I47:I51)/H51</f>
        <v>18.135507246376811</v>
      </c>
      <c r="K51" s="116">
        <f t="shared" si="6"/>
        <v>58.472960198574889</v>
      </c>
      <c r="L51" s="125">
        <f t="shared" si="7"/>
        <v>0.34342133505043998</v>
      </c>
      <c r="M51" s="125">
        <f t="shared" si="8"/>
        <v>1.97467267654003</v>
      </c>
      <c r="N51" s="115">
        <v>20.7</v>
      </c>
      <c r="O51" s="115">
        <f>SUMPRODUCT(E47:E51,N47:N51)/H51</f>
        <v>19.947101449275365</v>
      </c>
      <c r="P51" s="116">
        <f t="shared" si="9"/>
        <v>19.089776806271395</v>
      </c>
    </row>
    <row r="52" spans="2:16">
      <c r="B52" s="122" t="s">
        <v>280</v>
      </c>
      <c r="C52" s="98"/>
      <c r="E52" s="111">
        <v>29.7</v>
      </c>
      <c r="F52" s="114">
        <v>866.4</v>
      </c>
      <c r="G52" s="114">
        <f t="shared" si="4"/>
        <v>3.4279778393351799</v>
      </c>
      <c r="H52" s="111">
        <f t="shared" si="5"/>
        <v>57.3</v>
      </c>
      <c r="I52" s="115">
        <v>6.22</v>
      </c>
      <c r="J52" s="115">
        <f>SUMPRODUCT(E47:E52,I47:I52)/H52</f>
        <v>11.959406631762654</v>
      </c>
      <c r="K52" s="116">
        <f t="shared" si="6"/>
        <v>80.053540830139852</v>
      </c>
      <c r="L52" s="125">
        <f t="shared" si="7"/>
        <v>2.1249195106245975</v>
      </c>
      <c r="M52" s="125">
        <f t="shared" si="8"/>
        <v>4.0995921871646273</v>
      </c>
      <c r="N52" s="115">
        <v>16.2</v>
      </c>
      <c r="O52" s="115">
        <f>SUMPRODUCT(E47:E52,N47:N52)/H52</f>
        <v>18.004886561954628</v>
      </c>
      <c r="P52" s="116">
        <f t="shared" si="9"/>
        <v>35.773133533429124</v>
      </c>
    </row>
    <row r="53" spans="2:16">
      <c r="B53" s="122" t="s">
        <v>281</v>
      </c>
      <c r="C53" s="98">
        <v>14</v>
      </c>
      <c r="E53" s="111">
        <v>115.2</v>
      </c>
      <c r="F53" s="114">
        <v>2483.4</v>
      </c>
      <c r="G53" s="114">
        <f t="shared" si="4"/>
        <v>4.6388016429089154</v>
      </c>
      <c r="H53" s="111">
        <f t="shared" si="5"/>
        <v>172.5</v>
      </c>
      <c r="I53" s="115">
        <v>0.29099999999999998</v>
      </c>
      <c r="J53" s="115">
        <f>SUMPRODUCT(E47:E53,I47:I53)/H53</f>
        <v>4.1669402898550727</v>
      </c>
      <c r="K53" s="116">
        <f t="shared" si="6"/>
        <v>83.969712843023686</v>
      </c>
      <c r="L53" s="125">
        <f t="shared" si="7"/>
        <v>8.2421120412105608</v>
      </c>
      <c r="M53" s="125">
        <f t="shared" si="8"/>
        <v>12.341704228375189</v>
      </c>
      <c r="N53" s="115">
        <v>2.04</v>
      </c>
      <c r="O53" s="115">
        <f>SUMPRODUCT(E47:E53,N47:N53)/H53</f>
        <v>7.3431188405797103</v>
      </c>
      <c r="P53" s="116">
        <f t="shared" si="9"/>
        <v>43.921951544269803</v>
      </c>
    </row>
    <row r="54" spans="2:16">
      <c r="B54" s="122" t="s">
        <v>282</v>
      </c>
      <c r="C54" s="98">
        <v>16</v>
      </c>
      <c r="E54" s="111">
        <v>1225.2</v>
      </c>
      <c r="F54" s="114">
        <v>5484.3</v>
      </c>
      <c r="G54" s="114">
        <f t="shared" si="4"/>
        <v>22.340134565942783</v>
      </c>
      <c r="H54" s="111">
        <f t="shared" si="5"/>
        <v>1397.7</v>
      </c>
      <c r="I54" s="115">
        <v>0.112</v>
      </c>
      <c r="J54" s="115">
        <f>SUMPRODUCT(E47:E54,I47:I54)/H54</f>
        <v>0.61244873721113258</v>
      </c>
      <c r="K54" s="116">
        <f t="shared" si="6"/>
        <v>100</v>
      </c>
      <c r="L54" s="125">
        <f t="shared" si="7"/>
        <v>87.658295771624822</v>
      </c>
      <c r="M54" s="125">
        <f t="shared" si="8"/>
        <v>100.00000000000001</v>
      </c>
      <c r="N54" s="115">
        <v>1.32</v>
      </c>
      <c r="O54" s="115">
        <f>SUMPRODUCT(E47:E54,N47:N54)/H54</f>
        <v>2.0633555126278886</v>
      </c>
      <c r="P54" s="116">
        <f t="shared" si="9"/>
        <v>100</v>
      </c>
    </row>
    <row r="55" spans="2:16">
      <c r="B55" s="123" t="s">
        <v>32</v>
      </c>
      <c r="E55" s="111">
        <f>+SUM(E47:E54)</f>
        <v>1397.7</v>
      </c>
      <c r="F55" s="111">
        <f>+SUM(F47:F54)</f>
        <v>9218.7999999999993</v>
      </c>
      <c r="G55" s="119">
        <f t="shared" si="4"/>
        <v>15.161409294051289</v>
      </c>
    </row>
    <row r="56" spans="2:16">
      <c r="B56" s="124" t="s">
        <v>292</v>
      </c>
      <c r="J56" s="114">
        <v>0.64800000000000002</v>
      </c>
    </row>
    <row r="57" spans="2:16">
      <c r="B57" s="124" t="s">
        <v>53</v>
      </c>
      <c r="J57" s="114">
        <f>+SUMPRODUCT(I47:I54,E47:E54)/SUM(E47:E54)</f>
        <v>0.61244873721113258</v>
      </c>
    </row>
    <row r="58" spans="2:16">
      <c r="B58" s="124" t="s">
        <v>51</v>
      </c>
      <c r="J58" s="118">
        <f>+(J56-J57)/J56</f>
        <v>5.4863059859363336E-2</v>
      </c>
    </row>
    <row r="59" spans="2:16">
      <c r="C59" s="4" t="s">
        <v>310</v>
      </c>
    </row>
    <row r="60" spans="2:16">
      <c r="B60" s="4" t="s">
        <v>313</v>
      </c>
      <c r="C60" s="220">
        <v>17.276244391431714</v>
      </c>
    </row>
    <row r="61" spans="2:16">
      <c r="B61" s="4" t="s">
        <v>314</v>
      </c>
      <c r="C61" s="110">
        <v>3.4684521655205698</v>
      </c>
    </row>
    <row r="62" spans="2:16">
      <c r="B62" s="4" t="s">
        <v>315</v>
      </c>
      <c r="C62" s="110">
        <v>4.5799696267284791</v>
      </c>
    </row>
    <row r="64" spans="2:16">
      <c r="B64" s="1411" t="s">
        <v>269</v>
      </c>
      <c r="C64" s="1411"/>
      <c r="D64" s="1411"/>
      <c r="E64" s="1411"/>
      <c r="F64" s="1411"/>
      <c r="G64" s="1411"/>
      <c r="H64" s="1411"/>
      <c r="I64" s="1411"/>
      <c r="J64" s="1411"/>
      <c r="K64" s="1411"/>
      <c r="L64" s="1411"/>
      <c r="M64" s="1411"/>
      <c r="N64" s="1411"/>
      <c r="O64" s="1411"/>
      <c r="P64" s="1411"/>
    </row>
    <row r="65" spans="2:34">
      <c r="B65" s="121" t="s">
        <v>288</v>
      </c>
      <c r="C65" s="121" t="s">
        <v>308</v>
      </c>
      <c r="D65" s="121" t="s">
        <v>309</v>
      </c>
      <c r="E65" s="121" t="s">
        <v>311</v>
      </c>
      <c r="F65" s="121" t="s">
        <v>312</v>
      </c>
      <c r="G65" s="121" t="s">
        <v>310</v>
      </c>
      <c r="H65" s="121" t="s">
        <v>271</v>
      </c>
      <c r="I65" s="121" t="s">
        <v>272</v>
      </c>
      <c r="J65" s="121" t="s">
        <v>273</v>
      </c>
      <c r="K65" s="121" t="s">
        <v>274</v>
      </c>
      <c r="L65" s="121" t="s">
        <v>316</v>
      </c>
      <c r="M65" s="121" t="s">
        <v>317</v>
      </c>
      <c r="N65" s="121" t="s">
        <v>275</v>
      </c>
      <c r="O65" s="121" t="s">
        <v>276</v>
      </c>
      <c r="P65" s="121" t="s">
        <v>277</v>
      </c>
    </row>
    <row r="66" spans="2:34">
      <c r="B66" s="122" t="s">
        <v>255</v>
      </c>
      <c r="C66" s="98">
        <v>5</v>
      </c>
      <c r="D66" s="98">
        <f>+C66</f>
        <v>5</v>
      </c>
      <c r="E66" s="111">
        <v>148.80000000000001</v>
      </c>
      <c r="F66" s="100">
        <v>2578.9</v>
      </c>
      <c r="G66" s="114">
        <f>+E66/F66*100</f>
        <v>5.7699018961572763</v>
      </c>
      <c r="H66" s="111">
        <f>+E66</f>
        <v>148.80000000000001</v>
      </c>
      <c r="I66" s="115">
        <v>17.850000000000001</v>
      </c>
      <c r="J66" s="115">
        <f>SUMPRODUCT(E66,I66)/H66</f>
        <v>17.850000000000001</v>
      </c>
      <c r="K66" s="116">
        <f>SUMPRODUCT(H66,J66)/SUMPRODUCT($H$74,$J$74)*100</f>
        <v>25.705406085712891</v>
      </c>
      <c r="L66" s="125">
        <f>E66/$E$75*100</f>
        <v>0.84569479965899397</v>
      </c>
      <c r="M66" s="125">
        <f>+L66</f>
        <v>0.84569479965899397</v>
      </c>
      <c r="N66" s="115">
        <v>16.899999999999999</v>
      </c>
      <c r="O66" s="115">
        <f>SUMPRODUCT(E66,N66)/H66</f>
        <v>16.899999999999999</v>
      </c>
      <c r="P66" s="116">
        <f>SUMPRODUCT(H66,O66)/SUMPRODUCT($H$74,$O$74)*100</f>
        <v>6.9893559018035951</v>
      </c>
    </row>
    <row r="67" spans="2:34">
      <c r="B67" s="122" t="s">
        <v>256</v>
      </c>
      <c r="C67" s="98">
        <v>5</v>
      </c>
      <c r="D67" s="98">
        <f t="shared" ref="D67:D73" si="11">+D66+C67</f>
        <v>10</v>
      </c>
      <c r="E67" s="111">
        <v>137.69999999999999</v>
      </c>
      <c r="F67" s="100">
        <v>2589.1999999999998</v>
      </c>
      <c r="G67" s="114">
        <f t="shared" ref="G67:G75" si="12">+E67/F67*100</f>
        <v>5.3182450177661051</v>
      </c>
      <c r="H67" s="116">
        <f t="shared" ref="H67:H74" si="13">+H66+E67</f>
        <v>286.5</v>
      </c>
      <c r="I67" s="115">
        <v>17.21</v>
      </c>
      <c r="J67" s="115">
        <f>SUMPRODUCT(E66:E67,I66:I67)/H67</f>
        <v>17.542397905759167</v>
      </c>
      <c r="K67" s="116">
        <f t="shared" ref="K67:K74" si="14">SUMPRODUCT(H67,J67)/SUMPRODUCT($H$74,$J$74)*100</f>
        <v>48.640373531657993</v>
      </c>
      <c r="L67" s="125">
        <f t="shared" ref="L67:L73" si="15">E67/$E$75*100</f>
        <v>0.78260869565217384</v>
      </c>
      <c r="M67" s="125">
        <f>+M66+L67</f>
        <v>1.6283034953111679</v>
      </c>
      <c r="N67" s="115">
        <v>17.100000000000001</v>
      </c>
      <c r="O67" s="115">
        <f>SUMPRODUCT(E66:E67,N66:N67)/H67</f>
        <v>16.99612565445026</v>
      </c>
      <c r="P67" s="116">
        <f t="shared" ref="P67:P74" si="16">SUMPRODUCT(H67,O67)/SUMPRODUCT($H$74,$O$74)*100</f>
        <v>13.53387245287086</v>
      </c>
      <c r="T67" s="110"/>
      <c r="U67" s="110"/>
      <c r="V67" s="126"/>
    </row>
    <row r="68" spans="2:34">
      <c r="B68" s="122" t="s">
        <v>257</v>
      </c>
      <c r="C68" s="98">
        <v>5</v>
      </c>
      <c r="D68" s="98">
        <f t="shared" si="11"/>
        <v>15</v>
      </c>
      <c r="E68" s="111">
        <v>59.6</v>
      </c>
      <c r="F68" s="100">
        <v>2560</v>
      </c>
      <c r="G68" s="114">
        <f t="shared" si="12"/>
        <v>2.328125</v>
      </c>
      <c r="H68" s="116">
        <f t="shared" si="13"/>
        <v>346.1</v>
      </c>
      <c r="I68" s="115">
        <v>10.79</v>
      </c>
      <c r="J68" s="115">
        <f>SUMPRODUCT(E66:E68,I66:I68)/H68</f>
        <v>16.379604160647212</v>
      </c>
      <c r="K68" s="116">
        <f t="shared" si="14"/>
        <v>54.864107518294162</v>
      </c>
      <c r="L68" s="125">
        <f t="shared" si="15"/>
        <v>0.33873259448707022</v>
      </c>
      <c r="M68" s="125">
        <f t="shared" ref="M68:M74" si="17">+M67+L68</f>
        <v>1.9670360897982382</v>
      </c>
      <c r="N68" s="115">
        <v>14.4</v>
      </c>
      <c r="O68" s="115">
        <f>SUMPRODUCT(E66:E68,N66:N68)/H68</f>
        <v>16.549060965039004</v>
      </c>
      <c r="P68" s="116">
        <f t="shared" si="16"/>
        <v>15.919245301205434</v>
      </c>
      <c r="T68" s="110"/>
      <c r="U68" s="110"/>
      <c r="V68" s="126"/>
    </row>
    <row r="69" spans="2:34">
      <c r="B69" s="122" t="s">
        <v>259</v>
      </c>
      <c r="C69" s="98">
        <v>5</v>
      </c>
      <c r="D69" s="98">
        <f t="shared" si="11"/>
        <v>20</v>
      </c>
      <c r="E69" s="111">
        <v>56.2</v>
      </c>
      <c r="F69" s="100">
        <v>2820.8</v>
      </c>
      <c r="G69" s="114">
        <f t="shared" si="12"/>
        <v>1.992342597844583</v>
      </c>
      <c r="H69" s="116">
        <f t="shared" si="13"/>
        <v>402.3</v>
      </c>
      <c r="I69" s="115">
        <v>6.24</v>
      </c>
      <c r="J69" s="115">
        <f>SUMPRODUCT(E66:E69,I66:I69)/H69</f>
        <v>14.96313447675864</v>
      </c>
      <c r="K69" s="116">
        <f t="shared" si="14"/>
        <v>58.258048005548488</v>
      </c>
      <c r="L69" s="125">
        <f t="shared" si="15"/>
        <v>0.3194089229894857</v>
      </c>
      <c r="M69" s="125">
        <f t="shared" si="17"/>
        <v>2.2864450127877238</v>
      </c>
      <c r="N69" s="115">
        <v>9.52</v>
      </c>
      <c r="O69" s="115">
        <f>SUMPRODUCT(E66:E69,N66:N69)/H69</f>
        <v>15.567124036788465</v>
      </c>
      <c r="P69" s="116">
        <f t="shared" si="16"/>
        <v>17.406278908130485</v>
      </c>
      <c r="T69" s="110"/>
      <c r="U69" s="110"/>
      <c r="V69" s="126"/>
    </row>
    <row r="70" spans="2:34">
      <c r="B70" s="122" t="s">
        <v>261</v>
      </c>
      <c r="C70" s="98">
        <v>5</v>
      </c>
      <c r="D70" s="98">
        <f t="shared" si="11"/>
        <v>25</v>
      </c>
      <c r="E70" s="111">
        <v>46.1</v>
      </c>
      <c r="F70" s="100">
        <v>2635.4</v>
      </c>
      <c r="G70" s="114">
        <f t="shared" si="12"/>
        <v>1.7492600743720117</v>
      </c>
      <c r="H70" s="116">
        <f t="shared" si="13"/>
        <v>448.40000000000003</v>
      </c>
      <c r="I70" s="115">
        <v>4.7009999999999996</v>
      </c>
      <c r="J70" s="115">
        <f>SUMPRODUCT(E66:E70,I66:I70)/H70</f>
        <v>13.908084522747547</v>
      </c>
      <c r="K70" s="116">
        <f t="shared" si="14"/>
        <v>60.355415312185315</v>
      </c>
      <c r="L70" s="125">
        <f t="shared" si="15"/>
        <v>0.26200625177607273</v>
      </c>
      <c r="M70" s="125">
        <f t="shared" si="17"/>
        <v>2.5484512645637967</v>
      </c>
      <c r="N70" s="115">
        <v>7.95</v>
      </c>
      <c r="O70" s="115">
        <f>SUMPRODUCT(E66:E70,N66:N70)/H70</f>
        <v>14.784007582515608</v>
      </c>
      <c r="P70" s="116">
        <f t="shared" si="16"/>
        <v>18.424906823457643</v>
      </c>
    </row>
    <row r="71" spans="2:34">
      <c r="B71" s="122" t="s">
        <v>283</v>
      </c>
      <c r="C71" s="98">
        <v>5</v>
      </c>
      <c r="D71" s="98">
        <f t="shared" si="11"/>
        <v>30</v>
      </c>
      <c r="E71" s="111">
        <v>45</v>
      </c>
      <c r="F71" s="100">
        <v>2656.7</v>
      </c>
      <c r="G71" s="114">
        <f t="shared" si="12"/>
        <v>1.6938306922121431</v>
      </c>
      <c r="H71" s="116">
        <f t="shared" si="13"/>
        <v>493.40000000000003</v>
      </c>
      <c r="I71" s="115">
        <v>4.7320000000000002</v>
      </c>
      <c r="J71" s="115">
        <f>SUMPRODUCT(E66:E71,I66:I71)/H71</f>
        <v>13.071189906769355</v>
      </c>
      <c r="K71" s="116">
        <f t="shared" si="14"/>
        <v>62.416237716590182</v>
      </c>
      <c r="L71" s="125">
        <f t="shared" si="15"/>
        <v>0.25575447570332482</v>
      </c>
      <c r="M71" s="125">
        <f t="shared" si="17"/>
        <v>2.8042057402671214</v>
      </c>
      <c r="N71" s="115">
        <v>7.73</v>
      </c>
      <c r="O71" s="115">
        <f>SUMPRODUCT(E66:E71,N66:N71)/H71</f>
        <v>14.140654641264693</v>
      </c>
      <c r="P71" s="116">
        <f t="shared" si="16"/>
        <v>19.391713247410362</v>
      </c>
    </row>
    <row r="72" spans="2:34">
      <c r="B72" s="122" t="s">
        <v>284</v>
      </c>
      <c r="C72" s="98">
        <v>5</v>
      </c>
      <c r="D72" s="98">
        <f t="shared" si="11"/>
        <v>35</v>
      </c>
      <c r="E72" s="111">
        <v>40.1</v>
      </c>
      <c r="F72" s="100">
        <v>2311</v>
      </c>
      <c r="G72" s="114">
        <f t="shared" si="12"/>
        <v>1.7351795759411508</v>
      </c>
      <c r="H72" s="116">
        <f t="shared" si="13"/>
        <v>533.5</v>
      </c>
      <c r="I72" s="115">
        <v>7.2</v>
      </c>
      <c r="J72" s="115">
        <f>SUMPRODUCT(E66:E72,I66:I72)/H72</f>
        <v>12.629887722586693</v>
      </c>
      <c r="K72" s="116">
        <f t="shared" si="14"/>
        <v>65.210455076408806</v>
      </c>
      <c r="L72" s="125">
        <f t="shared" si="15"/>
        <v>0.22790565501562945</v>
      </c>
      <c r="M72" s="125">
        <f t="shared" si="17"/>
        <v>3.032111395282751</v>
      </c>
      <c r="N72" s="115">
        <v>9.4700000000000006</v>
      </c>
      <c r="O72" s="115">
        <f>SUMPRODUCT(E66:E72,N66:N72)/H72</f>
        <v>13.789589503280226</v>
      </c>
      <c r="P72" s="116">
        <f t="shared" si="16"/>
        <v>20.447173471865653</v>
      </c>
    </row>
    <row r="73" spans="2:34">
      <c r="B73" s="122" t="s">
        <v>285</v>
      </c>
      <c r="C73" s="98">
        <v>15</v>
      </c>
      <c r="D73" s="98">
        <f t="shared" si="11"/>
        <v>50</v>
      </c>
      <c r="E73" s="111">
        <v>241.5</v>
      </c>
      <c r="F73" s="100">
        <v>5507</v>
      </c>
      <c r="G73" s="114">
        <f t="shared" si="12"/>
        <v>4.3853277646631561</v>
      </c>
      <c r="H73" s="116">
        <f t="shared" si="13"/>
        <v>775</v>
      </c>
      <c r="I73" s="115">
        <v>3.6019999999999999</v>
      </c>
      <c r="J73" s="115">
        <f>SUMPRODUCT(E66:E73,I66:I73)/H73</f>
        <v>9.816681419354838</v>
      </c>
      <c r="K73" s="116">
        <f t="shared" si="14"/>
        <v>73.629138159018567</v>
      </c>
      <c r="L73" s="125">
        <f t="shared" si="15"/>
        <v>1.3725490196078431</v>
      </c>
      <c r="M73" s="125">
        <f t="shared" si="17"/>
        <v>4.4046604148905946</v>
      </c>
      <c r="N73" s="115">
        <v>5.69</v>
      </c>
      <c r="O73" s="115">
        <f>SUMPRODUCT(E66:E73,N66:N73)/H73</f>
        <v>11.265652903225806</v>
      </c>
      <c r="P73" s="116">
        <f t="shared" si="16"/>
        <v>24.266413217095693</v>
      </c>
    </row>
    <row r="74" spans="2:34">
      <c r="B74" s="122" t="s">
        <v>278</v>
      </c>
      <c r="E74" s="111">
        <v>16820</v>
      </c>
      <c r="F74" s="100">
        <v>145000</v>
      </c>
      <c r="G74" s="114">
        <f t="shared" si="12"/>
        <v>11.600000000000001</v>
      </c>
      <c r="H74" s="116">
        <f t="shared" si="13"/>
        <v>17595</v>
      </c>
      <c r="I74" s="115">
        <v>0.16200000000000001</v>
      </c>
      <c r="J74" s="115">
        <f>SUMPRODUCT(E66:E74,I66:I74)/H74</f>
        <v>0.58725593066212001</v>
      </c>
      <c r="K74" s="116">
        <f t="shared" si="14"/>
        <v>100</v>
      </c>
      <c r="L74" s="125">
        <f>E74/$E$75*100</f>
        <v>95.5953395851094</v>
      </c>
      <c r="M74" s="125">
        <f t="shared" si="17"/>
        <v>100</v>
      </c>
      <c r="N74" s="115">
        <v>1.62</v>
      </c>
      <c r="O74" s="115">
        <f>SUMPRODUCT(E66:E74,N66:N74)/H74</f>
        <v>2.0448582551861327</v>
      </c>
      <c r="P74" s="116">
        <f t="shared" si="16"/>
        <v>100</v>
      </c>
    </row>
    <row r="75" spans="2:34">
      <c r="B75" s="123" t="s">
        <v>32</v>
      </c>
      <c r="E75" s="111">
        <f>+SUM(E66:E74)</f>
        <v>17595</v>
      </c>
      <c r="F75" s="111">
        <f>+SUM(F66:F74)</f>
        <v>168659</v>
      </c>
      <c r="G75" s="114">
        <f t="shared" si="12"/>
        <v>10.432292376926224</v>
      </c>
    </row>
    <row r="76" spans="2:34">
      <c r="B76" s="124" t="s">
        <v>292</v>
      </c>
      <c r="J76" s="114">
        <v>0.626</v>
      </c>
    </row>
    <row r="77" spans="2:34">
      <c r="B77" s="124" t="s">
        <v>53</v>
      </c>
      <c r="J77" s="114">
        <f>+SUMPRODUCT(I66:I74,E66:E74)/SUM(E66:E74)</f>
        <v>0.58725593066212001</v>
      </c>
      <c r="T77" s="127"/>
      <c r="U77" s="127"/>
      <c r="V77" s="127"/>
      <c r="W77" s="127"/>
      <c r="X77" s="127"/>
      <c r="Y77" s="127"/>
      <c r="Z77" s="127"/>
    </row>
    <row r="78" spans="2:34">
      <c r="B78" s="124" t="s">
        <v>51</v>
      </c>
      <c r="J78" s="120">
        <f>+(J76-J77)/J76</f>
        <v>6.1891484565303502E-2</v>
      </c>
      <c r="T78" s="127"/>
      <c r="U78" s="127"/>
      <c r="V78" s="127"/>
      <c r="W78" s="127"/>
      <c r="X78" s="128"/>
      <c r="Y78" s="128"/>
      <c r="Z78" s="128"/>
      <c r="AA78"/>
      <c r="AB78"/>
      <c r="AC78"/>
      <c r="AD78"/>
      <c r="AE78"/>
      <c r="AF78"/>
      <c r="AG78"/>
      <c r="AH78"/>
    </row>
    <row r="79" spans="2:34">
      <c r="T79" s="127"/>
      <c r="U79" s="127"/>
      <c r="V79" s="127"/>
      <c r="W79" s="127"/>
      <c r="X79" s="129"/>
      <c r="Y79" s="129"/>
      <c r="Z79" s="129"/>
      <c r="AA79" s="1"/>
      <c r="AB79"/>
      <c r="AC79"/>
      <c r="AD79"/>
      <c r="AE79"/>
      <c r="AF79"/>
      <c r="AG79"/>
      <c r="AH79"/>
    </row>
    <row r="80" spans="2:34">
      <c r="T80" s="127"/>
      <c r="U80" s="127"/>
      <c r="V80" s="127"/>
      <c r="W80" s="127"/>
      <c r="X80" s="129"/>
      <c r="Y80" s="129"/>
      <c r="Z80" s="129"/>
      <c r="AA80" s="1"/>
      <c r="AB80"/>
      <c r="AC80"/>
      <c r="AD80"/>
      <c r="AE80"/>
      <c r="AF80"/>
      <c r="AG80"/>
      <c r="AH80"/>
    </row>
    <row r="81" spans="2:34">
      <c r="B81" s="121" t="s">
        <v>270</v>
      </c>
      <c r="C81" s="121" t="s">
        <v>310</v>
      </c>
      <c r="D81" s="121" t="s">
        <v>273</v>
      </c>
      <c r="E81" s="121" t="s">
        <v>274</v>
      </c>
      <c r="F81" s="121" t="s">
        <v>317</v>
      </c>
      <c r="T81" s="127"/>
      <c r="U81" s="127"/>
      <c r="V81" s="127"/>
      <c r="W81" s="127"/>
      <c r="X81" s="129"/>
      <c r="Y81" s="129"/>
      <c r="Z81" s="129"/>
      <c r="AA81" s="1"/>
      <c r="AB81"/>
      <c r="AC81"/>
      <c r="AD81"/>
      <c r="AE81"/>
      <c r="AF81"/>
      <c r="AG81"/>
      <c r="AH81"/>
    </row>
    <row r="82" spans="2:34">
      <c r="B82" s="122" t="s">
        <v>255</v>
      </c>
      <c r="C82" s="110">
        <f t="shared" ref="C82:C87" si="18">+G34</f>
        <v>21.542553191489365</v>
      </c>
      <c r="D82" s="110">
        <f t="shared" ref="D82:E87" si="19">+J34</f>
        <v>12.97</v>
      </c>
      <c r="E82" s="132">
        <f t="shared" si="19"/>
        <v>43.574207364151782</v>
      </c>
      <c r="F82" s="132">
        <f t="shared" ref="F82:F87" si="20">+M34</f>
        <v>2.1734755484000803</v>
      </c>
      <c r="T82" s="127"/>
      <c r="U82" s="127"/>
      <c r="V82" s="127"/>
      <c r="W82" s="127"/>
      <c r="X82" s="129"/>
      <c r="Y82" s="129"/>
      <c r="Z82" s="129"/>
      <c r="AA82" s="1"/>
      <c r="AB82"/>
      <c r="AC82"/>
      <c r="AD82"/>
      <c r="AE82"/>
      <c r="AF82"/>
      <c r="AG82"/>
      <c r="AH82"/>
    </row>
    <row r="83" spans="2:34">
      <c r="B83" s="122" t="s">
        <v>256</v>
      </c>
      <c r="C83" s="110">
        <f t="shared" si="18"/>
        <v>16.489988221436988</v>
      </c>
      <c r="D83" s="110">
        <f t="shared" si="19"/>
        <v>11.775172413793104</v>
      </c>
      <c r="E83" s="132">
        <f t="shared" si="19"/>
        <v>56.653893907918764</v>
      </c>
      <c r="F83" s="132">
        <f t="shared" si="20"/>
        <v>3.1126316495606088</v>
      </c>
      <c r="T83" s="127"/>
      <c r="U83" s="127"/>
      <c r="V83" s="127"/>
      <c r="W83" s="127"/>
      <c r="X83" s="129"/>
      <c r="Y83" s="129"/>
      <c r="Z83" s="129"/>
      <c r="AA83" s="1"/>
      <c r="AB83"/>
      <c r="AC83"/>
      <c r="AD83"/>
      <c r="AE83"/>
      <c r="AF83"/>
      <c r="AG83"/>
      <c r="AH83"/>
    </row>
    <row r="84" spans="2:34">
      <c r="B84" s="122" t="s">
        <v>257</v>
      </c>
      <c r="C84" s="110">
        <f t="shared" si="18"/>
        <v>13.984674329501912</v>
      </c>
      <c r="D84" s="110">
        <f t="shared" si="19"/>
        <v>10.016383601756955</v>
      </c>
      <c r="E84" s="132">
        <f t="shared" si="19"/>
        <v>70.937546207668589</v>
      </c>
      <c r="F84" s="132">
        <f t="shared" si="20"/>
        <v>4.5817401220902925</v>
      </c>
      <c r="T84" s="127"/>
      <c r="U84" s="127"/>
      <c r="V84" s="127"/>
      <c r="W84" s="127"/>
      <c r="X84" s="129"/>
      <c r="Y84" s="129"/>
      <c r="Z84" s="129"/>
      <c r="AA84" s="1"/>
      <c r="AB84"/>
      <c r="AC84"/>
      <c r="AD84"/>
      <c r="AE84"/>
      <c r="AF84"/>
      <c r="AG84"/>
      <c r="AH84"/>
    </row>
    <row r="85" spans="2:34">
      <c r="B85" s="122" t="s">
        <v>259</v>
      </c>
      <c r="C85" s="110">
        <f t="shared" si="18"/>
        <v>10.316030784345832</v>
      </c>
      <c r="D85" s="110">
        <f t="shared" si="19"/>
        <v>6.1244021325209443</v>
      </c>
      <c r="E85" s="132">
        <f t="shared" si="19"/>
        <v>83.382120336019568</v>
      </c>
      <c r="F85" s="132">
        <f t="shared" si="20"/>
        <v>8.8079425773126712</v>
      </c>
      <c r="T85" s="127"/>
      <c r="U85" s="127"/>
      <c r="V85" s="127"/>
      <c r="W85" s="127"/>
      <c r="X85" s="129"/>
      <c r="Y85" s="129"/>
      <c r="Z85" s="129"/>
      <c r="AA85" s="1"/>
      <c r="AB85"/>
      <c r="AC85"/>
      <c r="AD85"/>
      <c r="AE85"/>
      <c r="AF85"/>
      <c r="AG85"/>
      <c r="AH85"/>
    </row>
    <row r="86" spans="2:34">
      <c r="B86" s="122" t="s">
        <v>261</v>
      </c>
      <c r="C86" s="110">
        <f t="shared" si="18"/>
        <v>8.6617853248169485</v>
      </c>
      <c r="D86" s="110">
        <f t="shared" si="19"/>
        <v>4.4553900481540927</v>
      </c>
      <c r="E86" s="132">
        <f t="shared" si="19"/>
        <v>86.345466728301076</v>
      </c>
      <c r="F86" s="132">
        <f t="shared" si="20"/>
        <v>12.537733950493056</v>
      </c>
      <c r="T86" s="127"/>
      <c r="U86" s="127"/>
      <c r="V86" s="127"/>
      <c r="W86" s="127"/>
      <c r="X86" s="129"/>
      <c r="Y86" s="129"/>
      <c r="Z86" s="129"/>
      <c r="AA86" s="1"/>
      <c r="AB86"/>
      <c r="AC86"/>
      <c r="AD86"/>
      <c r="AE86"/>
      <c r="AF86"/>
      <c r="AG86"/>
      <c r="AH86"/>
    </row>
    <row r="87" spans="2:34">
      <c r="B87" s="122" t="s">
        <v>278</v>
      </c>
      <c r="C87" s="110">
        <f t="shared" si="18"/>
        <v>23.621276904123484</v>
      </c>
      <c r="D87" s="110">
        <f t="shared" si="19"/>
        <v>0.64694183940430672</v>
      </c>
      <c r="E87" s="132">
        <f t="shared" si="19"/>
        <v>100</v>
      </c>
      <c r="F87" s="132">
        <f t="shared" si="20"/>
        <v>100</v>
      </c>
      <c r="T87" s="127"/>
      <c r="U87" s="127"/>
      <c r="V87" s="127"/>
      <c r="W87" s="127"/>
      <c r="X87" s="129"/>
      <c r="Y87" s="129"/>
      <c r="Z87" s="129"/>
      <c r="AA87" s="1"/>
      <c r="AB87"/>
      <c r="AC87"/>
      <c r="AD87"/>
      <c r="AE87"/>
      <c r="AF87"/>
      <c r="AG87"/>
      <c r="AH87"/>
    </row>
    <row r="88" spans="2:34">
      <c r="T88" s="127"/>
      <c r="U88" s="127"/>
      <c r="V88" s="127"/>
      <c r="W88" s="127"/>
      <c r="X88" s="129"/>
      <c r="Y88" s="129"/>
      <c r="Z88" s="129"/>
      <c r="AA88" s="1"/>
      <c r="AB88"/>
      <c r="AC88"/>
      <c r="AD88"/>
      <c r="AE88"/>
      <c r="AF88"/>
      <c r="AG88"/>
      <c r="AH88"/>
    </row>
    <row r="89" spans="2:34">
      <c r="B89" s="121" t="s">
        <v>279</v>
      </c>
      <c r="C89" s="121" t="s">
        <v>310</v>
      </c>
      <c r="D89" s="121" t="s">
        <v>273</v>
      </c>
      <c r="E89" s="121" t="s">
        <v>274</v>
      </c>
      <c r="F89" s="121" t="s">
        <v>317</v>
      </c>
      <c r="T89" s="127"/>
      <c r="U89" s="127"/>
      <c r="V89" s="127"/>
      <c r="W89" s="127"/>
      <c r="X89" s="129"/>
      <c r="Y89" s="129"/>
      <c r="Z89" s="129"/>
      <c r="AA89" s="1"/>
      <c r="AB89"/>
      <c r="AC89"/>
      <c r="AD89"/>
      <c r="AE89"/>
      <c r="AF89"/>
      <c r="AG89"/>
      <c r="AH89"/>
    </row>
    <row r="90" spans="2:34">
      <c r="B90" s="122" t="s">
        <v>255</v>
      </c>
      <c r="C90" s="110">
        <f>+G47</f>
        <v>20.571428571428569</v>
      </c>
      <c r="D90" s="110">
        <f t="shared" ref="D90:E97" si="21">+J47</f>
        <v>23.22</v>
      </c>
      <c r="E90" s="132">
        <f t="shared" si="21"/>
        <v>19.530393930232435</v>
      </c>
      <c r="F90" s="132">
        <f>+M47</f>
        <v>0.51513200257566005</v>
      </c>
      <c r="T90" s="127"/>
      <c r="U90" s="127"/>
      <c r="V90" s="127"/>
      <c r="W90" s="127"/>
      <c r="X90" s="129"/>
      <c r="Y90" s="129"/>
      <c r="Z90" s="129"/>
      <c r="AA90" s="1"/>
      <c r="AB90"/>
      <c r="AC90"/>
      <c r="AD90"/>
      <c r="AE90"/>
      <c r="AF90"/>
      <c r="AG90"/>
      <c r="AH90"/>
    </row>
    <row r="91" spans="2:34">
      <c r="B91" s="122" t="s">
        <v>256</v>
      </c>
      <c r="C91" s="110">
        <f t="shared" ref="C91:C97" si="22">+G48</f>
        <v>15.950920245398818</v>
      </c>
      <c r="D91" s="110">
        <f t="shared" si="21"/>
        <v>22.771632653061225</v>
      </c>
      <c r="E91" s="132">
        <f t="shared" si="21"/>
        <v>26.069730179075339</v>
      </c>
      <c r="F91" s="132">
        <f t="shared" ref="F91:F97" si="23">+M48</f>
        <v>0.70115189239464837</v>
      </c>
      <c r="T91" s="127"/>
      <c r="U91" s="127"/>
      <c r="V91" s="127"/>
      <c r="W91" s="127"/>
      <c r="X91" s="129"/>
      <c r="Y91" s="129"/>
      <c r="Z91" s="129"/>
      <c r="AA91" s="1"/>
      <c r="AB91"/>
      <c r="AC91"/>
      <c r="AD91"/>
      <c r="AE91"/>
      <c r="AF91"/>
      <c r="AG91"/>
      <c r="AH91"/>
    </row>
    <row r="92" spans="2:34">
      <c r="B92" s="122" t="s">
        <v>257</v>
      </c>
      <c r="C92" s="110">
        <f t="shared" si="22"/>
        <v>13.114754098360649</v>
      </c>
      <c r="D92" s="110">
        <f t="shared" si="21"/>
        <v>22.024794520547943</v>
      </c>
      <c r="E92" s="132">
        <f t="shared" si="21"/>
        <v>37.56479407714496</v>
      </c>
      <c r="F92" s="132">
        <f t="shared" si="23"/>
        <v>1.0445732274450883</v>
      </c>
      <c r="T92" s="127"/>
      <c r="U92" s="127"/>
      <c r="V92" s="127"/>
      <c r="W92" s="127"/>
      <c r="X92" s="129"/>
      <c r="Y92" s="129"/>
      <c r="Z92" s="129"/>
      <c r="AA92" s="1"/>
      <c r="AB92"/>
      <c r="AC92"/>
      <c r="AD92"/>
      <c r="AE92"/>
      <c r="AF92"/>
      <c r="AG92"/>
      <c r="AH92"/>
    </row>
    <row r="93" spans="2:34">
      <c r="B93" s="122" t="s">
        <v>259</v>
      </c>
      <c r="C93" s="110">
        <f t="shared" si="22"/>
        <v>6.2121212121212093</v>
      </c>
      <c r="D93" s="110">
        <f t="shared" si="21"/>
        <v>19.631403508771928</v>
      </c>
      <c r="E93" s="132">
        <f t="shared" si="21"/>
        <v>52.288055086589139</v>
      </c>
      <c r="F93" s="132">
        <f t="shared" si="23"/>
        <v>1.6312513414895899</v>
      </c>
      <c r="T93" s="127"/>
      <c r="U93" s="127"/>
      <c r="V93" s="127"/>
      <c r="W93" s="127"/>
      <c r="X93" s="129"/>
      <c r="Y93" s="129"/>
      <c r="Z93" s="129"/>
      <c r="AA93" s="1"/>
      <c r="AB93"/>
      <c r="AC93"/>
      <c r="AD93"/>
      <c r="AE93"/>
      <c r="AF93"/>
      <c r="AG93"/>
      <c r="AH93"/>
    </row>
    <row r="94" spans="2:34">
      <c r="B94" s="122" t="s">
        <v>261</v>
      </c>
      <c r="C94" s="110">
        <f t="shared" si="22"/>
        <v>2.9126213592233006</v>
      </c>
      <c r="D94" s="110">
        <f t="shared" si="21"/>
        <v>18.135507246376811</v>
      </c>
      <c r="E94" s="132">
        <f t="shared" si="21"/>
        <v>58.472960198574889</v>
      </c>
      <c r="F94" s="132">
        <f t="shared" si="23"/>
        <v>1.97467267654003</v>
      </c>
      <c r="T94" s="127"/>
      <c r="U94" s="127"/>
      <c r="V94" s="127"/>
      <c r="W94" s="127"/>
      <c r="X94" s="129"/>
      <c r="Y94" s="129"/>
      <c r="Z94" s="129"/>
      <c r="AA94" s="1"/>
      <c r="AB94"/>
      <c r="AC94"/>
      <c r="AD94"/>
      <c r="AE94"/>
      <c r="AF94"/>
      <c r="AG94"/>
      <c r="AH94"/>
    </row>
    <row r="95" spans="2:34">
      <c r="B95" s="122" t="s">
        <v>280</v>
      </c>
      <c r="C95" s="110">
        <f t="shared" si="22"/>
        <v>3.4279778393351799</v>
      </c>
      <c r="D95" s="110">
        <f t="shared" si="21"/>
        <v>11.959406631762654</v>
      </c>
      <c r="E95" s="132">
        <f t="shared" si="21"/>
        <v>80.053540830139852</v>
      </c>
      <c r="F95" s="132">
        <f t="shared" si="23"/>
        <v>4.0995921871646273</v>
      </c>
      <c r="T95" s="127"/>
      <c r="U95" s="127"/>
      <c r="V95" s="127"/>
      <c r="W95" s="127"/>
      <c r="X95" s="129"/>
      <c r="Y95" s="129"/>
      <c r="Z95" s="129"/>
      <c r="AA95" s="1"/>
      <c r="AB95"/>
      <c r="AC95"/>
      <c r="AD95"/>
      <c r="AE95"/>
      <c r="AF95"/>
      <c r="AG95"/>
      <c r="AH95"/>
    </row>
    <row r="96" spans="2:34">
      <c r="B96" s="122" t="s">
        <v>281</v>
      </c>
      <c r="C96" s="110">
        <f t="shared" si="22"/>
        <v>4.6388016429089154</v>
      </c>
      <c r="D96" s="110">
        <f t="shared" si="21"/>
        <v>4.1669402898550727</v>
      </c>
      <c r="E96" s="132">
        <f t="shared" si="21"/>
        <v>83.969712843023686</v>
      </c>
      <c r="F96" s="132">
        <f t="shared" si="23"/>
        <v>12.341704228375189</v>
      </c>
      <c r="T96" s="127"/>
      <c r="U96" s="127"/>
      <c r="V96" s="127"/>
      <c r="W96" s="127"/>
      <c r="X96" s="129"/>
      <c r="Y96" s="129"/>
      <c r="Z96" s="129"/>
      <c r="AA96" s="1"/>
      <c r="AB96"/>
      <c r="AC96"/>
      <c r="AD96"/>
      <c r="AE96"/>
      <c r="AF96"/>
      <c r="AG96"/>
      <c r="AH96"/>
    </row>
    <row r="97" spans="2:34">
      <c r="B97" s="122" t="s">
        <v>282</v>
      </c>
      <c r="C97" s="110">
        <f t="shared" si="22"/>
        <v>22.340134565942783</v>
      </c>
      <c r="D97" s="110">
        <f t="shared" si="21"/>
        <v>0.61244873721113258</v>
      </c>
      <c r="E97" s="132">
        <f t="shared" si="21"/>
        <v>100</v>
      </c>
      <c r="F97" s="132">
        <f t="shared" si="23"/>
        <v>100.00000000000001</v>
      </c>
      <c r="T97" s="127"/>
      <c r="U97" s="127"/>
      <c r="V97" s="127"/>
      <c r="W97" s="127"/>
      <c r="X97" s="129"/>
      <c r="Y97" s="129"/>
      <c r="Z97" s="129"/>
      <c r="AA97" s="1"/>
      <c r="AB97"/>
      <c r="AC97"/>
      <c r="AD97"/>
      <c r="AE97"/>
      <c r="AF97"/>
      <c r="AG97"/>
      <c r="AH97"/>
    </row>
    <row r="98" spans="2:34">
      <c r="T98" s="127"/>
      <c r="U98" s="127"/>
      <c r="V98" s="127"/>
      <c r="W98" s="127"/>
      <c r="X98" s="129"/>
      <c r="Y98" s="129"/>
      <c r="Z98" s="129"/>
      <c r="AA98" s="1"/>
      <c r="AB98"/>
      <c r="AC98"/>
      <c r="AD98"/>
      <c r="AE98"/>
      <c r="AF98"/>
      <c r="AG98"/>
      <c r="AH98"/>
    </row>
    <row r="99" spans="2:34">
      <c r="B99" s="121" t="s">
        <v>288</v>
      </c>
      <c r="C99" s="121" t="s">
        <v>310</v>
      </c>
      <c r="D99" s="121" t="s">
        <v>273</v>
      </c>
      <c r="E99" s="121" t="s">
        <v>274</v>
      </c>
      <c r="F99" s="121" t="s">
        <v>317</v>
      </c>
      <c r="T99" s="127"/>
      <c r="U99" s="127"/>
      <c r="V99" s="127"/>
      <c r="W99" s="127"/>
      <c r="X99" s="129"/>
      <c r="Y99" s="129"/>
      <c r="Z99" s="129"/>
      <c r="AA99" s="1"/>
      <c r="AB99"/>
      <c r="AC99"/>
      <c r="AD99"/>
      <c r="AE99"/>
      <c r="AF99"/>
      <c r="AG99"/>
      <c r="AH99"/>
    </row>
    <row r="100" spans="2:34">
      <c r="B100" s="122" t="s">
        <v>255</v>
      </c>
      <c r="C100" s="110">
        <f>+G66</f>
        <v>5.7699018961572763</v>
      </c>
      <c r="D100" s="110">
        <f t="shared" ref="D100:D108" si="24">+J66</f>
        <v>17.850000000000001</v>
      </c>
      <c r="E100" s="132">
        <f t="shared" ref="E100:E108" si="25">+K66</f>
        <v>25.705406085712891</v>
      </c>
      <c r="F100" s="132">
        <f>+M66</f>
        <v>0.84569479965899397</v>
      </c>
      <c r="T100" s="127"/>
      <c r="U100" s="127"/>
      <c r="V100" s="127"/>
      <c r="W100" s="127"/>
      <c r="X100" s="129"/>
      <c r="Y100" s="129"/>
      <c r="Z100" s="129"/>
      <c r="AA100" s="1"/>
      <c r="AB100"/>
      <c r="AC100"/>
      <c r="AD100"/>
      <c r="AE100"/>
      <c r="AF100"/>
      <c r="AG100"/>
      <c r="AH100"/>
    </row>
    <row r="101" spans="2:34">
      <c r="B101" s="122" t="s">
        <v>256</v>
      </c>
      <c r="C101" s="110">
        <f t="shared" ref="C101:C108" si="26">+G67</f>
        <v>5.3182450177661051</v>
      </c>
      <c r="D101" s="110">
        <f t="shared" si="24"/>
        <v>17.542397905759167</v>
      </c>
      <c r="E101" s="132">
        <f t="shared" si="25"/>
        <v>48.640373531657993</v>
      </c>
      <c r="F101" s="132">
        <f t="shared" ref="F101:F108" si="27">+M67</f>
        <v>1.6283034953111679</v>
      </c>
      <c r="T101" s="127"/>
      <c r="U101" s="127"/>
      <c r="V101" s="127"/>
      <c r="W101" s="127"/>
      <c r="X101" s="129"/>
      <c r="Y101" s="129"/>
      <c r="Z101" s="129"/>
      <c r="AA101" s="1"/>
      <c r="AB101"/>
      <c r="AC101"/>
      <c r="AD101"/>
      <c r="AE101"/>
      <c r="AF101"/>
      <c r="AG101"/>
      <c r="AH101"/>
    </row>
    <row r="102" spans="2:34">
      <c r="B102" s="122" t="s">
        <v>257</v>
      </c>
      <c r="C102" s="110">
        <f t="shared" si="26"/>
        <v>2.328125</v>
      </c>
      <c r="D102" s="110">
        <f t="shared" si="24"/>
        <v>16.379604160647212</v>
      </c>
      <c r="E102" s="132">
        <f t="shared" si="25"/>
        <v>54.864107518294162</v>
      </c>
      <c r="F102" s="132">
        <f t="shared" si="27"/>
        <v>1.9670360897982382</v>
      </c>
      <c r="T102" s="127"/>
      <c r="U102" s="127"/>
      <c r="V102" s="127"/>
      <c r="W102" s="127"/>
      <c r="X102" s="127"/>
      <c r="Y102" s="127"/>
      <c r="Z102" s="127"/>
    </row>
    <row r="103" spans="2:34">
      <c r="B103" s="122" t="s">
        <v>259</v>
      </c>
      <c r="C103" s="110">
        <f t="shared" si="26"/>
        <v>1.992342597844583</v>
      </c>
      <c r="D103" s="110">
        <f t="shared" si="24"/>
        <v>14.96313447675864</v>
      </c>
      <c r="E103" s="132">
        <f t="shared" si="25"/>
        <v>58.258048005548488</v>
      </c>
      <c r="F103" s="132">
        <f t="shared" si="27"/>
        <v>2.2864450127877238</v>
      </c>
      <c r="T103" s="127"/>
      <c r="U103" s="127"/>
      <c r="V103" s="127"/>
      <c r="W103" s="127"/>
      <c r="X103" s="127"/>
      <c r="Y103" s="127"/>
      <c r="Z103" s="127"/>
    </row>
    <row r="104" spans="2:34">
      <c r="B104" s="122" t="s">
        <v>261</v>
      </c>
      <c r="C104" s="110">
        <f t="shared" si="26"/>
        <v>1.7492600743720117</v>
      </c>
      <c r="D104" s="110">
        <f t="shared" si="24"/>
        <v>13.908084522747547</v>
      </c>
      <c r="E104" s="132">
        <f t="shared" si="25"/>
        <v>60.355415312185315</v>
      </c>
      <c r="F104" s="132">
        <f t="shared" si="27"/>
        <v>2.5484512645637967</v>
      </c>
      <c r="T104" s="127"/>
      <c r="U104" s="127"/>
      <c r="V104" s="127"/>
      <c r="W104" s="127"/>
      <c r="X104" s="127"/>
      <c r="Y104" s="127"/>
      <c r="Z104" s="127"/>
    </row>
    <row r="105" spans="2:34">
      <c r="B105" s="122" t="s">
        <v>283</v>
      </c>
      <c r="C105" s="110">
        <f t="shared" si="26"/>
        <v>1.6938306922121431</v>
      </c>
      <c r="D105" s="110">
        <f t="shared" si="24"/>
        <v>13.071189906769355</v>
      </c>
      <c r="E105" s="132">
        <f t="shared" si="25"/>
        <v>62.416237716590182</v>
      </c>
      <c r="F105" s="132">
        <f t="shared" si="27"/>
        <v>2.8042057402671214</v>
      </c>
      <c r="T105" s="127"/>
      <c r="U105" s="127"/>
      <c r="V105" s="127"/>
      <c r="W105" s="127"/>
      <c r="X105" s="127"/>
      <c r="Y105" s="127"/>
      <c r="Z105" s="127"/>
    </row>
    <row r="106" spans="2:34">
      <c r="B106" s="122" t="s">
        <v>284</v>
      </c>
      <c r="C106" s="110">
        <f t="shared" si="26"/>
        <v>1.7351795759411508</v>
      </c>
      <c r="D106" s="110">
        <f t="shared" si="24"/>
        <v>12.629887722586693</v>
      </c>
      <c r="E106" s="132">
        <f t="shared" si="25"/>
        <v>65.210455076408806</v>
      </c>
      <c r="F106" s="132">
        <f t="shared" si="27"/>
        <v>3.032111395282751</v>
      </c>
      <c r="T106" s="127"/>
      <c r="U106" s="127"/>
      <c r="V106" s="127"/>
      <c r="W106" s="127"/>
      <c r="X106" s="127"/>
      <c r="Y106" s="127"/>
      <c r="Z106" s="127"/>
    </row>
    <row r="107" spans="2:34">
      <c r="B107" s="122" t="s">
        <v>285</v>
      </c>
      <c r="C107" s="110">
        <f t="shared" si="26"/>
        <v>4.3853277646631561</v>
      </c>
      <c r="D107" s="110">
        <f t="shared" si="24"/>
        <v>9.816681419354838</v>
      </c>
      <c r="E107" s="132">
        <f t="shared" si="25"/>
        <v>73.629138159018567</v>
      </c>
      <c r="F107" s="132">
        <f t="shared" si="27"/>
        <v>4.4046604148905946</v>
      </c>
    </row>
    <row r="108" spans="2:34">
      <c r="B108" s="122" t="s">
        <v>278</v>
      </c>
      <c r="C108" s="110">
        <f t="shared" si="26"/>
        <v>11.600000000000001</v>
      </c>
      <c r="D108" s="110">
        <f t="shared" si="24"/>
        <v>0.58725593066212001</v>
      </c>
      <c r="E108" s="132">
        <f t="shared" si="25"/>
        <v>100</v>
      </c>
      <c r="F108" s="132">
        <f t="shared" si="27"/>
        <v>100</v>
      </c>
    </row>
  </sheetData>
  <mergeCells count="3">
    <mergeCell ref="B32:P32"/>
    <mergeCell ref="B45:P45"/>
    <mergeCell ref="B64:P64"/>
  </mergeCells>
  <phoneticPr fontId="4" type="noConversion"/>
  <conditionalFormatting sqref="B34:B43">
    <cfRule type="cellIs" dxfId="77" priority="19" operator="equal">
      <formula>0</formula>
    </cfRule>
  </conditionalFormatting>
  <conditionalFormatting sqref="B47:B58">
    <cfRule type="cellIs" dxfId="76" priority="22" operator="equal">
      <formula>0</formula>
    </cfRule>
  </conditionalFormatting>
  <conditionalFormatting sqref="B66:B78">
    <cfRule type="cellIs" dxfId="75" priority="21" operator="equal">
      <formula>0</formula>
    </cfRule>
  </conditionalFormatting>
  <conditionalFormatting sqref="B82:B87">
    <cfRule type="cellIs" dxfId="74" priority="14" operator="equal">
      <formula>0</formula>
    </cfRule>
  </conditionalFormatting>
  <conditionalFormatting sqref="B90:B97">
    <cfRule type="cellIs" dxfId="73" priority="13" operator="equal">
      <formula>0</formula>
    </cfRule>
  </conditionalFormatting>
  <conditionalFormatting sqref="B100:B108">
    <cfRule type="cellIs" dxfId="72" priority="12" operator="equal">
      <formula>0</formula>
    </cfRule>
  </conditionalFormatting>
  <conditionalFormatting sqref="B32:F32 B64:F64">
    <cfRule type="cellIs" dxfId="71" priority="48" operator="equal">
      <formula>0</formula>
    </cfRule>
  </conditionalFormatting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4788D-07BB-4F55-8DC2-D6D11B0F3CAE}">
  <sheetPr codeName="Hoja21"/>
  <dimension ref="B2:S40"/>
  <sheetViews>
    <sheetView workbookViewId="0"/>
  </sheetViews>
  <sheetFormatPr baseColWidth="10" defaultColWidth="10.7265625" defaultRowHeight="14.5"/>
  <cols>
    <col min="1" max="2" width="10.7265625" style="4"/>
    <col min="3" max="4" width="13.453125" style="4" bestFit="1" customWidth="1"/>
    <col min="5" max="6" width="10.7265625" style="4"/>
    <col min="7" max="7" width="14.453125" style="4" bestFit="1" customWidth="1"/>
    <col min="8" max="8" width="12.26953125" style="4" bestFit="1" customWidth="1"/>
    <col min="9" max="10" width="10.7265625" style="4"/>
    <col min="11" max="11" width="9.453125" style="4" bestFit="1" customWidth="1"/>
    <col min="12" max="12" width="13.54296875" style="4" bestFit="1" customWidth="1"/>
    <col min="13" max="13" width="12" style="4" bestFit="1" customWidth="1"/>
    <col min="14" max="14" width="10.7265625" style="4"/>
    <col min="15" max="15" width="11.7265625" style="4" bestFit="1" customWidth="1"/>
    <col min="16" max="16" width="14" style="4" bestFit="1" customWidth="1"/>
    <col min="17" max="17" width="14" style="4" customWidth="1"/>
    <col min="18" max="16384" width="10.7265625" style="4"/>
  </cols>
  <sheetData>
    <row r="2" spans="2:19" ht="18.5">
      <c r="B2" s="112" t="s">
        <v>318</v>
      </c>
    </row>
    <row r="3" spans="2:19" ht="16">
      <c r="B3" s="94" t="s">
        <v>319</v>
      </c>
    </row>
    <row r="4" spans="2:19" ht="15" thickBot="1"/>
    <row r="5" spans="2:19" ht="16.5" thickBot="1">
      <c r="B5" s="1412" t="s">
        <v>320</v>
      </c>
      <c r="C5" s="1413"/>
      <c r="D5" s="1413"/>
      <c r="E5" s="1413"/>
      <c r="F5" s="1413"/>
      <c r="G5" s="1413"/>
      <c r="H5" s="1413"/>
      <c r="I5" s="1413"/>
      <c r="J5" s="1414"/>
      <c r="K5" s="134" t="s">
        <v>60</v>
      </c>
      <c r="L5" s="135" t="s">
        <v>321</v>
      </c>
      <c r="M5" s="135" t="s">
        <v>322</v>
      </c>
      <c r="N5" s="135" t="s">
        <v>323</v>
      </c>
      <c r="O5" s="136" t="s">
        <v>324</v>
      </c>
      <c r="P5" s="136" t="s">
        <v>325</v>
      </c>
      <c r="Q5" s="137" t="s">
        <v>368</v>
      </c>
    </row>
    <row r="6" spans="2:19" ht="14.65" customHeight="1" thickBot="1">
      <c r="B6" s="1415" t="s">
        <v>326</v>
      </c>
      <c r="C6" s="705" t="s">
        <v>327</v>
      </c>
      <c r="D6" s="705" t="s">
        <v>328</v>
      </c>
      <c r="E6" s="705" t="s">
        <v>329</v>
      </c>
      <c r="F6" s="705" t="s">
        <v>59</v>
      </c>
      <c r="G6" s="705" t="s">
        <v>330</v>
      </c>
      <c r="H6" s="705" t="s">
        <v>331</v>
      </c>
      <c r="I6" s="705" t="s">
        <v>35</v>
      </c>
      <c r="J6" s="705" t="s">
        <v>332</v>
      </c>
      <c r="K6" s="138" t="s">
        <v>333</v>
      </c>
      <c r="L6" s="139" t="s">
        <v>334</v>
      </c>
      <c r="M6" s="139" t="s">
        <v>335</v>
      </c>
      <c r="N6" s="139" t="s">
        <v>336</v>
      </c>
      <c r="O6" s="139" t="s">
        <v>337</v>
      </c>
      <c r="P6" s="139" t="s">
        <v>338</v>
      </c>
      <c r="Q6" s="140" t="s">
        <v>369</v>
      </c>
    </row>
    <row r="7" spans="2:19" ht="16.5" thickBot="1">
      <c r="B7" s="1416"/>
      <c r="C7" s="706" t="s">
        <v>57</v>
      </c>
      <c r="D7" s="706" t="s">
        <v>58</v>
      </c>
      <c r="E7" s="706" t="s">
        <v>57</v>
      </c>
      <c r="F7" s="706" t="s">
        <v>56</v>
      </c>
      <c r="G7" s="706" t="s">
        <v>55</v>
      </c>
      <c r="H7" s="706" t="s">
        <v>174</v>
      </c>
      <c r="I7" s="706"/>
      <c r="J7" s="706"/>
      <c r="K7" s="710" t="s">
        <v>339</v>
      </c>
      <c r="L7" s="711" t="s">
        <v>340</v>
      </c>
      <c r="M7" s="711" t="s">
        <v>58</v>
      </c>
      <c r="N7" s="711" t="s">
        <v>341</v>
      </c>
      <c r="O7" s="711" t="s">
        <v>342</v>
      </c>
      <c r="P7" s="711" t="s">
        <v>343</v>
      </c>
      <c r="Q7" s="712" t="s">
        <v>342</v>
      </c>
      <c r="R7" s="147" t="s">
        <v>367</v>
      </c>
      <c r="S7" s="154" t="s">
        <v>370</v>
      </c>
    </row>
    <row r="8" spans="2:19">
      <c r="B8" s="707" t="s">
        <v>344</v>
      </c>
      <c r="C8" s="713"/>
      <c r="D8" s="714"/>
      <c r="E8" s="714"/>
      <c r="F8" s="714"/>
      <c r="G8" s="714"/>
      <c r="H8" s="714"/>
      <c r="I8" s="714"/>
      <c r="J8" s="714"/>
      <c r="K8" s="151"/>
      <c r="L8" s="152"/>
      <c r="M8" s="152"/>
      <c r="N8" s="152"/>
      <c r="O8" s="152"/>
      <c r="P8" s="152"/>
      <c r="Q8" s="153"/>
      <c r="R8" s="148"/>
      <c r="S8" s="148"/>
    </row>
    <row r="9" spans="2:19">
      <c r="B9" s="708" t="s">
        <v>345</v>
      </c>
      <c r="C9" s="715">
        <v>150</v>
      </c>
      <c r="D9" s="716">
        <v>0.4</v>
      </c>
      <c r="E9" s="716">
        <v>-28</v>
      </c>
      <c r="F9" s="716">
        <v>100</v>
      </c>
      <c r="G9" s="716">
        <v>670</v>
      </c>
      <c r="H9" s="716">
        <v>5</v>
      </c>
      <c r="I9" s="716">
        <v>10.26</v>
      </c>
      <c r="J9" s="716">
        <v>-14.4</v>
      </c>
      <c r="K9" s="141">
        <v>111.11120000000001</v>
      </c>
      <c r="L9" s="142">
        <v>17.116084705882354</v>
      </c>
      <c r="M9" s="142">
        <v>1.2237895757511972</v>
      </c>
      <c r="N9" s="142">
        <v>0.32685357673067983</v>
      </c>
      <c r="O9" s="142">
        <v>0.96626715185422873</v>
      </c>
      <c r="P9" s="142">
        <v>5.8424576483681809</v>
      </c>
      <c r="Q9" s="143">
        <v>0.72079146625879476</v>
      </c>
      <c r="R9" s="149">
        <f>+'17. Jms - Pre Rougher'!K66</f>
        <v>25.705406085712891</v>
      </c>
      <c r="S9" s="149">
        <v>17.850000000000001</v>
      </c>
    </row>
    <row r="10" spans="2:19">
      <c r="B10" s="708" t="s">
        <v>346</v>
      </c>
      <c r="C10" s="715">
        <v>150</v>
      </c>
      <c r="D10" s="716">
        <v>0.4</v>
      </c>
      <c r="E10" s="716">
        <v>-28</v>
      </c>
      <c r="F10" s="716">
        <v>100</v>
      </c>
      <c r="G10" s="716">
        <v>490</v>
      </c>
      <c r="H10" s="716">
        <v>5</v>
      </c>
      <c r="I10" s="716">
        <v>10.27</v>
      </c>
      <c r="J10" s="716">
        <v>-16.2</v>
      </c>
      <c r="K10" s="141">
        <v>111.11120000000001</v>
      </c>
      <c r="L10" s="142">
        <v>15.83928</v>
      </c>
      <c r="M10" s="142">
        <v>1.2237895757511972</v>
      </c>
      <c r="N10" s="142">
        <v>0.32685357673067983</v>
      </c>
      <c r="O10" s="142">
        <v>0.96626715185422873</v>
      </c>
      <c r="P10" s="142">
        <v>6.3134182866897985</v>
      </c>
      <c r="Q10" s="143">
        <v>0.7318950673955571</v>
      </c>
      <c r="R10" s="149">
        <f>+'17. Jms - Pre Rougher'!K67</f>
        <v>48.640373531657993</v>
      </c>
      <c r="S10" s="149">
        <v>17.542397905759163</v>
      </c>
    </row>
    <row r="11" spans="2:19">
      <c r="B11" s="708" t="s">
        <v>347</v>
      </c>
      <c r="C11" s="715">
        <v>150</v>
      </c>
      <c r="D11" s="716">
        <v>0.4</v>
      </c>
      <c r="E11" s="716">
        <v>-29</v>
      </c>
      <c r="F11" s="716">
        <v>100</v>
      </c>
      <c r="G11" s="716">
        <v>530</v>
      </c>
      <c r="H11" s="716">
        <v>5</v>
      </c>
      <c r="I11" s="716">
        <v>10.210000000000001</v>
      </c>
      <c r="J11" s="716">
        <v>-13.9</v>
      </c>
      <c r="K11" s="141">
        <v>111.11120000000001</v>
      </c>
      <c r="L11" s="142">
        <v>6.8556360784313721</v>
      </c>
      <c r="M11" s="142">
        <v>1.2272223723281259</v>
      </c>
      <c r="N11" s="142">
        <v>0.32593929920065934</v>
      </c>
      <c r="O11" s="142">
        <v>0.96626715185422873</v>
      </c>
      <c r="P11" s="142">
        <v>14.586538558342037</v>
      </c>
      <c r="Q11" s="143">
        <v>0.81002040512358697</v>
      </c>
      <c r="R11" s="149">
        <f>+'17. Jms - Pre Rougher'!K68</f>
        <v>54.864107518294162</v>
      </c>
      <c r="S11" s="149">
        <v>16.379604160647212</v>
      </c>
    </row>
    <row r="12" spans="2:19">
      <c r="B12" s="708" t="s">
        <v>348</v>
      </c>
      <c r="C12" s="715">
        <v>150</v>
      </c>
      <c r="D12" s="716">
        <v>0.6</v>
      </c>
      <c r="E12" s="716">
        <v>-21</v>
      </c>
      <c r="F12" s="716">
        <v>100</v>
      </c>
      <c r="G12" s="716">
        <v>670</v>
      </c>
      <c r="H12" s="716">
        <v>5</v>
      </c>
      <c r="I12" s="716">
        <v>10.199999999999999</v>
      </c>
      <c r="J12" s="716">
        <v>-12.3</v>
      </c>
      <c r="K12" s="141">
        <v>166.66679999999999</v>
      </c>
      <c r="L12" s="142">
        <v>6.4645427450980382</v>
      </c>
      <c r="M12" s="142">
        <v>1.1994849510267516</v>
      </c>
      <c r="N12" s="142">
        <v>0.50021469588793399</v>
      </c>
      <c r="O12" s="142">
        <v>1.449400727781343</v>
      </c>
      <c r="P12" s="142">
        <v>15.468998186426788</v>
      </c>
      <c r="Q12" s="143">
        <v>0.813421508174487</v>
      </c>
      <c r="R12" s="149">
        <f>+'17. Jms - Pre Rougher'!K69</f>
        <v>58.258048005548488</v>
      </c>
      <c r="S12" s="149">
        <v>14.963134476758642</v>
      </c>
    </row>
    <row r="13" spans="2:19">
      <c r="B13" s="708" t="s">
        <v>349</v>
      </c>
      <c r="C13" s="715">
        <v>150</v>
      </c>
      <c r="D13" s="716">
        <v>0.6</v>
      </c>
      <c r="E13" s="716">
        <v>-28</v>
      </c>
      <c r="F13" s="716">
        <v>100</v>
      </c>
      <c r="G13" s="716">
        <v>640</v>
      </c>
      <c r="H13" s="716">
        <v>5</v>
      </c>
      <c r="I13" s="716">
        <v>10.220000000000001</v>
      </c>
      <c r="J13" s="716">
        <v>-14.2</v>
      </c>
      <c r="K13" s="141">
        <v>166.66679999999999</v>
      </c>
      <c r="L13" s="142">
        <v>5.3027654901960783</v>
      </c>
      <c r="M13" s="142">
        <v>1.2237895757511972</v>
      </c>
      <c r="N13" s="142">
        <v>0.49028036509601969</v>
      </c>
      <c r="O13" s="142">
        <v>1.449400727781343</v>
      </c>
      <c r="P13" s="142">
        <v>18.858084556988835</v>
      </c>
      <c r="Q13" s="143">
        <v>0.82352478488451397</v>
      </c>
      <c r="R13" s="149">
        <f>+'17. Jms - Pre Rougher'!K70</f>
        <v>60.355415312185315</v>
      </c>
      <c r="S13" s="149">
        <v>13.908084522747549</v>
      </c>
    </row>
    <row r="14" spans="2:19">
      <c r="B14" s="708" t="s">
        <v>350</v>
      </c>
      <c r="C14" s="715">
        <v>150</v>
      </c>
      <c r="D14" s="716">
        <v>0.8</v>
      </c>
      <c r="E14" s="716">
        <v>-29</v>
      </c>
      <c r="F14" s="716">
        <v>100</v>
      </c>
      <c r="G14" s="716">
        <v>690</v>
      </c>
      <c r="H14" s="716">
        <v>5</v>
      </c>
      <c r="I14" s="716">
        <v>10.26</v>
      </c>
      <c r="J14" s="716">
        <v>-13</v>
      </c>
      <c r="K14" s="141">
        <v>222.22240000000002</v>
      </c>
      <c r="L14" s="142">
        <v>5.1762352941176477</v>
      </c>
      <c r="M14" s="142">
        <v>1.2272223723281259</v>
      </c>
      <c r="N14" s="142">
        <v>0.65187859840131868</v>
      </c>
      <c r="O14" s="142">
        <v>1.9325343037084575</v>
      </c>
      <c r="P14" s="142">
        <v>19.319059957270781</v>
      </c>
      <c r="Q14" s="143">
        <v>0.82462514175392287</v>
      </c>
      <c r="R14" s="149">
        <f>+'17. Jms - Pre Rougher'!K71</f>
        <v>62.416237716590182</v>
      </c>
      <c r="S14" s="149">
        <v>13.071189906769357</v>
      </c>
    </row>
    <row r="15" spans="2:19">
      <c r="B15" s="708" t="s">
        <v>351</v>
      </c>
      <c r="C15" s="715">
        <v>150</v>
      </c>
      <c r="D15" s="716">
        <v>0.8</v>
      </c>
      <c r="E15" s="716">
        <v>-20</v>
      </c>
      <c r="F15" s="716">
        <v>50</v>
      </c>
      <c r="G15" s="716">
        <v>640</v>
      </c>
      <c r="H15" s="716">
        <v>5</v>
      </c>
      <c r="I15" s="716">
        <v>10.27</v>
      </c>
      <c r="J15" s="716">
        <v>-14.1</v>
      </c>
      <c r="K15" s="141">
        <v>222.22240000000002</v>
      </c>
      <c r="L15" s="142">
        <v>4.6126007843137256</v>
      </c>
      <c r="M15" s="142">
        <v>1.1959725424583421</v>
      </c>
      <c r="N15" s="142">
        <v>0.66891167781794247</v>
      </c>
      <c r="O15" s="142">
        <v>1.9325343037084575</v>
      </c>
      <c r="P15" s="142">
        <v>10.839871547097074</v>
      </c>
      <c r="Q15" s="143">
        <v>0.39470686096641949</v>
      </c>
      <c r="R15" s="149">
        <f>+'17. Jms - Pre Rougher'!K72</f>
        <v>65.210455076408806</v>
      </c>
      <c r="S15" s="149">
        <v>12.629887722586696</v>
      </c>
    </row>
    <row r="16" spans="2:19" ht="15" thickBot="1">
      <c r="B16" s="709" t="s">
        <v>352</v>
      </c>
      <c r="C16" s="717">
        <v>150</v>
      </c>
      <c r="D16" s="718">
        <v>1.2</v>
      </c>
      <c r="E16" s="718">
        <v>-22</v>
      </c>
      <c r="F16" s="718">
        <v>0</v>
      </c>
      <c r="G16" s="718">
        <v>630</v>
      </c>
      <c r="H16" s="718">
        <v>15</v>
      </c>
      <c r="I16" s="718">
        <v>10.24</v>
      </c>
      <c r="J16" s="718">
        <v>-13.6</v>
      </c>
      <c r="K16" s="144">
        <v>333.33359999999999</v>
      </c>
      <c r="L16" s="145">
        <v>9.2597098039215684</v>
      </c>
      <c r="M16" s="145">
        <v>1.2029871043219984</v>
      </c>
      <c r="N16" s="145">
        <v>0.99751692739575792</v>
      </c>
      <c r="O16" s="145">
        <v>2.898801455562686</v>
      </c>
      <c r="P16" s="145">
        <v>0</v>
      </c>
      <c r="Q16" s="146">
        <v>-8.0526116352194671E-2</v>
      </c>
      <c r="R16" s="150">
        <f>+'17. Jms - Pre Rougher'!K73</f>
        <v>73.629138159018567</v>
      </c>
      <c r="S16" s="150">
        <v>9.8166814193548415</v>
      </c>
    </row>
    <row r="18" spans="2:13">
      <c r="B18" s="2" t="s">
        <v>353</v>
      </c>
      <c r="C18"/>
      <c r="D18"/>
      <c r="E18"/>
      <c r="F18"/>
      <c r="G18"/>
    </row>
    <row r="19" spans="2:13" ht="15" thickBot="1">
      <c r="B19"/>
      <c r="C19"/>
      <c r="D19"/>
      <c r="E19"/>
      <c r="F19"/>
      <c r="G19"/>
    </row>
    <row r="20" spans="2:13" ht="16">
      <c r="B20" s="722"/>
      <c r="C20" s="723" t="s">
        <v>354</v>
      </c>
      <c r="D20" s="724"/>
      <c r="E20"/>
      <c r="F20" s="1417" t="s">
        <v>365</v>
      </c>
      <c r="G20" s="1418"/>
      <c r="H20"/>
      <c r="I20" s="1417" t="s">
        <v>359</v>
      </c>
      <c r="J20" s="1418"/>
      <c r="K20"/>
      <c r="L20" s="1419" t="s">
        <v>360</v>
      </c>
      <c r="M20" s="1420"/>
    </row>
    <row r="21" spans="2:13" ht="16">
      <c r="B21" s="725" t="s">
        <v>65</v>
      </c>
      <c r="C21" s="726" t="s">
        <v>355</v>
      </c>
      <c r="D21" s="727" t="s">
        <v>356</v>
      </c>
      <c r="E21"/>
      <c r="F21" s="1421"/>
      <c r="G21" s="1422"/>
      <c r="H21"/>
      <c r="I21" s="725" t="s">
        <v>65</v>
      </c>
      <c r="J21" s="727" t="s">
        <v>4</v>
      </c>
      <c r="K21"/>
      <c r="L21" s="1421" t="s">
        <v>361</v>
      </c>
      <c r="M21" s="1422"/>
    </row>
    <row r="22" spans="2:13">
      <c r="B22" s="728" t="s">
        <v>16</v>
      </c>
      <c r="C22" s="729">
        <v>300</v>
      </c>
      <c r="D22" s="730">
        <v>100</v>
      </c>
      <c r="E22"/>
      <c r="F22" s="725" t="s">
        <v>65</v>
      </c>
      <c r="G22" s="727" t="s">
        <v>4</v>
      </c>
      <c r="H22"/>
      <c r="I22" s="732" t="s">
        <v>16</v>
      </c>
      <c r="J22" s="733" t="s">
        <v>362</v>
      </c>
      <c r="K22"/>
      <c r="L22" s="725" t="s">
        <v>65</v>
      </c>
      <c r="M22" s="727" t="s">
        <v>4</v>
      </c>
    </row>
    <row r="23" spans="2:13">
      <c r="B23" s="725" t="s">
        <v>357</v>
      </c>
      <c r="C23" s="726">
        <v>500</v>
      </c>
      <c r="D23" s="727">
        <v>200</v>
      </c>
      <c r="E23"/>
      <c r="F23" s="728" t="s">
        <v>16</v>
      </c>
      <c r="G23" s="730" t="s">
        <v>366</v>
      </c>
      <c r="H23"/>
      <c r="I23" s="725" t="s">
        <v>357</v>
      </c>
      <c r="J23" s="727" t="s">
        <v>363</v>
      </c>
      <c r="K23"/>
      <c r="L23" s="728" t="s">
        <v>16</v>
      </c>
      <c r="M23" s="730" t="s">
        <v>364</v>
      </c>
    </row>
    <row r="24" spans="2:13" ht="15" thickBot="1">
      <c r="B24" s="719" t="s">
        <v>358</v>
      </c>
      <c r="C24" s="720">
        <v>250</v>
      </c>
      <c r="D24" s="721">
        <v>50</v>
      </c>
      <c r="E24"/>
      <c r="F24" s="725" t="s">
        <v>357</v>
      </c>
      <c r="G24" s="731" t="s">
        <v>366</v>
      </c>
      <c r="H24"/>
      <c r="I24" s="719" t="s">
        <v>358</v>
      </c>
      <c r="J24" s="721" t="s">
        <v>362</v>
      </c>
      <c r="K24"/>
      <c r="L24" s="725" t="s">
        <v>357</v>
      </c>
      <c r="M24" s="731" t="s">
        <v>364</v>
      </c>
    </row>
    <row r="25" spans="2:13" ht="15" thickBot="1">
      <c r="B25"/>
      <c r="C25"/>
      <c r="D25"/>
      <c r="E25"/>
      <c r="F25" s="719" t="s">
        <v>358</v>
      </c>
      <c r="G25" s="721" t="s">
        <v>366</v>
      </c>
      <c r="H25"/>
      <c r="I25"/>
      <c r="J25"/>
      <c r="K25"/>
      <c r="L25" s="719" t="s">
        <v>358</v>
      </c>
      <c r="M25" s="721" t="s">
        <v>364</v>
      </c>
    </row>
    <row r="26" spans="2:13">
      <c r="B26"/>
      <c r="C26"/>
      <c r="D26"/>
      <c r="E26"/>
      <c r="F26"/>
      <c r="G26"/>
    </row>
    <row r="27" spans="2:13">
      <c r="D27"/>
      <c r="E27"/>
    </row>
    <row r="28" spans="2:13">
      <c r="D28"/>
      <c r="E28"/>
    </row>
    <row r="29" spans="2:13">
      <c r="D29"/>
      <c r="E29"/>
    </row>
    <row r="30" spans="2:13">
      <c r="D30"/>
      <c r="E30"/>
    </row>
    <row r="31" spans="2:13">
      <c r="D31"/>
      <c r="E31"/>
    </row>
    <row r="32" spans="2:13">
      <c r="B32"/>
      <c r="C32"/>
      <c r="D32"/>
      <c r="E32"/>
    </row>
    <row r="33" spans="2:7">
      <c r="B33"/>
      <c r="C33"/>
      <c r="D33"/>
      <c r="E33"/>
      <c r="F33"/>
      <c r="G33"/>
    </row>
    <row r="40" spans="2:7">
      <c r="B40"/>
      <c r="C40"/>
      <c r="D40"/>
      <c r="E40"/>
      <c r="F40"/>
      <c r="G40"/>
    </row>
  </sheetData>
  <mergeCells count="6">
    <mergeCell ref="B5:J5"/>
    <mergeCell ref="B6:B7"/>
    <mergeCell ref="I20:J20"/>
    <mergeCell ref="L20:M20"/>
    <mergeCell ref="F20:G21"/>
    <mergeCell ref="L21:M21"/>
  </mergeCells>
  <conditionalFormatting sqref="N9:N16">
    <cfRule type="cellIs" dxfId="70" priority="6" operator="lessThan">
      <formula>0.3</formula>
    </cfRule>
    <cfRule type="cellIs" dxfId="69" priority="7" operator="greaterThan">
      <formula>0.9</formula>
    </cfRule>
    <cfRule type="cellIs" dxfId="68" priority="8" operator="between">
      <formula>0.3</formula>
      <formula>0.9</formula>
    </cfRule>
  </conditionalFormatting>
  <conditionalFormatting sqref="O9:O16">
    <cfRule type="cellIs" dxfId="67" priority="1" operator="between">
      <formula>0.8</formula>
      <formula>1</formula>
    </cfRule>
    <cfRule type="cellIs" dxfId="66" priority="2" operator="greaterThan">
      <formula>2</formula>
    </cfRule>
    <cfRule type="cellIs" dxfId="65" priority="3" operator="between">
      <formula>1</formula>
      <formula>2</formula>
    </cfRule>
  </conditionalFormatting>
  <conditionalFormatting sqref="P9:P16">
    <cfRule type="cellIs" dxfId="64" priority="4" operator="lessThan">
      <formula>0.5</formula>
    </cfRule>
    <cfRule type="cellIs" dxfId="63" priority="5" operator="between">
      <formula>0.5</formula>
      <formula>1</formula>
    </cfRule>
  </conditionalFormatting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51661-1DB4-4996-B70E-E2F6F4CBF335}">
  <sheetPr codeName="Hoja22"/>
  <dimension ref="B2:P238"/>
  <sheetViews>
    <sheetView workbookViewId="0"/>
  </sheetViews>
  <sheetFormatPr baseColWidth="10" defaultColWidth="10.7265625" defaultRowHeight="14.5"/>
  <cols>
    <col min="1" max="1" width="10.7265625" style="4"/>
    <col min="2" max="2" width="26.453125" style="4" customWidth="1"/>
    <col min="3" max="3" width="16.7265625" style="4" customWidth="1"/>
    <col min="4" max="4" width="27.453125" style="4" bestFit="1" customWidth="1"/>
    <col min="5" max="5" width="16.26953125" style="4" bestFit="1" customWidth="1"/>
    <col min="6" max="6" width="16.54296875" style="4" bestFit="1" customWidth="1"/>
    <col min="7" max="7" width="12.7265625" style="4" bestFit="1" customWidth="1"/>
    <col min="8" max="8" width="20" style="4" bestFit="1" customWidth="1"/>
    <col min="9" max="9" width="9.7265625" style="4" bestFit="1" customWidth="1"/>
    <col min="10" max="10" width="21" style="4" bestFit="1" customWidth="1"/>
    <col min="11" max="11" width="20.26953125" style="4" bestFit="1" customWidth="1"/>
    <col min="12" max="12" width="12.26953125" style="4" bestFit="1" customWidth="1"/>
    <col min="13" max="13" width="23" style="4" bestFit="1" customWidth="1"/>
    <col min="14" max="14" width="13.54296875" style="4" bestFit="1" customWidth="1"/>
    <col min="15" max="15" width="20.7265625" style="4" bestFit="1" customWidth="1"/>
    <col min="16" max="16" width="19.7265625" style="4" bestFit="1" customWidth="1"/>
    <col min="17" max="17" width="10.7265625" style="4"/>
    <col min="18" max="18" width="27.7265625" style="4" bestFit="1" customWidth="1"/>
    <col min="19" max="19" width="19.7265625" style="4" bestFit="1" customWidth="1"/>
    <col min="20" max="20" width="20.26953125" style="4" bestFit="1" customWidth="1"/>
    <col min="21" max="21" width="19.26953125" style="4" bestFit="1" customWidth="1"/>
    <col min="22" max="16384" width="10.7265625" style="4"/>
  </cols>
  <sheetData>
    <row r="2" spans="2:2" ht="18.5">
      <c r="B2" s="112" t="s">
        <v>406</v>
      </c>
    </row>
    <row r="30" spans="2:16" ht="18.5">
      <c r="B30" s="112" t="s">
        <v>427</v>
      </c>
    </row>
    <row r="32" spans="2:16">
      <c r="B32" s="1411" t="s">
        <v>286</v>
      </c>
      <c r="C32" s="1411"/>
      <c r="D32" s="1411"/>
      <c r="E32" s="1411"/>
      <c r="F32" s="1411"/>
      <c r="G32" s="1411"/>
      <c r="H32" s="1411"/>
      <c r="I32" s="1411"/>
      <c r="J32" s="1411"/>
      <c r="K32" s="1411"/>
      <c r="L32" s="1411"/>
      <c r="M32" s="1411"/>
      <c r="N32" s="1411"/>
      <c r="O32" s="1411"/>
      <c r="P32" s="1411"/>
    </row>
    <row r="33" spans="2:16">
      <c r="B33" s="121" t="s">
        <v>796</v>
      </c>
      <c r="C33" s="121" t="s">
        <v>308</v>
      </c>
      <c r="D33" s="121" t="s">
        <v>309</v>
      </c>
      <c r="E33" s="121" t="s">
        <v>311</v>
      </c>
      <c r="F33" s="121" t="s">
        <v>312</v>
      </c>
      <c r="G33" s="121" t="s">
        <v>310</v>
      </c>
      <c r="H33" s="121" t="s">
        <v>271</v>
      </c>
      <c r="I33" s="121" t="s">
        <v>272</v>
      </c>
      <c r="J33" s="121" t="s">
        <v>273</v>
      </c>
      <c r="K33" s="121" t="s">
        <v>274</v>
      </c>
      <c r="L33" s="121" t="s">
        <v>316</v>
      </c>
      <c r="M33" s="121" t="s">
        <v>317</v>
      </c>
      <c r="N33" s="121" t="s">
        <v>275</v>
      </c>
      <c r="O33" s="121" t="s">
        <v>276</v>
      </c>
      <c r="P33" s="121" t="s">
        <v>277</v>
      </c>
    </row>
    <row r="34" spans="2:16">
      <c r="B34" s="122" t="s">
        <v>255</v>
      </c>
      <c r="C34" s="98">
        <v>0.5</v>
      </c>
      <c r="D34" s="98">
        <f>+C34</f>
        <v>0.5</v>
      </c>
      <c r="E34" s="111">
        <v>37.4</v>
      </c>
      <c r="F34" s="111">
        <v>201.29999999999995</v>
      </c>
      <c r="G34" s="114">
        <f>+E34/F34*100</f>
        <v>18.5792349726776</v>
      </c>
      <c r="H34" s="111">
        <f>E34</f>
        <v>37.4</v>
      </c>
      <c r="I34" s="115">
        <v>0.498</v>
      </c>
      <c r="J34" s="115">
        <f>SUMPRODUCT(E34,I34)/H34</f>
        <v>0.498</v>
      </c>
      <c r="K34" s="116">
        <f t="shared" ref="K34:K39" si="0">SUMPRODUCT(H34,J34)/SUMPRODUCT($H$39,$J$39)*100</f>
        <v>6.926402418729535</v>
      </c>
      <c r="L34" s="125">
        <f t="shared" ref="L34:L39" si="1">E34/$E$40*100</f>
        <v>1.9909502262443437</v>
      </c>
      <c r="M34" s="125">
        <f>+L34</f>
        <v>1.9909502262443437</v>
      </c>
      <c r="N34" s="115">
        <v>11</v>
      </c>
      <c r="O34" s="115">
        <f>SUMPRODUCT(E34,N34)/H34</f>
        <v>11</v>
      </c>
      <c r="P34" s="116">
        <f t="shared" ref="P34:P39" si="2">SUMPRODUCT(H34,O34)/SUMPRODUCT($H$39,$O$39)*100</f>
        <v>13.811357138732633</v>
      </c>
    </row>
    <row r="35" spans="2:16">
      <c r="B35" s="122" t="s">
        <v>256</v>
      </c>
      <c r="C35" s="98">
        <v>1</v>
      </c>
      <c r="D35" s="98">
        <f>+D34+C35</f>
        <v>1.5</v>
      </c>
      <c r="E35" s="111">
        <v>20.5</v>
      </c>
      <c r="F35" s="111">
        <v>122.40000000000003</v>
      </c>
      <c r="G35" s="114">
        <f t="shared" ref="G35:G40" si="3">+E35/F35*100</f>
        <v>16.748366013071891</v>
      </c>
      <c r="H35" s="111">
        <f>H34+E35</f>
        <v>57.9</v>
      </c>
      <c r="I35" s="115">
        <v>0.438</v>
      </c>
      <c r="J35" s="115">
        <f>SUMPRODUCT(E34:E35,I34:I35)/H35</f>
        <v>0.47675647668393784</v>
      </c>
      <c r="K35" s="116">
        <f t="shared" si="0"/>
        <v>10.265543330922288</v>
      </c>
      <c r="L35" s="125">
        <f t="shared" si="1"/>
        <v>1.0912962470055896</v>
      </c>
      <c r="M35" s="125">
        <f>+M34+L35</f>
        <v>3.0822464732499331</v>
      </c>
      <c r="N35" s="115">
        <v>9.11</v>
      </c>
      <c r="O35" s="115">
        <f>SUMPRODUCT(E34:E35,N34:N35)/H35</f>
        <v>10.330829015544042</v>
      </c>
      <c r="P35" s="116">
        <f t="shared" si="2"/>
        <v>20.081021704712246</v>
      </c>
    </row>
    <row r="36" spans="2:16">
      <c r="B36" s="122" t="s">
        <v>257</v>
      </c>
      <c r="C36" s="98">
        <v>2</v>
      </c>
      <c r="D36" s="98">
        <f>+D35+C36</f>
        <v>3.5</v>
      </c>
      <c r="E36" s="111">
        <v>21.9</v>
      </c>
      <c r="F36" s="111">
        <v>147.10000000000002</v>
      </c>
      <c r="G36" s="114">
        <f t="shared" si="3"/>
        <v>14.887831407205979</v>
      </c>
      <c r="H36" s="111">
        <f>H35+E36</f>
        <v>79.8</v>
      </c>
      <c r="I36" s="115">
        <v>0.497</v>
      </c>
      <c r="J36" s="115">
        <f>SUMPRODUCT(E34:E36,I34:I36)/H36</f>
        <v>0.48231203007518803</v>
      </c>
      <c r="K36" s="116">
        <f t="shared" si="0"/>
        <v>14.313233656190091</v>
      </c>
      <c r="L36" s="125">
        <f t="shared" si="1"/>
        <v>1.1658237955815811</v>
      </c>
      <c r="M36" s="125">
        <f>+M35+L36</f>
        <v>4.2480702688315137</v>
      </c>
      <c r="N36" s="115">
        <v>10.3</v>
      </c>
      <c r="O36" s="115">
        <f>SUMPRODUCT(E34:E36,N34:N36)/H36</f>
        <v>10.32236842105263</v>
      </c>
      <c r="P36" s="116">
        <f t="shared" si="2"/>
        <v>27.65376800948599</v>
      </c>
    </row>
    <row r="37" spans="2:16">
      <c r="B37" s="122" t="s">
        <v>259</v>
      </c>
      <c r="C37" s="98">
        <v>8</v>
      </c>
      <c r="D37" s="98">
        <f>+D36+C37</f>
        <v>11.5</v>
      </c>
      <c r="E37" s="111">
        <v>58.1</v>
      </c>
      <c r="F37" s="111">
        <v>443.6</v>
      </c>
      <c r="G37" s="114">
        <f t="shared" si="3"/>
        <v>13.097385031559963</v>
      </c>
      <c r="H37" s="111">
        <f>H36+E37</f>
        <v>137.9</v>
      </c>
      <c r="I37" s="115">
        <v>0.54300000000000004</v>
      </c>
      <c r="J37" s="115">
        <f>SUMPRODUCT(E34:E37,I34:I37)/H37</f>
        <v>0.50788107324147935</v>
      </c>
      <c r="K37" s="116">
        <f t="shared" si="0"/>
        <v>26.045522245134372</v>
      </c>
      <c r="L37" s="125">
        <f t="shared" si="1"/>
        <v>3.0928932659036468</v>
      </c>
      <c r="M37" s="125">
        <f>+M36+L37</f>
        <v>7.3409635347351605</v>
      </c>
      <c r="N37" s="115">
        <v>7.39</v>
      </c>
      <c r="O37" s="115">
        <f>SUMPRODUCT(E34:E37,N34:N37)/H37</f>
        <v>9.0869035532994911</v>
      </c>
      <c r="P37" s="116">
        <f t="shared" si="2"/>
        <v>42.06803755185134</v>
      </c>
    </row>
    <row r="38" spans="2:16">
      <c r="B38" s="122" t="s">
        <v>261</v>
      </c>
      <c r="C38" s="98">
        <v>16</v>
      </c>
      <c r="D38" s="98">
        <f>+D37+C38</f>
        <v>27.5</v>
      </c>
      <c r="E38" s="111">
        <v>49.7</v>
      </c>
      <c r="F38" s="111">
        <v>558.40000000000009</v>
      </c>
      <c r="G38" s="114">
        <f t="shared" si="3"/>
        <v>8.9004297994269326</v>
      </c>
      <c r="H38" s="111">
        <f>H37+E38</f>
        <v>187.60000000000002</v>
      </c>
      <c r="I38" s="115">
        <v>0.46300000000000002</v>
      </c>
      <c r="J38" s="130">
        <f>SUMPRODUCT(E34:E38,I34:I38)/H38</f>
        <v>0.49599093816631123</v>
      </c>
      <c r="K38" s="131">
        <f t="shared" si="0"/>
        <v>34.602968001294151</v>
      </c>
      <c r="L38" s="125">
        <f t="shared" si="1"/>
        <v>2.6457279744476976</v>
      </c>
      <c r="M38" s="125">
        <f>+M37+L38</f>
        <v>9.9866915091828581</v>
      </c>
      <c r="N38" s="115">
        <v>2.74</v>
      </c>
      <c r="O38" s="115">
        <f>SUMPRODUCT(E34:E38,N34:N38)/H38</f>
        <v>7.4054477611940284</v>
      </c>
      <c r="P38" s="116">
        <f t="shared" si="2"/>
        <v>46.639751194141894</v>
      </c>
    </row>
    <row r="39" spans="2:16">
      <c r="B39" s="122" t="s">
        <v>278</v>
      </c>
      <c r="E39" s="111">
        <v>1690.9</v>
      </c>
      <c r="F39" s="111">
        <v>5690.3</v>
      </c>
      <c r="G39" s="114">
        <f t="shared" si="3"/>
        <v>29.715480730365712</v>
      </c>
      <c r="H39" s="111">
        <f>H38+E39</f>
        <v>1878.5</v>
      </c>
      <c r="I39" s="115">
        <v>0.104</v>
      </c>
      <c r="J39" s="115">
        <f>SUMPRODUCT(E34:E39,I34:I39)/H39</f>
        <v>0.14314692573862123</v>
      </c>
      <c r="K39" s="116">
        <f t="shared" si="0"/>
        <v>100</v>
      </c>
      <c r="L39" s="125">
        <f t="shared" si="1"/>
        <v>90.013308490817138</v>
      </c>
      <c r="M39" s="125">
        <f>+M38+L39</f>
        <v>100</v>
      </c>
      <c r="N39" s="115">
        <v>0.94</v>
      </c>
      <c r="O39" s="115">
        <f>SUMPRODUCT(E34:E39,N34:N39)/H39</f>
        <v>1.5856843225978172</v>
      </c>
      <c r="P39" s="116">
        <f t="shared" si="2"/>
        <v>100</v>
      </c>
    </row>
    <row r="40" spans="2:16">
      <c r="B40" s="123" t="s">
        <v>32</v>
      </c>
      <c r="E40" s="111">
        <f>+SUM(E34:E39)</f>
        <v>1878.5</v>
      </c>
      <c r="F40" s="111">
        <f>+SUM(F34:F39)</f>
        <v>7163.1</v>
      </c>
      <c r="G40" s="114">
        <f t="shared" si="3"/>
        <v>26.22467925898005</v>
      </c>
    </row>
    <row r="41" spans="2:16">
      <c r="B41" s="124" t="s">
        <v>292</v>
      </c>
      <c r="J41" s="114">
        <v>0.13300000000000001</v>
      </c>
    </row>
    <row r="42" spans="2:16">
      <c r="B42" s="124" t="s">
        <v>53</v>
      </c>
      <c r="J42" s="114">
        <f>+SUMPRODUCT(I34:I39,E34:E39)/SUM(E34:E39)</f>
        <v>0.14314692573862123</v>
      </c>
    </row>
    <row r="43" spans="2:16">
      <c r="B43" s="124" t="s">
        <v>51</v>
      </c>
      <c r="J43" s="937">
        <f>+(J41-J42)/J41</f>
        <v>-7.6292674726475343E-2</v>
      </c>
    </row>
    <row r="45" spans="2:16">
      <c r="B45" s="1411" t="s">
        <v>286</v>
      </c>
      <c r="C45" s="1411"/>
      <c r="D45" s="1411"/>
      <c r="E45" s="1411"/>
      <c r="F45" s="1411"/>
      <c r="G45" s="1411"/>
      <c r="H45" s="1411"/>
      <c r="I45" s="1411"/>
      <c r="J45" s="1411"/>
      <c r="K45" s="1411"/>
      <c r="L45" s="1411"/>
      <c r="M45" s="1411"/>
      <c r="N45" s="1411"/>
      <c r="O45" s="1411"/>
      <c r="P45" s="1411"/>
    </row>
    <row r="46" spans="2:16">
      <c r="B46" s="121" t="s">
        <v>762</v>
      </c>
      <c r="C46" s="121" t="s">
        <v>308</v>
      </c>
      <c r="D46" s="121" t="s">
        <v>309</v>
      </c>
      <c r="E46" s="121" t="s">
        <v>311</v>
      </c>
      <c r="F46" s="121" t="s">
        <v>312</v>
      </c>
      <c r="G46" s="121" t="s">
        <v>310</v>
      </c>
      <c r="H46" s="121" t="s">
        <v>271</v>
      </c>
      <c r="I46" s="121" t="s">
        <v>272</v>
      </c>
      <c r="J46" s="121" t="s">
        <v>273</v>
      </c>
      <c r="K46" s="121" t="s">
        <v>274</v>
      </c>
      <c r="L46" s="121" t="s">
        <v>316</v>
      </c>
      <c r="M46" s="121" t="s">
        <v>317</v>
      </c>
      <c r="N46" s="121" t="s">
        <v>275</v>
      </c>
      <c r="O46" s="121" t="s">
        <v>276</v>
      </c>
      <c r="P46" s="121" t="s">
        <v>277</v>
      </c>
    </row>
    <row r="47" spans="2:16">
      <c r="B47" s="122" t="s">
        <v>255</v>
      </c>
      <c r="C47" s="98">
        <f>+D47</f>
        <v>0.5</v>
      </c>
      <c r="D47" s="98">
        <v>0.5</v>
      </c>
      <c r="E47" s="111">
        <v>20.3</v>
      </c>
      <c r="F47" s="111">
        <v>50.800000000000011</v>
      </c>
      <c r="G47" s="114">
        <f>+E47/F47*100</f>
        <v>39.96062992125983</v>
      </c>
      <c r="H47" s="111">
        <f>E47</f>
        <v>20.3</v>
      </c>
      <c r="I47" s="115">
        <v>1.512</v>
      </c>
      <c r="J47" s="115">
        <f>SUMPRODUCT(E47,I47)/H47</f>
        <v>1.512</v>
      </c>
      <c r="K47" s="116">
        <f>SUMPRODUCT(H47,J47)/SUMPRODUCT($H$54,$J$54)*100</f>
        <v>5.6958346787213436</v>
      </c>
      <c r="L47" s="125">
        <f>E47/$E$55*100</f>
        <v>0.52372229818632132</v>
      </c>
      <c r="M47" s="125">
        <f>+L47</f>
        <v>0.52372229818632132</v>
      </c>
      <c r="N47" s="115">
        <v>35.799999999999997</v>
      </c>
      <c r="O47" s="115">
        <f>SUMPRODUCT(E47,N47)/H47</f>
        <v>35.799999999999997</v>
      </c>
      <c r="P47" s="116">
        <f>SUMPRODUCT(H47,O47)/SUMPRODUCT($H$54,$O$54)*100</f>
        <v>13.68927636933733</v>
      </c>
    </row>
    <row r="48" spans="2:16">
      <c r="B48" s="122" t="s">
        <v>256</v>
      </c>
      <c r="C48" s="98">
        <f>+D48-D47</f>
        <v>0.5</v>
      </c>
      <c r="D48" s="98">
        <v>1</v>
      </c>
      <c r="E48" s="111">
        <v>5.3</v>
      </c>
      <c r="F48" s="111">
        <v>15.5</v>
      </c>
      <c r="G48" s="114">
        <f t="shared" ref="G48:G55" si="4">+E48/F48*100</f>
        <v>34.193548387096776</v>
      </c>
      <c r="H48" s="111">
        <f t="shared" ref="H48:H54" si="5">H47+E48</f>
        <v>25.6</v>
      </c>
      <c r="I48" s="115">
        <v>1.3169999999999999</v>
      </c>
      <c r="J48" s="115">
        <f>SUMPRODUCT(E47:E48,I47:I48)/H48</f>
        <v>1.4716289062499999</v>
      </c>
      <c r="K48" s="116">
        <f t="shared" ref="K48:K54" si="6">SUMPRODUCT(H48,J48)/SUMPRODUCT($H$54,$J$54)*100</f>
        <v>6.9911371405030458</v>
      </c>
      <c r="L48" s="125">
        <f t="shared" ref="L48:L53" si="7">E48/$E$55*100</f>
        <v>0.13673537834421198</v>
      </c>
      <c r="M48" s="125">
        <f t="shared" ref="M48:M54" si="8">+M47+L48</f>
        <v>0.66045767653053333</v>
      </c>
      <c r="N48" s="115">
        <v>37.299999999999997</v>
      </c>
      <c r="O48" s="115">
        <f>SUMPRODUCT(E47:E48,N47:N48)/H48</f>
        <v>36.110546874999997</v>
      </c>
      <c r="P48" s="116">
        <f t="shared" ref="P48:P54" si="9">SUMPRODUCT(H48,O48)/SUMPRODUCT($H$54,$O$54)*100</f>
        <v>17.413074488959612</v>
      </c>
    </row>
    <row r="49" spans="2:16">
      <c r="B49" s="122" t="s">
        <v>257</v>
      </c>
      <c r="C49" s="98">
        <f t="shared" ref="C49:C51" si="10">+D49-D48</f>
        <v>1</v>
      </c>
      <c r="D49" s="98">
        <v>2</v>
      </c>
      <c r="E49" s="111">
        <v>6.6</v>
      </c>
      <c r="F49" s="111">
        <v>24.600000000000023</v>
      </c>
      <c r="G49" s="114">
        <f t="shared" si="4"/>
        <v>26.829268292682901</v>
      </c>
      <c r="H49" s="111">
        <f t="shared" si="5"/>
        <v>32.200000000000003</v>
      </c>
      <c r="I49" s="115">
        <v>1.4319999999999999</v>
      </c>
      <c r="J49" s="115">
        <f>SUMPRODUCT(E47:E49,I47:I49)/H49</f>
        <v>1.463506211180124</v>
      </c>
      <c r="K49" s="116">
        <f t="shared" si="6"/>
        <v>8.7450035072873646</v>
      </c>
      <c r="L49" s="125">
        <f t="shared" si="7"/>
        <v>0.1702742447305281</v>
      </c>
      <c r="M49" s="125">
        <f t="shared" si="8"/>
        <v>0.83073192126106143</v>
      </c>
      <c r="N49" s="115">
        <v>36.5</v>
      </c>
      <c r="O49" s="115">
        <f>SUMPRODUCT(E47:E49,N47:N49)/H49</f>
        <v>36.190372670807449</v>
      </c>
      <c r="P49" s="116">
        <f t="shared" si="9"/>
        <v>21.950800054324617</v>
      </c>
    </row>
    <row r="50" spans="2:16">
      <c r="B50" s="122" t="s">
        <v>259</v>
      </c>
      <c r="C50" s="98">
        <f t="shared" si="10"/>
        <v>4</v>
      </c>
      <c r="D50" s="98">
        <v>6</v>
      </c>
      <c r="E50" s="111">
        <v>16</v>
      </c>
      <c r="F50" s="111">
        <v>96.199999999999989</v>
      </c>
      <c r="G50" s="114">
        <f t="shared" si="4"/>
        <v>16.632016632016633</v>
      </c>
      <c r="H50" s="111">
        <f t="shared" si="5"/>
        <v>48.2</v>
      </c>
      <c r="I50" s="115">
        <v>1.544</v>
      </c>
      <c r="J50" s="115">
        <f>SUMPRODUCT(E47:E50,I47:I50)/H50</f>
        <v>1.4902261410788382</v>
      </c>
      <c r="K50" s="116">
        <f t="shared" si="6"/>
        <v>13.329343561993626</v>
      </c>
      <c r="L50" s="125">
        <f t="shared" si="7"/>
        <v>0.41278604783158329</v>
      </c>
      <c r="M50" s="125">
        <f t="shared" si="8"/>
        <v>1.2435179690926448</v>
      </c>
      <c r="N50" s="115">
        <v>32.700000000000003</v>
      </c>
      <c r="O50" s="115">
        <f>SUMPRODUCT(E47:E50,N47:N50)/H50</f>
        <v>35.031742738589209</v>
      </c>
      <c r="P50" s="116">
        <f t="shared" si="9"/>
        <v>31.806084470260565</v>
      </c>
    </row>
    <row r="51" spans="2:16">
      <c r="B51" s="122" t="s">
        <v>261</v>
      </c>
      <c r="C51" s="98">
        <f t="shared" si="10"/>
        <v>4</v>
      </c>
      <c r="D51" s="98">
        <v>10</v>
      </c>
      <c r="E51" s="111">
        <v>9.4</v>
      </c>
      <c r="F51" s="111">
        <v>130.5</v>
      </c>
      <c r="G51" s="114">
        <f t="shared" si="4"/>
        <v>7.2030651340996172</v>
      </c>
      <c r="H51" s="111">
        <f t="shared" si="5"/>
        <v>57.6</v>
      </c>
      <c r="I51" s="115">
        <v>1.972</v>
      </c>
      <c r="J51" s="115">
        <f>SUMPRODUCT(E47:E51,I47:I51)/H51</f>
        <v>1.5688489583333334</v>
      </c>
      <c r="K51" s="116">
        <f t="shared" si="6"/>
        <v>16.769231625711203</v>
      </c>
      <c r="L51" s="125">
        <f t="shared" si="7"/>
        <v>0.24251180310105522</v>
      </c>
      <c r="M51" s="125">
        <f t="shared" si="8"/>
        <v>1.4860297721936999</v>
      </c>
      <c r="N51" s="115">
        <v>23.5</v>
      </c>
      <c r="O51" s="115">
        <f>SUMPRODUCT(E47:E51,N47:N51)/H51</f>
        <v>33.14982638888889</v>
      </c>
      <c r="P51" s="116">
        <f t="shared" si="9"/>
        <v>35.96707897997053</v>
      </c>
    </row>
    <row r="52" spans="2:16">
      <c r="B52" s="122" t="s">
        <v>280</v>
      </c>
      <c r="C52" s="98"/>
      <c r="E52" s="111">
        <v>36.200000000000003</v>
      </c>
      <c r="F52" s="111">
        <v>1564.2</v>
      </c>
      <c r="G52" s="114">
        <f t="shared" si="4"/>
        <v>2.3142820611175043</v>
      </c>
      <c r="H52" s="111">
        <f t="shared" si="5"/>
        <v>93.800000000000011</v>
      </c>
      <c r="I52" s="115">
        <v>0.98799999999999999</v>
      </c>
      <c r="J52" s="115">
        <f>SUMPRODUCT(E47:E52,I47:I52)/H52</f>
        <v>1.344683368869936</v>
      </c>
      <c r="K52" s="116">
        <f t="shared" si="6"/>
        <v>23.406281199084027</v>
      </c>
      <c r="L52" s="125">
        <f t="shared" si="7"/>
        <v>0.93392843321895724</v>
      </c>
      <c r="M52" s="125">
        <f t="shared" si="8"/>
        <v>2.4199582054126569</v>
      </c>
      <c r="N52" s="115">
        <v>6.29</v>
      </c>
      <c r="O52" s="115">
        <f>SUMPRODUCT(E47:E52,N47:N52)/H52</f>
        <v>22.783880597014925</v>
      </c>
      <c r="P52" s="116">
        <f t="shared" si="9"/>
        <v>40.256124375497635</v>
      </c>
    </row>
    <row r="53" spans="2:16">
      <c r="B53" s="122" t="s">
        <v>281</v>
      </c>
      <c r="C53" s="98">
        <v>14</v>
      </c>
      <c r="E53" s="111">
        <v>300.10000000000002</v>
      </c>
      <c r="F53" s="111">
        <v>4596.8</v>
      </c>
      <c r="G53" s="114">
        <f t="shared" si="4"/>
        <v>6.5284545770971105</v>
      </c>
      <c r="H53" s="111">
        <f t="shared" si="5"/>
        <v>393.90000000000003</v>
      </c>
      <c r="I53" s="115">
        <v>0.157</v>
      </c>
      <c r="J53" s="115">
        <f>SUMPRODUCT(E47:E53,I47:I53)/H53</f>
        <v>0.4398248286367098</v>
      </c>
      <c r="K53" s="116">
        <f t="shared" si="6"/>
        <v>32.149577455379521</v>
      </c>
      <c r="L53" s="125">
        <f t="shared" si="7"/>
        <v>7.7423183096411341</v>
      </c>
      <c r="M53" s="125">
        <f t="shared" si="8"/>
        <v>10.16227651505379</v>
      </c>
      <c r="N53" s="115">
        <v>1.17</v>
      </c>
      <c r="O53" s="115">
        <f>SUMPRODUCT(E47:E53,N47:N53)/H53</f>
        <v>6.3169459253617672</v>
      </c>
      <c r="P53" s="116">
        <f t="shared" si="9"/>
        <v>46.869958278919242</v>
      </c>
    </row>
    <row r="54" spans="2:16">
      <c r="B54" s="122" t="s">
        <v>282</v>
      </c>
      <c r="C54" s="98">
        <v>16</v>
      </c>
      <c r="E54" s="111">
        <v>3482.2</v>
      </c>
      <c r="F54" s="111">
        <v>5645.9</v>
      </c>
      <c r="G54" s="114">
        <f t="shared" si="4"/>
        <v>61.676614888680284</v>
      </c>
      <c r="H54" s="111">
        <f t="shared" si="5"/>
        <v>3876.1</v>
      </c>
      <c r="I54" s="115">
        <v>0.105</v>
      </c>
      <c r="J54" s="115">
        <f>SUMPRODUCT(E47:E54,I47:I54)/H54</f>
        <v>0.13902582492711746</v>
      </c>
      <c r="K54" s="116">
        <f t="shared" si="6"/>
        <v>100</v>
      </c>
      <c r="L54" s="125">
        <f>E54/$E$55*100</f>
        <v>89.83772348494621</v>
      </c>
      <c r="M54" s="125">
        <f t="shared" si="8"/>
        <v>100</v>
      </c>
      <c r="N54" s="115">
        <v>0.81</v>
      </c>
      <c r="O54" s="115">
        <f>SUMPRODUCT(E47:E54,N47:N54)/H54</f>
        <v>1.3696310724697507</v>
      </c>
      <c r="P54" s="116">
        <f t="shared" si="9"/>
        <v>100</v>
      </c>
    </row>
    <row r="55" spans="2:16">
      <c r="B55" s="123" t="s">
        <v>32</v>
      </c>
      <c r="E55" s="111">
        <f>+SUM(E47:E54)</f>
        <v>3876.1</v>
      </c>
      <c r="F55" s="111">
        <f>+SUM(F47:F54)</f>
        <v>12124.5</v>
      </c>
      <c r="G55" s="114">
        <f t="shared" si="4"/>
        <v>31.969153367149161</v>
      </c>
    </row>
    <row r="56" spans="2:16">
      <c r="B56" s="124" t="s">
        <v>292</v>
      </c>
      <c r="J56" s="114">
        <v>0.13300000000000001</v>
      </c>
    </row>
    <row r="57" spans="2:16">
      <c r="B57" s="124" t="s">
        <v>53</v>
      </c>
      <c r="J57" s="114">
        <f>+SUMPRODUCT(I47:I54,E47:E54)/SUM(E47:E54)</f>
        <v>0.13902582492711746</v>
      </c>
    </row>
    <row r="58" spans="2:16">
      <c r="B58" s="124" t="s">
        <v>51</v>
      </c>
      <c r="J58" s="118">
        <f>+(J56-J57)/J56</f>
        <v>-4.5306954339228954E-2</v>
      </c>
    </row>
    <row r="59" spans="2:16">
      <c r="J59" s="117"/>
    </row>
    <row r="60" spans="2:16">
      <c r="B60" s="1411" t="s">
        <v>286</v>
      </c>
      <c r="C60" s="1411"/>
      <c r="D60" s="1411"/>
      <c r="E60" s="1411"/>
      <c r="F60" s="1411"/>
      <c r="G60" s="1411"/>
      <c r="H60" s="1411"/>
      <c r="I60" s="1411"/>
      <c r="J60" s="1411"/>
      <c r="K60" s="1411"/>
      <c r="L60" s="1411"/>
      <c r="M60" s="1411"/>
      <c r="N60" s="1411"/>
      <c r="O60" s="1411"/>
      <c r="P60" s="1411"/>
    </row>
    <row r="61" spans="2:16">
      <c r="B61" s="121" t="s">
        <v>790</v>
      </c>
      <c r="C61" s="121" t="s">
        <v>308</v>
      </c>
      <c r="D61" s="121" t="s">
        <v>309</v>
      </c>
      <c r="E61" s="121" t="s">
        <v>311</v>
      </c>
      <c r="F61" s="121" t="s">
        <v>312</v>
      </c>
      <c r="G61" s="121" t="s">
        <v>310</v>
      </c>
      <c r="H61" s="121" t="s">
        <v>271</v>
      </c>
      <c r="I61" s="121" t="s">
        <v>272</v>
      </c>
      <c r="J61" s="121" t="s">
        <v>273</v>
      </c>
      <c r="K61" s="121" t="s">
        <v>274</v>
      </c>
      <c r="L61" s="121" t="s">
        <v>316</v>
      </c>
      <c r="M61" s="121" t="s">
        <v>317</v>
      </c>
      <c r="N61" s="121" t="s">
        <v>275</v>
      </c>
      <c r="O61" s="121" t="s">
        <v>276</v>
      </c>
      <c r="P61" s="121" t="s">
        <v>277</v>
      </c>
    </row>
    <row r="62" spans="2:16">
      <c r="B62" s="122" t="s">
        <v>255</v>
      </c>
      <c r="C62" s="98">
        <v>5</v>
      </c>
      <c r="D62" s="98">
        <f>+C62</f>
        <v>5</v>
      </c>
      <c r="E62" s="111">
        <v>214.1</v>
      </c>
      <c r="F62" s="111">
        <v>4278.3999999999996</v>
      </c>
      <c r="G62" s="114">
        <f>+E62/F62*100</f>
        <v>5.0042071802543013</v>
      </c>
      <c r="H62" s="111">
        <f>E62</f>
        <v>214.1</v>
      </c>
      <c r="I62" s="115">
        <v>1.6950000000000001</v>
      </c>
      <c r="J62" s="115">
        <f>SUMPRODUCT(E62,I62)/H62</f>
        <v>1.6950000000000001</v>
      </c>
      <c r="K62" s="116">
        <f>SUMPRODUCT(H62,J62)/SUMPRODUCT($H$70,$J$70)*100</f>
        <v>8.0694286683202971</v>
      </c>
      <c r="L62" s="125">
        <f>E62/$E$71*100</f>
        <v>0.73340755330992546</v>
      </c>
      <c r="M62" s="125">
        <f>+L62</f>
        <v>0.73340755330992546</v>
      </c>
      <c r="N62" s="115">
        <v>27.4</v>
      </c>
      <c r="O62" s="115">
        <f>SUMPRODUCT(E62,N62)/H62</f>
        <v>27.4</v>
      </c>
      <c r="P62" s="116">
        <f>SUMPRODUCT(H62,O62)/SUMPRODUCT($H$70,$O$70)*100</f>
        <v>12.374651163065414</v>
      </c>
    </row>
    <row r="63" spans="2:16">
      <c r="B63" s="122" t="s">
        <v>256</v>
      </c>
      <c r="C63" s="98">
        <v>5</v>
      </c>
      <c r="D63" s="98">
        <f t="shared" ref="D63:D69" si="11">+D62+C63</f>
        <v>10</v>
      </c>
      <c r="E63" s="111">
        <v>142.30000000000001</v>
      </c>
      <c r="F63" s="111">
        <v>2800.2</v>
      </c>
      <c r="G63" s="114">
        <f t="shared" ref="G63:G71" si="12">+E63/F63*100</f>
        <v>5.0817798728662247</v>
      </c>
      <c r="H63" s="111">
        <f t="shared" ref="H63:H70" si="13">H62+E63</f>
        <v>356.4</v>
      </c>
      <c r="I63" s="115">
        <v>1.744</v>
      </c>
      <c r="J63" s="115">
        <f>SUMPRODUCT(E62:E63,I62:I63)/H63</f>
        <v>1.7145642536475871</v>
      </c>
      <c r="K63" s="116">
        <f t="shared" ref="K63:K70" si="14">SUMPRODUCT(H63,J63)/SUMPRODUCT($H$70,$J$70)*100</f>
        <v>13.587760316425213</v>
      </c>
      <c r="L63" s="125">
        <f t="shared" ref="L63:L69" si="15">E63/$E$71*100</f>
        <v>0.48745396934144047</v>
      </c>
      <c r="M63" s="125">
        <f>+M62+L63</f>
        <v>1.2208615226513659</v>
      </c>
      <c r="N63" s="115">
        <v>22.9</v>
      </c>
      <c r="O63" s="115">
        <f>SUMPRODUCT(E62:E63,N62:N63)/H63</f>
        <v>25.603282828282826</v>
      </c>
      <c r="P63" s="116">
        <f t="shared" ref="P63:P70" si="16">SUMPRODUCT(H63,O63)/SUMPRODUCT($H$70,$O$70)*100</f>
        <v>19.248597184868849</v>
      </c>
    </row>
    <row r="64" spans="2:16">
      <c r="B64" s="122" t="s">
        <v>257</v>
      </c>
      <c r="C64" s="98">
        <v>5</v>
      </c>
      <c r="D64" s="98">
        <f t="shared" si="11"/>
        <v>15</v>
      </c>
      <c r="E64" s="111">
        <v>78.400000000000006</v>
      </c>
      <c r="F64" s="111">
        <v>2235.5</v>
      </c>
      <c r="G64" s="114">
        <f t="shared" si="12"/>
        <v>3.5070454037128163</v>
      </c>
      <c r="H64" s="111">
        <f t="shared" si="13"/>
        <v>434.79999999999995</v>
      </c>
      <c r="I64" s="115">
        <v>1.577</v>
      </c>
      <c r="J64" s="115">
        <f>SUMPRODUCT(E62:E64,I62:I64)/H64</f>
        <v>1.6897596596136155</v>
      </c>
      <c r="K64" s="116">
        <f t="shared" si="14"/>
        <v>16.336946629383437</v>
      </c>
      <c r="L64" s="125">
        <f t="shared" si="15"/>
        <v>0.26856213068425111</v>
      </c>
      <c r="M64" s="125">
        <f t="shared" ref="M64:M70" si="17">+M63+L64</f>
        <v>1.4894236533356171</v>
      </c>
      <c r="N64" s="115">
        <v>21.2</v>
      </c>
      <c r="O64" s="115">
        <f>SUMPRODUCT(E62:E64,N62:N64)/H64</f>
        <v>24.809314627414903</v>
      </c>
      <c r="P64" s="116">
        <f t="shared" si="16"/>
        <v>22.754643579231903</v>
      </c>
    </row>
    <row r="65" spans="2:16">
      <c r="B65" s="122" t="s">
        <v>259</v>
      </c>
      <c r="C65" s="98">
        <v>5</v>
      </c>
      <c r="D65" s="98">
        <f t="shared" si="11"/>
        <v>20</v>
      </c>
      <c r="E65" s="111">
        <v>125.8</v>
      </c>
      <c r="F65" s="111">
        <v>1779.7</v>
      </c>
      <c r="G65" s="114">
        <f t="shared" si="12"/>
        <v>7.0686070686070677</v>
      </c>
      <c r="H65" s="111">
        <f t="shared" si="13"/>
        <v>560.59999999999991</v>
      </c>
      <c r="I65" s="115">
        <v>0.79200000000000004</v>
      </c>
      <c r="J65" s="130">
        <f>SUMPRODUCT(E62:E65,I62:I65)/H65</f>
        <v>1.4883002140563684</v>
      </c>
      <c r="K65" s="131">
        <f t="shared" si="14"/>
        <v>18.552398092303495</v>
      </c>
      <c r="L65" s="125">
        <f t="shared" si="15"/>
        <v>0.43093260255202531</v>
      </c>
      <c r="M65" s="125">
        <f t="shared" si="17"/>
        <v>1.9203562558876424</v>
      </c>
      <c r="N65" s="115">
        <v>13.6</v>
      </c>
      <c r="O65" s="115">
        <f>SUMPRODUCT(E62:E65,N62:N65)/H65</f>
        <v>22.293917231537637</v>
      </c>
      <c r="P65" s="116">
        <f t="shared" si="16"/>
        <v>26.363630303810659</v>
      </c>
    </row>
    <row r="66" spans="2:16">
      <c r="B66" s="122" t="s">
        <v>261</v>
      </c>
      <c r="C66" s="98">
        <v>5</v>
      </c>
      <c r="D66" s="98">
        <f t="shared" si="11"/>
        <v>25</v>
      </c>
      <c r="E66" s="111">
        <v>211.8</v>
      </c>
      <c r="F66" s="111">
        <v>2400.1999999999998</v>
      </c>
      <c r="G66" s="114">
        <f t="shared" si="12"/>
        <v>8.8242646446129509</v>
      </c>
      <c r="H66" s="111">
        <f t="shared" si="13"/>
        <v>772.39999999999986</v>
      </c>
      <c r="I66" s="115">
        <v>0.59199999999999997</v>
      </c>
      <c r="J66" s="130">
        <f>SUMPRODUCT(E62:E66,I62:I66)/H66</f>
        <v>1.2425255049197308</v>
      </c>
      <c r="K66" s="131">
        <f t="shared" si="14"/>
        <v>21.340470699828554</v>
      </c>
      <c r="L66" s="125">
        <f t="shared" si="15"/>
        <v>0.72552881733321917</v>
      </c>
      <c r="M66" s="125">
        <f t="shared" si="17"/>
        <v>2.6458850732208616</v>
      </c>
      <c r="N66" s="115">
        <v>7.05</v>
      </c>
      <c r="O66" s="115">
        <f>SUMPRODUCT(E62:E66,N62:N66)/H66</f>
        <v>18.113878819264631</v>
      </c>
      <c r="P66" s="116">
        <f t="shared" si="16"/>
        <v>29.513414559441543</v>
      </c>
    </row>
    <row r="67" spans="2:16">
      <c r="B67" s="122" t="s">
        <v>283</v>
      </c>
      <c r="C67" s="98">
        <v>5</v>
      </c>
      <c r="D67" s="98">
        <f t="shared" si="11"/>
        <v>30</v>
      </c>
      <c r="E67" s="111">
        <v>88.4</v>
      </c>
      <c r="F67" s="111">
        <v>2567.3000000000002</v>
      </c>
      <c r="G67" s="114">
        <f t="shared" si="12"/>
        <v>3.4433061971721259</v>
      </c>
      <c r="H67" s="111">
        <f t="shared" si="13"/>
        <v>860.79999999999984</v>
      </c>
      <c r="I67" s="115">
        <v>0.63</v>
      </c>
      <c r="J67" s="130">
        <f>SUMPRODUCT(E62:E67,I62:I67)/H67</f>
        <v>1.1796220957249073</v>
      </c>
      <c r="K67" s="131">
        <f t="shared" si="14"/>
        <v>22.578837303794923</v>
      </c>
      <c r="L67" s="125">
        <f t="shared" si="15"/>
        <v>0.30281750449601785</v>
      </c>
      <c r="M67" s="125">
        <f t="shared" si="17"/>
        <v>2.9487025777168796</v>
      </c>
      <c r="N67" s="115">
        <v>6.26</v>
      </c>
      <c r="O67" s="115">
        <f>SUMPRODUCT(E62:E67,N62:N67)/H67</f>
        <v>16.89654275092937</v>
      </c>
      <c r="P67" s="116">
        <f t="shared" si="16"/>
        <v>30.680741028623654</v>
      </c>
    </row>
    <row r="68" spans="2:16">
      <c r="B68" s="122" t="s">
        <v>284</v>
      </c>
      <c r="C68" s="98">
        <v>5</v>
      </c>
      <c r="D68" s="98">
        <f t="shared" si="11"/>
        <v>35</v>
      </c>
      <c r="E68" s="111">
        <v>133.1</v>
      </c>
      <c r="F68" s="111">
        <v>1668.3</v>
      </c>
      <c r="G68" s="114">
        <f t="shared" si="12"/>
        <v>7.9781813822454</v>
      </c>
      <c r="H68" s="111">
        <f t="shared" si="13"/>
        <v>993.89999999999986</v>
      </c>
      <c r="I68" s="115">
        <v>0.38400000000000001</v>
      </c>
      <c r="J68" s="130">
        <f>SUMPRODUCT(E62:E68,I62:I68)/H68</f>
        <v>1.0730748566254151</v>
      </c>
      <c r="K68" s="131">
        <f t="shared" si="14"/>
        <v>23.715327508408922</v>
      </c>
      <c r="L68" s="125">
        <f t="shared" si="15"/>
        <v>0.45593902543461501</v>
      </c>
      <c r="M68" s="125">
        <f t="shared" si="17"/>
        <v>3.4046416031514948</v>
      </c>
      <c r="N68" s="115">
        <v>4.9000000000000004</v>
      </c>
      <c r="O68" s="115">
        <f>SUMPRODUCT(E62:E68,N62:N68)/H68</f>
        <v>15.290003018412316</v>
      </c>
      <c r="P68" s="116">
        <f t="shared" si="16"/>
        <v>32.05649213443062</v>
      </c>
    </row>
    <row r="69" spans="2:16">
      <c r="B69" s="122" t="s">
        <v>285</v>
      </c>
      <c r="C69" s="98">
        <v>15</v>
      </c>
      <c r="D69" s="98">
        <f t="shared" si="11"/>
        <v>50</v>
      </c>
      <c r="E69" s="111">
        <v>187.6</v>
      </c>
      <c r="F69" s="111">
        <v>1963.9</v>
      </c>
      <c r="G69" s="114">
        <f t="shared" si="12"/>
        <v>9.5524212027088957</v>
      </c>
      <c r="H69" s="116">
        <f t="shared" si="13"/>
        <v>1181.4999999999998</v>
      </c>
      <c r="I69" s="115">
        <v>0.96699999999999997</v>
      </c>
      <c r="J69" s="130">
        <f>SUMPRODUCT(E62:E69,I62:I69)/H69</f>
        <v>1.0562321625052902</v>
      </c>
      <c r="K69" s="131">
        <f>SUMPRODUCT(H69,J69)/SUMPRODUCT($H$70,$J$70)*100</f>
        <v>27.749140173284601</v>
      </c>
      <c r="L69" s="125">
        <f t="shared" si="15"/>
        <v>0.64263081270874367</v>
      </c>
      <c r="M69" s="125">
        <f t="shared" si="17"/>
        <v>4.0472724158602382</v>
      </c>
      <c r="N69" s="115">
        <v>17.899999999999999</v>
      </c>
      <c r="O69" s="115">
        <f>SUMPRODUCT(E62:E69,N62:N69)/H69</f>
        <v>15.704421498095643</v>
      </c>
      <c r="P69" s="116">
        <f t="shared" si="16"/>
        <v>39.140052513068781</v>
      </c>
    </row>
    <row r="70" spans="2:16">
      <c r="B70" s="122" t="s">
        <v>278</v>
      </c>
      <c r="E70" s="111">
        <v>28011</v>
      </c>
      <c r="F70" s="111">
        <v>131000</v>
      </c>
      <c r="G70" s="114">
        <f t="shared" si="12"/>
        <v>21.382442748091606</v>
      </c>
      <c r="H70" s="116">
        <f t="shared" si="13"/>
        <v>29192.5</v>
      </c>
      <c r="I70" s="115">
        <v>0.11600000000000001</v>
      </c>
      <c r="J70" s="115">
        <f>SUMPRODUCT(E62:E70,I62:I70)/H70</f>
        <v>0.15405375695812282</v>
      </c>
      <c r="K70" s="116">
        <f t="shared" si="14"/>
        <v>100</v>
      </c>
      <c r="L70" s="125">
        <f>E70/$E$71*100</f>
        <v>95.952727584139765</v>
      </c>
      <c r="M70" s="125">
        <f t="shared" si="17"/>
        <v>100</v>
      </c>
      <c r="N70" s="115">
        <v>1.03</v>
      </c>
      <c r="O70" s="115">
        <f>SUMPRODUCT(E62:E70,N62:N70)/H70</f>
        <v>1.6239138134794895</v>
      </c>
      <c r="P70" s="116">
        <f t="shared" si="16"/>
        <v>100</v>
      </c>
    </row>
    <row r="71" spans="2:16">
      <c r="B71" s="123" t="s">
        <v>32</v>
      </c>
      <c r="E71" s="111">
        <f>+SUM(E62:E70)</f>
        <v>29192.5</v>
      </c>
      <c r="F71" s="111">
        <v>150693.5</v>
      </c>
      <c r="G71" s="114">
        <f t="shared" si="12"/>
        <v>19.372102977235247</v>
      </c>
    </row>
    <row r="72" spans="2:16">
      <c r="B72" s="124" t="s">
        <v>292</v>
      </c>
      <c r="J72" s="114">
        <v>0.17199999999999999</v>
      </c>
    </row>
    <row r="73" spans="2:16">
      <c r="B73" s="124" t="s">
        <v>53</v>
      </c>
      <c r="J73" s="114">
        <f>+SUMPRODUCT(I62:I70,E62:E70)/SUM(E62:E70)</f>
        <v>0.15405375695812282</v>
      </c>
    </row>
    <row r="74" spans="2:16">
      <c r="B74" s="124" t="s">
        <v>51</v>
      </c>
      <c r="J74" s="937">
        <f>+(J72-J73)/J72</f>
        <v>0.10433862233649517</v>
      </c>
    </row>
    <row r="81" spans="2:6">
      <c r="B81" s="121" t="s">
        <v>270</v>
      </c>
      <c r="C81" s="121" t="s">
        <v>310</v>
      </c>
      <c r="D81" s="121" t="s">
        <v>273</v>
      </c>
      <c r="E81" s="121" t="s">
        <v>274</v>
      </c>
      <c r="F81" s="121" t="s">
        <v>317</v>
      </c>
    </row>
    <row r="82" spans="2:6">
      <c r="B82" s="122" t="s">
        <v>255</v>
      </c>
      <c r="C82" s="110">
        <f t="shared" ref="C82:C87" si="18">+G34</f>
        <v>18.5792349726776</v>
      </c>
      <c r="D82" s="110">
        <f>+J34</f>
        <v>0.498</v>
      </c>
      <c r="E82" s="132">
        <f>+K34</f>
        <v>6.926402418729535</v>
      </c>
      <c r="F82" s="132">
        <f t="shared" ref="F82:F87" si="19">+M34</f>
        <v>1.9909502262443437</v>
      </c>
    </row>
    <row r="83" spans="2:6">
      <c r="B83" s="122" t="s">
        <v>256</v>
      </c>
      <c r="C83" s="110">
        <f t="shared" si="18"/>
        <v>16.748366013071891</v>
      </c>
      <c r="D83" s="110">
        <f t="shared" ref="D83:E87" si="20">+J35</f>
        <v>0.47675647668393784</v>
      </c>
      <c r="E83" s="132">
        <f t="shared" si="20"/>
        <v>10.265543330922288</v>
      </c>
      <c r="F83" s="132">
        <f t="shared" si="19"/>
        <v>3.0822464732499331</v>
      </c>
    </row>
    <row r="84" spans="2:6">
      <c r="B84" s="122" t="s">
        <v>257</v>
      </c>
      <c r="C84" s="110">
        <f t="shared" si="18"/>
        <v>14.887831407205979</v>
      </c>
      <c r="D84" s="110">
        <f t="shared" si="20"/>
        <v>0.48231203007518803</v>
      </c>
      <c r="E84" s="132">
        <f t="shared" si="20"/>
        <v>14.313233656190091</v>
      </c>
      <c r="F84" s="132">
        <f t="shared" si="19"/>
        <v>4.2480702688315137</v>
      </c>
    </row>
    <row r="85" spans="2:6">
      <c r="B85" s="122" t="s">
        <v>259</v>
      </c>
      <c r="C85" s="110">
        <f t="shared" si="18"/>
        <v>13.097385031559963</v>
      </c>
      <c r="D85" s="110">
        <f t="shared" si="20"/>
        <v>0.50788107324147935</v>
      </c>
      <c r="E85" s="132">
        <f t="shared" si="20"/>
        <v>26.045522245134372</v>
      </c>
      <c r="F85" s="132">
        <f t="shared" si="19"/>
        <v>7.3409635347351605</v>
      </c>
    </row>
    <row r="86" spans="2:6">
      <c r="B86" s="122" t="s">
        <v>261</v>
      </c>
      <c r="C86" s="110">
        <f t="shared" si="18"/>
        <v>8.9004297994269326</v>
      </c>
      <c r="D86" s="110">
        <f t="shared" si="20"/>
        <v>0.49599093816631123</v>
      </c>
      <c r="E86" s="132">
        <f t="shared" si="20"/>
        <v>34.602968001294151</v>
      </c>
      <c r="F86" s="132">
        <f t="shared" si="19"/>
        <v>9.9866915091828581</v>
      </c>
    </row>
    <row r="87" spans="2:6">
      <c r="B87" s="122" t="s">
        <v>278</v>
      </c>
      <c r="C87" s="110">
        <f t="shared" si="18"/>
        <v>29.715480730365712</v>
      </c>
      <c r="D87" s="110">
        <f t="shared" si="20"/>
        <v>0.14314692573862123</v>
      </c>
      <c r="E87" s="132">
        <f t="shared" si="20"/>
        <v>100</v>
      </c>
      <c r="F87" s="132">
        <f t="shared" si="19"/>
        <v>100</v>
      </c>
    </row>
    <row r="89" spans="2:6">
      <c r="B89" s="121" t="s">
        <v>279</v>
      </c>
      <c r="C89" s="121" t="s">
        <v>310</v>
      </c>
      <c r="D89" s="121" t="s">
        <v>273</v>
      </c>
      <c r="E89" s="121" t="s">
        <v>274</v>
      </c>
      <c r="F89" s="121" t="s">
        <v>317</v>
      </c>
    </row>
    <row r="90" spans="2:6">
      <c r="B90" s="122" t="s">
        <v>255</v>
      </c>
      <c r="C90" s="110">
        <f>+G47</f>
        <v>39.96062992125983</v>
      </c>
      <c r="D90" s="110">
        <f>+J47</f>
        <v>1.512</v>
      </c>
      <c r="E90" s="132">
        <f>+K47</f>
        <v>5.6958346787213436</v>
      </c>
      <c r="F90" s="132">
        <f>+M47</f>
        <v>0.52372229818632132</v>
      </c>
    </row>
    <row r="91" spans="2:6">
      <c r="B91" s="122" t="s">
        <v>256</v>
      </c>
      <c r="C91" s="110">
        <f t="shared" ref="C91:C97" si="21">+G48</f>
        <v>34.193548387096776</v>
      </c>
      <c r="D91" s="110">
        <f t="shared" ref="D91:E97" si="22">+J48</f>
        <v>1.4716289062499999</v>
      </c>
      <c r="E91" s="132">
        <f t="shared" si="22"/>
        <v>6.9911371405030458</v>
      </c>
      <c r="F91" s="132">
        <f t="shared" ref="F91:F97" si="23">+M48</f>
        <v>0.66045767653053333</v>
      </c>
    </row>
    <row r="92" spans="2:6">
      <c r="B92" s="122" t="s">
        <v>257</v>
      </c>
      <c r="C92" s="110">
        <f t="shared" si="21"/>
        <v>26.829268292682901</v>
      </c>
      <c r="D92" s="110">
        <f t="shared" si="22"/>
        <v>1.463506211180124</v>
      </c>
      <c r="E92" s="132">
        <f t="shared" si="22"/>
        <v>8.7450035072873646</v>
      </c>
      <c r="F92" s="132">
        <f t="shared" si="23"/>
        <v>0.83073192126106143</v>
      </c>
    </row>
    <row r="93" spans="2:6">
      <c r="B93" s="122" t="s">
        <v>259</v>
      </c>
      <c r="C93" s="110">
        <f t="shared" si="21"/>
        <v>16.632016632016633</v>
      </c>
      <c r="D93" s="110">
        <f t="shared" si="22"/>
        <v>1.4902261410788382</v>
      </c>
      <c r="E93" s="132">
        <f t="shared" si="22"/>
        <v>13.329343561993626</v>
      </c>
      <c r="F93" s="132">
        <f t="shared" si="23"/>
        <v>1.2435179690926448</v>
      </c>
    </row>
    <row r="94" spans="2:6">
      <c r="B94" s="122" t="s">
        <v>261</v>
      </c>
      <c r="C94" s="110">
        <f t="shared" si="21"/>
        <v>7.2030651340996172</v>
      </c>
      <c r="D94" s="110">
        <f t="shared" si="22"/>
        <v>1.5688489583333334</v>
      </c>
      <c r="E94" s="132">
        <f t="shared" si="22"/>
        <v>16.769231625711203</v>
      </c>
      <c r="F94" s="132">
        <f t="shared" si="23"/>
        <v>1.4860297721936999</v>
      </c>
    </row>
    <row r="95" spans="2:6">
      <c r="B95" s="122" t="s">
        <v>280</v>
      </c>
      <c r="C95" s="110">
        <f t="shared" si="21"/>
        <v>2.3142820611175043</v>
      </c>
      <c r="D95" s="110">
        <f t="shared" si="22"/>
        <v>1.344683368869936</v>
      </c>
      <c r="E95" s="132">
        <f t="shared" si="22"/>
        <v>23.406281199084027</v>
      </c>
      <c r="F95" s="132">
        <f t="shared" si="23"/>
        <v>2.4199582054126569</v>
      </c>
    </row>
    <row r="96" spans="2:6">
      <c r="B96" s="122" t="s">
        <v>281</v>
      </c>
      <c r="C96" s="110">
        <f t="shared" si="21"/>
        <v>6.5284545770971105</v>
      </c>
      <c r="D96" s="110">
        <f t="shared" si="22"/>
        <v>0.4398248286367098</v>
      </c>
      <c r="E96" s="132">
        <f t="shared" si="22"/>
        <v>32.149577455379521</v>
      </c>
      <c r="F96" s="132">
        <f t="shared" si="23"/>
        <v>10.16227651505379</v>
      </c>
    </row>
    <row r="97" spans="2:6">
      <c r="B97" s="122" t="s">
        <v>282</v>
      </c>
      <c r="C97" s="110">
        <f t="shared" si="21"/>
        <v>61.676614888680284</v>
      </c>
      <c r="D97" s="110">
        <f t="shared" si="22"/>
        <v>0.13902582492711746</v>
      </c>
      <c r="E97" s="132">
        <f t="shared" si="22"/>
        <v>100</v>
      </c>
      <c r="F97" s="132">
        <f t="shared" si="23"/>
        <v>100</v>
      </c>
    </row>
    <row r="99" spans="2:6">
      <c r="B99" s="121" t="s">
        <v>288</v>
      </c>
      <c r="C99" s="121" t="s">
        <v>310</v>
      </c>
      <c r="D99" s="121" t="s">
        <v>273</v>
      </c>
      <c r="E99" s="121" t="s">
        <v>274</v>
      </c>
      <c r="F99" s="121" t="s">
        <v>317</v>
      </c>
    </row>
    <row r="100" spans="2:6">
      <c r="B100" s="122" t="s">
        <v>255</v>
      </c>
      <c r="C100" s="110">
        <f>+G62</f>
        <v>5.0042071802543013</v>
      </c>
      <c r="D100" s="110">
        <f t="shared" ref="D100:D108" si="24">+J62</f>
        <v>1.6950000000000001</v>
      </c>
      <c r="E100" s="132">
        <f t="shared" ref="E100:E108" si="25">+K62</f>
        <v>8.0694286683202971</v>
      </c>
      <c r="F100" s="132">
        <f>+M62</f>
        <v>0.73340755330992546</v>
      </c>
    </row>
    <row r="101" spans="2:6">
      <c r="B101" s="122" t="s">
        <v>256</v>
      </c>
      <c r="C101" s="110">
        <f t="shared" ref="C101:C108" si="26">+G63</f>
        <v>5.0817798728662247</v>
      </c>
      <c r="D101" s="110">
        <f t="shared" si="24"/>
        <v>1.7145642536475871</v>
      </c>
      <c r="E101" s="132">
        <f t="shared" si="25"/>
        <v>13.587760316425213</v>
      </c>
      <c r="F101" s="132">
        <f t="shared" ref="F101:F108" si="27">+M63</f>
        <v>1.2208615226513659</v>
      </c>
    </row>
    <row r="102" spans="2:6">
      <c r="B102" s="122" t="s">
        <v>257</v>
      </c>
      <c r="C102" s="110">
        <f t="shared" si="26"/>
        <v>3.5070454037128163</v>
      </c>
      <c r="D102" s="110">
        <f t="shared" si="24"/>
        <v>1.6897596596136155</v>
      </c>
      <c r="E102" s="132">
        <f t="shared" si="25"/>
        <v>16.336946629383437</v>
      </c>
      <c r="F102" s="132">
        <f t="shared" si="27"/>
        <v>1.4894236533356171</v>
      </c>
    </row>
    <row r="103" spans="2:6">
      <c r="B103" s="122" t="s">
        <v>259</v>
      </c>
      <c r="C103" s="110">
        <f t="shared" si="26"/>
        <v>7.0686070686070677</v>
      </c>
      <c r="D103" s="110">
        <f t="shared" si="24"/>
        <v>1.4883002140563684</v>
      </c>
      <c r="E103" s="132">
        <f t="shared" si="25"/>
        <v>18.552398092303495</v>
      </c>
      <c r="F103" s="132">
        <f t="shared" si="27"/>
        <v>1.9203562558876424</v>
      </c>
    </row>
    <row r="104" spans="2:6">
      <c r="B104" s="122" t="s">
        <v>261</v>
      </c>
      <c r="C104" s="110">
        <f t="shared" si="26"/>
        <v>8.8242646446129509</v>
      </c>
      <c r="D104" s="110">
        <f t="shared" si="24"/>
        <v>1.2425255049197308</v>
      </c>
      <c r="E104" s="132">
        <f t="shared" si="25"/>
        <v>21.340470699828554</v>
      </c>
      <c r="F104" s="132">
        <f t="shared" si="27"/>
        <v>2.6458850732208616</v>
      </c>
    </row>
    <row r="105" spans="2:6">
      <c r="B105" s="122" t="s">
        <v>283</v>
      </c>
      <c r="C105" s="110">
        <f t="shared" si="26"/>
        <v>3.4433061971721259</v>
      </c>
      <c r="D105" s="110">
        <f t="shared" si="24"/>
        <v>1.1796220957249073</v>
      </c>
      <c r="E105" s="132">
        <f t="shared" si="25"/>
        <v>22.578837303794923</v>
      </c>
      <c r="F105" s="132">
        <f t="shared" si="27"/>
        <v>2.9487025777168796</v>
      </c>
    </row>
    <row r="106" spans="2:6">
      <c r="B106" s="122" t="s">
        <v>284</v>
      </c>
      <c r="C106" s="110">
        <f t="shared" si="26"/>
        <v>7.9781813822454</v>
      </c>
      <c r="D106" s="110">
        <f t="shared" si="24"/>
        <v>1.0730748566254151</v>
      </c>
      <c r="E106" s="132">
        <f t="shared" si="25"/>
        <v>23.715327508408922</v>
      </c>
      <c r="F106" s="132">
        <f t="shared" si="27"/>
        <v>3.4046416031514948</v>
      </c>
    </row>
    <row r="107" spans="2:6">
      <c r="B107" s="122" t="s">
        <v>285</v>
      </c>
      <c r="C107" s="110">
        <f t="shared" si="26"/>
        <v>9.5524212027088957</v>
      </c>
      <c r="D107" s="110">
        <f t="shared" si="24"/>
        <v>1.0562321625052902</v>
      </c>
      <c r="E107" s="132">
        <f t="shared" si="25"/>
        <v>27.749140173284601</v>
      </c>
      <c r="F107" s="132">
        <f t="shared" si="27"/>
        <v>4.0472724158602382</v>
      </c>
    </row>
    <row r="108" spans="2:6">
      <c r="B108" s="122" t="s">
        <v>278</v>
      </c>
      <c r="C108" s="110">
        <f t="shared" si="26"/>
        <v>21.382442748091606</v>
      </c>
      <c r="D108" s="110">
        <f t="shared" si="24"/>
        <v>0.15405375695812282</v>
      </c>
      <c r="E108" s="132">
        <f t="shared" si="25"/>
        <v>100</v>
      </c>
      <c r="F108" s="132">
        <f t="shared" si="27"/>
        <v>100</v>
      </c>
    </row>
    <row r="115" spans="2:16" ht="18.5">
      <c r="B115" s="112" t="s">
        <v>428</v>
      </c>
    </row>
    <row r="117" spans="2:16">
      <c r="B117" s="1411" t="s">
        <v>286</v>
      </c>
      <c r="C117" s="1411"/>
      <c r="D117" s="1411"/>
      <c r="E117" s="1411"/>
      <c r="F117" s="1411"/>
      <c r="G117" s="1411"/>
      <c r="H117" s="1411"/>
      <c r="I117" s="1411"/>
      <c r="J117" s="1411"/>
      <c r="K117" s="1411"/>
      <c r="L117" s="1411"/>
      <c r="M117" s="1411"/>
      <c r="N117" s="1411"/>
      <c r="O117" s="1411"/>
      <c r="P117" s="1411"/>
    </row>
    <row r="118" spans="2:16">
      <c r="B118" s="121" t="s">
        <v>796</v>
      </c>
      <c r="C118" s="121" t="s">
        <v>308</v>
      </c>
      <c r="D118" s="121" t="s">
        <v>309</v>
      </c>
      <c r="E118" s="121" t="s">
        <v>311</v>
      </c>
      <c r="F118" s="121" t="s">
        <v>312</v>
      </c>
      <c r="G118" s="121" t="s">
        <v>310</v>
      </c>
      <c r="H118" s="121" t="s">
        <v>271</v>
      </c>
      <c r="I118" s="121" t="s">
        <v>272</v>
      </c>
      <c r="J118" s="121" t="s">
        <v>273</v>
      </c>
      <c r="K118" s="121" t="s">
        <v>274</v>
      </c>
      <c r="L118" s="121" t="s">
        <v>316</v>
      </c>
      <c r="M118" s="121" t="s">
        <v>317</v>
      </c>
      <c r="N118" s="121" t="s">
        <v>275</v>
      </c>
      <c r="O118" s="121" t="s">
        <v>276</v>
      </c>
      <c r="P118" s="121" t="s">
        <v>277</v>
      </c>
    </row>
    <row r="119" spans="2:16">
      <c r="B119" s="122" t="s">
        <v>255</v>
      </c>
      <c r="C119" s="98">
        <v>0.5</v>
      </c>
      <c r="D119" s="98">
        <f>+C119</f>
        <v>0.5</v>
      </c>
      <c r="E119" s="111">
        <v>24.7</v>
      </c>
      <c r="F119" s="111">
        <v>127.60000000000002</v>
      </c>
      <c r="G119" s="114">
        <f>+E119/F119*100</f>
        <v>19.357366771159871</v>
      </c>
      <c r="H119" s="111">
        <f>E119</f>
        <v>24.7</v>
      </c>
      <c r="I119" s="903">
        <v>1.696</v>
      </c>
      <c r="J119" s="115">
        <f>SUMPRODUCT(E119,I119)/H119</f>
        <v>1.696</v>
      </c>
      <c r="K119" s="116">
        <f>SUMPRODUCT(H119,J119)/SUMPRODUCT($H$124,$J$124)*100</f>
        <v>15.094323306171056</v>
      </c>
      <c r="L119" s="125">
        <f>E119/$E$125*100</f>
        <v>1.2595614482406936</v>
      </c>
      <c r="M119" s="125">
        <f>+L119</f>
        <v>1.2595614482406936</v>
      </c>
      <c r="N119" s="903">
        <v>12.8</v>
      </c>
      <c r="O119" s="115">
        <f>SUMPRODUCT(E119,N119)/H119</f>
        <v>12.8</v>
      </c>
      <c r="P119" s="116">
        <f>SUMPRODUCT(H119,O119)/SUMPRODUCT($H$124,$O$124)*100</f>
        <v>15.47232027546368</v>
      </c>
    </row>
    <row r="120" spans="2:16">
      <c r="B120" s="122" t="s">
        <v>256</v>
      </c>
      <c r="C120" s="98">
        <v>1</v>
      </c>
      <c r="D120" s="98">
        <f>+D119+C120</f>
        <v>1.5</v>
      </c>
      <c r="E120" s="111">
        <v>11.9</v>
      </c>
      <c r="F120" s="111">
        <v>64.900000000000034</v>
      </c>
      <c r="G120" s="114">
        <f t="shared" ref="G120:G125" si="28">+E120/F120*100</f>
        <v>18.335901386748834</v>
      </c>
      <c r="H120" s="111">
        <f>H119+E120</f>
        <v>36.6</v>
      </c>
      <c r="I120" s="903">
        <v>1.4890000000000001</v>
      </c>
      <c r="J120" s="115">
        <f>SUMPRODUCT(E119:E120,I119:I120)/H120</f>
        <v>1.6286967213114751</v>
      </c>
      <c r="K120" s="116">
        <f t="shared" ref="K120:K124" si="29">SUMPRODUCT(H120,J120)/SUMPRODUCT($H$124,$J$124)*100</f>
        <v>21.478905846045198</v>
      </c>
      <c r="L120" s="125">
        <f t="shared" ref="L120:L124" si="30">E120/$E$125*100</f>
        <v>0.60683324834268226</v>
      </c>
      <c r="M120" s="125">
        <f>+M119+L120</f>
        <v>1.866394696583376</v>
      </c>
      <c r="N120" s="903">
        <v>8.81</v>
      </c>
      <c r="O120" s="115">
        <f>SUMPRODUCT(E119:E120,N119:N120)/H120</f>
        <v>11.502704918032787</v>
      </c>
      <c r="P120" s="116">
        <f t="shared" ref="P120:P124" si="31">SUMPRODUCT(H120,O120)/SUMPRODUCT($H$124,$O$124)*100</f>
        <v>20.602958513568868</v>
      </c>
    </row>
    <row r="121" spans="2:16">
      <c r="B121" s="122" t="s">
        <v>257</v>
      </c>
      <c r="C121" s="98">
        <v>2</v>
      </c>
      <c r="D121" s="98">
        <f>+D120+C121</f>
        <v>3.5</v>
      </c>
      <c r="E121" s="111">
        <v>14.2</v>
      </c>
      <c r="F121" s="111">
        <v>101.19999999999999</v>
      </c>
      <c r="G121" s="114">
        <f t="shared" si="28"/>
        <v>14.031620553359685</v>
      </c>
      <c r="H121" s="111">
        <f>H120+E121</f>
        <v>50.8</v>
      </c>
      <c r="I121" s="903">
        <v>0.876</v>
      </c>
      <c r="J121" s="115">
        <f>SUMPRODUCT(E119:E121,I119:I121)/H121</f>
        <v>1.4182972440944881</v>
      </c>
      <c r="K121" s="116">
        <f t="shared" si="29"/>
        <v>25.96102396321832</v>
      </c>
      <c r="L121" s="125">
        <f t="shared" si="30"/>
        <v>0.72412034676185622</v>
      </c>
      <c r="M121" s="125">
        <f>+M120+L121</f>
        <v>2.5905150433452322</v>
      </c>
      <c r="N121" s="903">
        <v>5.83</v>
      </c>
      <c r="O121" s="115">
        <f>SUMPRODUCT(E119:E121,N119:N121)/H121</f>
        <v>9.9170275590551196</v>
      </c>
      <c r="P121" s="116">
        <f t="shared" si="31"/>
        <v>24.654361304322084</v>
      </c>
    </row>
    <row r="122" spans="2:16">
      <c r="B122" s="122" t="s">
        <v>259</v>
      </c>
      <c r="C122" s="98">
        <v>8</v>
      </c>
      <c r="D122" s="98">
        <f>+D121+C122</f>
        <v>11.5</v>
      </c>
      <c r="E122" s="111">
        <v>56</v>
      </c>
      <c r="F122" s="111">
        <v>503.59999999999997</v>
      </c>
      <c r="G122" s="114">
        <f t="shared" si="28"/>
        <v>11.119936457505958</v>
      </c>
      <c r="H122" s="111">
        <f>H121+E122</f>
        <v>106.8</v>
      </c>
      <c r="I122" s="903">
        <v>0.61099999999999999</v>
      </c>
      <c r="J122" s="115">
        <f>SUMPRODUCT(E119:E122,I119:I122)/H122</f>
        <v>0.99499531835206001</v>
      </c>
      <c r="K122" s="116">
        <f t="shared" si="29"/>
        <v>38.289803426302434</v>
      </c>
      <c r="L122" s="125">
        <f t="shared" si="30"/>
        <v>2.855685874553799</v>
      </c>
      <c r="M122" s="125">
        <f>+M121+L122</f>
        <v>5.4462009178990307</v>
      </c>
      <c r="N122" s="903">
        <v>2.72</v>
      </c>
      <c r="O122" s="115">
        <f>SUMPRODUCT(E119:E122,N119:N122)/H122</f>
        <v>6.1433052434456936</v>
      </c>
      <c r="P122" s="116">
        <f t="shared" si="31"/>
        <v>32.10863706456572</v>
      </c>
    </row>
    <row r="123" spans="2:16">
      <c r="B123" s="122" t="s">
        <v>261</v>
      </c>
      <c r="C123" s="98">
        <v>16</v>
      </c>
      <c r="D123" s="98">
        <f>+D122+C123</f>
        <v>27.5</v>
      </c>
      <c r="E123" s="111">
        <v>56.2</v>
      </c>
      <c r="F123" s="111">
        <v>567</v>
      </c>
      <c r="G123" s="114">
        <f t="shared" si="28"/>
        <v>9.9118165784832453</v>
      </c>
      <c r="H123" s="111">
        <f>H122+E123</f>
        <v>163</v>
      </c>
      <c r="I123" s="903">
        <v>0.36</v>
      </c>
      <c r="J123" s="115">
        <f>SUMPRODUCT(E119:E123,I119:I123)/H123</f>
        <v>0.77605828220858897</v>
      </c>
      <c r="K123" s="116">
        <f t="shared" si="29"/>
        <v>45.579839260330886</v>
      </c>
      <c r="L123" s="125">
        <f t="shared" si="30"/>
        <v>2.8658847526772058</v>
      </c>
      <c r="M123" s="125">
        <f>+M122+L123</f>
        <v>8.312085670576236</v>
      </c>
      <c r="N123" s="903">
        <v>1.33</v>
      </c>
      <c r="O123" s="115">
        <f>SUMPRODUCT(E119:E123,N119:N123)/H123</f>
        <v>4.4837484662576683</v>
      </c>
      <c r="P123" s="116">
        <f t="shared" si="31"/>
        <v>35.766576245074972</v>
      </c>
    </row>
    <row r="124" spans="2:16">
      <c r="B124" s="122" t="s">
        <v>278</v>
      </c>
      <c r="E124" s="111">
        <v>1798</v>
      </c>
      <c r="F124" s="111">
        <v>6157.2</v>
      </c>
      <c r="G124" s="114">
        <f t="shared" si="28"/>
        <v>29.201585136100828</v>
      </c>
      <c r="H124" s="111">
        <f>H123+E124</f>
        <v>1961</v>
      </c>
      <c r="I124" s="903">
        <v>8.4000000000000005E-2</v>
      </c>
      <c r="J124" s="115">
        <f>SUMPRODUCT(E119:E124,I119:I124)/H124</f>
        <v>0.14152447730749618</v>
      </c>
      <c r="K124" s="116">
        <f t="shared" si="29"/>
        <v>100</v>
      </c>
      <c r="L124" s="125">
        <f t="shared" si="30"/>
        <v>91.687914329423762</v>
      </c>
      <c r="M124" s="125">
        <f>+M123+L124</f>
        <v>100</v>
      </c>
      <c r="N124" s="903">
        <v>0.73</v>
      </c>
      <c r="O124" s="115">
        <f>SUMPRODUCT(E119:E124,N119:N124)/H124</f>
        <v>1.0420147883732789</v>
      </c>
      <c r="P124" s="116">
        <f t="shared" si="31"/>
        <v>100</v>
      </c>
    </row>
    <row r="125" spans="2:16">
      <c r="B125" s="123" t="s">
        <v>32</v>
      </c>
      <c r="E125" s="111">
        <f>+SUM(E119:E124)</f>
        <v>1961</v>
      </c>
      <c r="F125" s="111">
        <f>+SUM(F119:F124)</f>
        <v>7521.5</v>
      </c>
      <c r="G125" s="114">
        <f t="shared" si="28"/>
        <v>26.071927142192379</v>
      </c>
    </row>
    <row r="126" spans="2:16">
      <c r="B126" s="124" t="s">
        <v>292</v>
      </c>
      <c r="I126" s="114">
        <v>0.14499999999999999</v>
      </c>
      <c r="J126" s="114">
        <v>0.14499999999999999</v>
      </c>
    </row>
    <row r="127" spans="2:16">
      <c r="B127" s="124" t="s">
        <v>53</v>
      </c>
      <c r="I127" s="114">
        <f>+SUMPRODUCT(I119:I124,E119:E124)/SUM(E119:E124)</f>
        <v>0.14152447730749618</v>
      </c>
      <c r="J127" s="114">
        <f>+SUMPRODUCT(I119:I124,E119:E124)/SUM(E119:E124)</f>
        <v>0.14152447730749618</v>
      </c>
    </row>
    <row r="128" spans="2:16">
      <c r="B128" s="124" t="s">
        <v>51</v>
      </c>
      <c r="I128" s="118">
        <f>+(I126-I127)/I126</f>
        <v>2.3969122017267676E-2</v>
      </c>
      <c r="J128" s="118">
        <f>+(J126-J127)/J126</f>
        <v>2.3969122017267676E-2</v>
      </c>
    </row>
    <row r="130" spans="2:16">
      <c r="B130" s="1411" t="s">
        <v>286</v>
      </c>
      <c r="C130" s="1411"/>
      <c r="D130" s="1411"/>
      <c r="E130" s="1411"/>
      <c r="F130" s="1411"/>
      <c r="G130" s="1411"/>
      <c r="H130" s="1411"/>
      <c r="I130" s="1411"/>
      <c r="J130" s="1411"/>
      <c r="K130" s="1411"/>
      <c r="L130" s="1411"/>
      <c r="M130" s="1411"/>
      <c r="N130" s="1411"/>
      <c r="O130" s="1411"/>
      <c r="P130" s="1411"/>
    </row>
    <row r="131" spans="2:16">
      <c r="B131" s="121" t="s">
        <v>287</v>
      </c>
      <c r="C131" s="121" t="s">
        <v>308</v>
      </c>
      <c r="D131" s="121" t="s">
        <v>309</v>
      </c>
      <c r="E131" s="121" t="s">
        <v>311</v>
      </c>
      <c r="F131" s="121" t="s">
        <v>312</v>
      </c>
      <c r="G131" s="121" t="s">
        <v>310</v>
      </c>
      <c r="H131" s="121" t="s">
        <v>271</v>
      </c>
      <c r="I131" s="121" t="s">
        <v>272</v>
      </c>
      <c r="J131" s="121" t="s">
        <v>273</v>
      </c>
      <c r="K131" s="121" t="s">
        <v>274</v>
      </c>
      <c r="L131" s="121" t="s">
        <v>316</v>
      </c>
      <c r="M131" s="121" t="s">
        <v>317</v>
      </c>
      <c r="N131" s="121" t="s">
        <v>275</v>
      </c>
      <c r="O131" s="121" t="s">
        <v>276</v>
      </c>
      <c r="P131" s="121" t="s">
        <v>277</v>
      </c>
    </row>
    <row r="132" spans="2:16">
      <c r="B132" s="122" t="s">
        <v>255</v>
      </c>
      <c r="C132" s="98">
        <f>+D132</f>
        <v>0.5</v>
      </c>
      <c r="D132" s="98">
        <v>0.5</v>
      </c>
      <c r="E132" s="111">
        <v>20.3</v>
      </c>
      <c r="F132" s="111">
        <v>81.399999999999977</v>
      </c>
      <c r="G132" s="114">
        <f>+E132/F132*100</f>
        <v>24.938574938574948</v>
      </c>
      <c r="H132" s="111">
        <f>E132</f>
        <v>20.3</v>
      </c>
      <c r="I132" s="899">
        <v>3.2149999999999999</v>
      </c>
      <c r="J132" s="115">
        <f>SUMPRODUCT(E132,I132)/H132</f>
        <v>3.2149999999999999</v>
      </c>
      <c r="K132" s="116">
        <f>SUMPRODUCT(H132,J132)/SUMPRODUCT($H$139,$J$139)*100</f>
        <v>13.056094199558107</v>
      </c>
      <c r="L132" s="125">
        <f>E132/$E$140*100</f>
        <v>0.51694721026764112</v>
      </c>
      <c r="M132" s="125">
        <f>+L132</f>
        <v>0.51694721026764112</v>
      </c>
      <c r="N132" s="902">
        <v>25.8</v>
      </c>
      <c r="O132" s="115">
        <f>SUMPRODUCT(E132,N132)/H132</f>
        <v>25.8</v>
      </c>
      <c r="P132" s="116">
        <f>SUMPRODUCT(H132,O132)/SUMPRODUCT($H$139,$O$139)*100</f>
        <v>12.687530735297322</v>
      </c>
    </row>
    <row r="133" spans="2:16">
      <c r="B133" s="122" t="s">
        <v>256</v>
      </c>
      <c r="C133" s="98">
        <f>+D133-D132</f>
        <v>0.5</v>
      </c>
      <c r="D133" s="98">
        <v>1</v>
      </c>
      <c r="E133" s="111">
        <v>10.5</v>
      </c>
      <c r="F133" s="111">
        <v>30.300000000000011</v>
      </c>
      <c r="G133" s="114">
        <f t="shared" ref="G133:G140" si="32">+E133/F133*100</f>
        <v>34.653465346534638</v>
      </c>
      <c r="H133" s="111">
        <f t="shared" ref="H133:H139" si="33">H132+E133</f>
        <v>30.8</v>
      </c>
      <c r="I133" s="899">
        <v>3.3220000000000001</v>
      </c>
      <c r="J133" s="115">
        <f>SUMPRODUCT(E132:E133,I132:I133)/H133</f>
        <v>3.2514772727272727</v>
      </c>
      <c r="K133" s="116">
        <f t="shared" ref="K133:K139" si="34">SUMPRODUCT(H133,J133)/SUMPRODUCT($H$139,$J$139)*100</f>
        <v>20.034001358500355</v>
      </c>
      <c r="L133" s="125">
        <f t="shared" ref="L133:L139" si="35">E133/$E$140*100</f>
        <v>0.26738648806946952</v>
      </c>
      <c r="M133" s="125">
        <f t="shared" ref="M133:M139" si="36">+M132+L133</f>
        <v>0.78433369833711064</v>
      </c>
      <c r="N133" s="902">
        <v>23.6</v>
      </c>
      <c r="O133" s="115">
        <f>SUMPRODUCT(E132:E133,N132:N133)/H133</f>
        <v>25.049999999999997</v>
      </c>
      <c r="P133" s="116">
        <f t="shared" ref="P133:P139" si="37">SUMPRODUCT(H133,O133)/SUMPRODUCT($H$139,$O$139)*100</f>
        <v>18.690452254002548</v>
      </c>
    </row>
    <row r="134" spans="2:16">
      <c r="B134" s="122" t="s">
        <v>257</v>
      </c>
      <c r="C134" s="98">
        <f t="shared" ref="C134:C136" si="38">+D134-D133</f>
        <v>1</v>
      </c>
      <c r="D134" s="98">
        <v>2</v>
      </c>
      <c r="E134" s="111">
        <v>9.6</v>
      </c>
      <c r="F134" s="111">
        <v>73.200000000000045</v>
      </c>
      <c r="G134" s="114">
        <f t="shared" si="32"/>
        <v>13.114754098360649</v>
      </c>
      <c r="H134" s="111">
        <f t="shared" si="33"/>
        <v>40.4</v>
      </c>
      <c r="I134" s="899">
        <v>3.274</v>
      </c>
      <c r="J134" s="115">
        <f>SUMPRODUCT(E132:E134,I132:I134)/H134</f>
        <v>3.2568292079207919</v>
      </c>
      <c r="K134" s="116">
        <f t="shared" si="34"/>
        <v>26.321619636887402</v>
      </c>
      <c r="L134" s="125">
        <f t="shared" si="35"/>
        <v>0.24446764623494358</v>
      </c>
      <c r="M134" s="125">
        <f t="shared" si="36"/>
        <v>1.0288013445720543</v>
      </c>
      <c r="N134" s="902">
        <v>22.8</v>
      </c>
      <c r="O134" s="115">
        <f>SUMPRODUCT(E132:E134,N132:N134)/H134</f>
        <v>24.515346534653464</v>
      </c>
      <c r="P134" s="116">
        <f t="shared" si="37"/>
        <v>23.992790680209978</v>
      </c>
    </row>
    <row r="135" spans="2:16">
      <c r="B135" s="122" t="s">
        <v>259</v>
      </c>
      <c r="C135" s="98">
        <f t="shared" si="38"/>
        <v>4</v>
      </c>
      <c r="D135" s="98">
        <v>6</v>
      </c>
      <c r="E135" s="111">
        <v>14.6</v>
      </c>
      <c r="F135" s="111">
        <v>256.8</v>
      </c>
      <c r="G135" s="114">
        <f t="shared" si="32"/>
        <v>5.685358255451713</v>
      </c>
      <c r="H135" s="111">
        <f t="shared" si="33"/>
        <v>55</v>
      </c>
      <c r="I135" s="899">
        <v>2.0817999999999999</v>
      </c>
      <c r="J135" s="115">
        <f>SUMPRODUCT(E132:E135,I132:I135)/H135</f>
        <v>2.9449123636363637</v>
      </c>
      <c r="K135" s="116">
        <f t="shared" si="34"/>
        <v>32.401963205102049</v>
      </c>
      <c r="L135" s="125">
        <f t="shared" si="35"/>
        <v>0.37179454531564338</v>
      </c>
      <c r="M135" s="125">
        <f t="shared" si="36"/>
        <v>1.4005958898876978</v>
      </c>
      <c r="N135" s="902">
        <v>13.6</v>
      </c>
      <c r="O135" s="115">
        <f>SUMPRODUCT(E132:E135,N132:N135)/H135</f>
        <v>21.617818181818183</v>
      </c>
      <c r="P135" s="116">
        <f t="shared" si="37"/>
        <v>28.802879851937625</v>
      </c>
    </row>
    <row r="136" spans="2:16">
      <c r="B136" s="122" t="s">
        <v>261</v>
      </c>
      <c r="C136" s="98">
        <f t="shared" si="38"/>
        <v>4</v>
      </c>
      <c r="D136" s="98">
        <v>10</v>
      </c>
      <c r="E136" s="111">
        <v>4.5</v>
      </c>
      <c r="F136" s="111">
        <v>271</v>
      </c>
      <c r="G136" s="114">
        <f t="shared" si="32"/>
        <v>1.6605166051660518</v>
      </c>
      <c r="H136" s="111">
        <f t="shared" si="33"/>
        <v>59.5</v>
      </c>
      <c r="I136" s="901">
        <v>0.774532</v>
      </c>
      <c r="J136" s="115">
        <f>SUMPRODUCT(E132:E136,I132:I136)/H136</f>
        <v>2.7807659495798323</v>
      </c>
      <c r="K136" s="116">
        <f t="shared" si="34"/>
        <v>33.099212588558217</v>
      </c>
      <c r="L136" s="125">
        <f t="shared" si="35"/>
        <v>0.1145942091726298</v>
      </c>
      <c r="M136" s="125">
        <f t="shared" si="36"/>
        <v>1.5151900990603275</v>
      </c>
      <c r="N136" s="903">
        <v>5.26</v>
      </c>
      <c r="O136" s="115">
        <f>SUMPRODUCT(E132:E136,N132:N136)/H136</f>
        <v>20.380672268907563</v>
      </c>
      <c r="P136" s="116">
        <f t="shared" si="37"/>
        <v>29.376282403784892</v>
      </c>
    </row>
    <row r="137" spans="2:16">
      <c r="B137" s="122" t="s">
        <v>280</v>
      </c>
      <c r="C137" s="98"/>
      <c r="E137" s="111">
        <v>18.3</v>
      </c>
      <c r="F137" s="111">
        <v>1335.7</v>
      </c>
      <c r="G137" s="114">
        <f t="shared" si="32"/>
        <v>1.3700681290708991</v>
      </c>
      <c r="H137" s="111">
        <f t="shared" si="33"/>
        <v>77.8</v>
      </c>
      <c r="I137" s="900">
        <v>0.38300000000000001</v>
      </c>
      <c r="J137" s="115">
        <f>SUMPRODUCT(E132:E137,I132:I137)/H137</f>
        <v>2.2167670179948589</v>
      </c>
      <c r="K137" s="116">
        <f t="shared" si="34"/>
        <v>34.501335620762291</v>
      </c>
      <c r="L137" s="125">
        <f t="shared" si="35"/>
        <v>0.46601645063536123</v>
      </c>
      <c r="M137" s="125">
        <f t="shared" si="36"/>
        <v>1.9812065496956888</v>
      </c>
      <c r="N137" s="902">
        <v>1.78</v>
      </c>
      <c r="O137" s="115">
        <f>SUMPRODUCT(E132:E137,N132:N137)/H137</f>
        <v>16.005449871465299</v>
      </c>
      <c r="P137" s="116">
        <f t="shared" si="37"/>
        <v>30.165383152575465</v>
      </c>
    </row>
    <row r="138" spans="2:16">
      <c r="B138" s="122" t="s">
        <v>281</v>
      </c>
      <c r="C138" s="98">
        <v>14</v>
      </c>
      <c r="E138" s="111">
        <v>215.2</v>
      </c>
      <c r="F138" s="111">
        <v>3516.2</v>
      </c>
      <c r="G138" s="114">
        <f t="shared" si="32"/>
        <v>6.1202434446277234</v>
      </c>
      <c r="H138" s="111">
        <f t="shared" si="33"/>
        <v>293</v>
      </c>
      <c r="I138" s="900">
        <v>0.10299999999999999</v>
      </c>
      <c r="J138" s="115">
        <f>SUMPRODUCT(E132:E138,I132:I138)/H138</f>
        <v>0.66426646416382262</v>
      </c>
      <c r="K138" s="116">
        <f t="shared" si="34"/>
        <v>38.935540457844091</v>
      </c>
      <c r="L138" s="125">
        <f t="shared" si="35"/>
        <v>5.4801497364333187</v>
      </c>
      <c r="M138" s="125">
        <f t="shared" si="36"/>
        <v>7.461356286129007</v>
      </c>
      <c r="N138" s="902">
        <v>0.9</v>
      </c>
      <c r="O138" s="115">
        <f>SUMPRODUCT(E132:E138,N132:N138)/H138</f>
        <v>4.9109351535836181</v>
      </c>
      <c r="P138" s="116">
        <f t="shared" si="37"/>
        <v>34.857254983660326</v>
      </c>
    </row>
    <row r="139" spans="2:16">
      <c r="B139" s="122" t="s">
        <v>282</v>
      </c>
      <c r="C139" s="98">
        <v>16</v>
      </c>
      <c r="E139" s="111">
        <v>3633.9</v>
      </c>
      <c r="F139" s="111">
        <v>12567.6</v>
      </c>
      <c r="G139" s="114">
        <f t="shared" si="32"/>
        <v>28.914828606893916</v>
      </c>
      <c r="H139" s="111">
        <f t="shared" si="33"/>
        <v>3926.9</v>
      </c>
      <c r="I139" s="900">
        <v>8.4000000000000005E-2</v>
      </c>
      <c r="J139" s="115">
        <f>SUMPRODUCT(E132:E139,I132:I139)/H139</f>
        <v>0.12729574830018592</v>
      </c>
      <c r="K139" s="116">
        <f t="shared" si="34"/>
        <v>100</v>
      </c>
      <c r="L139" s="125">
        <f t="shared" si="35"/>
        <v>92.538643713870997</v>
      </c>
      <c r="M139" s="125">
        <f t="shared" si="36"/>
        <v>100</v>
      </c>
      <c r="N139" s="902">
        <v>0.74</v>
      </c>
      <c r="O139" s="115">
        <f>SUMPRODUCT(E132:E139,N132:N139)/H139</f>
        <v>1.0512083322722761</v>
      </c>
      <c r="P139" s="116">
        <f t="shared" si="37"/>
        <v>100</v>
      </c>
    </row>
    <row r="140" spans="2:16">
      <c r="B140" s="123" t="s">
        <v>32</v>
      </c>
      <c r="E140" s="111">
        <f>+SUM(E132:E139)</f>
        <v>3926.9</v>
      </c>
      <c r="F140" s="111">
        <f>+SUM(F132:F139)</f>
        <v>18132.2</v>
      </c>
      <c r="G140" s="114">
        <f t="shared" si="32"/>
        <v>21.65705209516771</v>
      </c>
    </row>
    <row r="141" spans="2:16">
      <c r="B141" s="124" t="s">
        <v>292</v>
      </c>
      <c r="J141" s="114">
        <v>0.14499999999999999</v>
      </c>
      <c r="N141" s="4">
        <v>1.04</v>
      </c>
    </row>
    <row r="142" spans="2:16">
      <c r="B142" s="124" t="s">
        <v>53</v>
      </c>
      <c r="J142" s="114">
        <f>+SUMPRODUCT(I132:I139,E132:E139)/SUM(E132:E139)</f>
        <v>0.12729574830018592</v>
      </c>
    </row>
    <row r="143" spans="2:16">
      <c r="B143" s="124" t="s">
        <v>51</v>
      </c>
      <c r="J143" s="118">
        <f>+(J141-J142)/J141</f>
        <v>0.12209828758492464</v>
      </c>
    </row>
    <row r="144" spans="2:16">
      <c r="J144" s="117"/>
    </row>
    <row r="145" spans="2:16">
      <c r="B145" s="1411" t="s">
        <v>286</v>
      </c>
      <c r="C145" s="1411"/>
      <c r="D145" s="1411"/>
      <c r="E145" s="1411"/>
      <c r="F145" s="1411"/>
      <c r="G145" s="1411"/>
      <c r="H145" s="1411"/>
      <c r="I145" s="1411"/>
      <c r="J145" s="1411"/>
      <c r="K145" s="1411"/>
      <c r="L145" s="1411"/>
      <c r="M145" s="1411"/>
      <c r="N145" s="1411"/>
      <c r="O145" s="1411"/>
      <c r="P145" s="1411"/>
    </row>
    <row r="146" spans="2:16">
      <c r="B146" s="121" t="s">
        <v>291</v>
      </c>
      <c r="C146" s="121" t="s">
        <v>308</v>
      </c>
      <c r="D146" s="121" t="s">
        <v>309</v>
      </c>
      <c r="E146" s="121" t="s">
        <v>311</v>
      </c>
      <c r="F146" s="121" t="s">
        <v>312</v>
      </c>
      <c r="G146" s="121" t="s">
        <v>310</v>
      </c>
      <c r="H146" s="121" t="s">
        <v>271</v>
      </c>
      <c r="I146" s="121" t="s">
        <v>272</v>
      </c>
      <c r="J146" s="121" t="s">
        <v>273</v>
      </c>
      <c r="K146" s="121" t="s">
        <v>274</v>
      </c>
      <c r="L146" s="121" t="s">
        <v>316</v>
      </c>
      <c r="M146" s="121" t="s">
        <v>317</v>
      </c>
      <c r="N146" s="121" t="s">
        <v>275</v>
      </c>
      <c r="O146" s="121" t="s">
        <v>276</v>
      </c>
      <c r="P146" s="121" t="s">
        <v>277</v>
      </c>
    </row>
    <row r="147" spans="2:16">
      <c r="B147" s="122" t="s">
        <v>255</v>
      </c>
      <c r="C147" s="98">
        <v>5</v>
      </c>
      <c r="D147" s="98">
        <f>+C147</f>
        <v>5</v>
      </c>
      <c r="E147" s="111">
        <v>22.7</v>
      </c>
      <c r="F147" s="111">
        <v>1268.5</v>
      </c>
      <c r="G147" s="114">
        <f>+E147/F147*100</f>
        <v>1.7895151754040204</v>
      </c>
      <c r="H147" s="111">
        <f>E147</f>
        <v>22.7</v>
      </c>
      <c r="I147" s="904">
        <v>3.544</v>
      </c>
      <c r="J147" s="115">
        <f>SUMPRODUCT(E147,I147)/H147</f>
        <v>3.5439999999999996</v>
      </c>
      <c r="K147" s="116">
        <f>SUMPRODUCT(H147,J147)/SUMPRODUCT($H$155,$J$155)*100</f>
        <v>1.8653259553277795</v>
      </c>
      <c r="L147" s="125">
        <f>E147/$E$156*100</f>
        <v>7.7072468491960019E-2</v>
      </c>
      <c r="M147" s="125">
        <f>+L147</f>
        <v>7.7072468491960019E-2</v>
      </c>
      <c r="N147" s="905">
        <v>27.1</v>
      </c>
      <c r="O147" s="115">
        <f>SUMPRODUCT(E147,N147)/H147</f>
        <v>27.099999999999998</v>
      </c>
      <c r="P147" s="116">
        <f>SUMPRODUCT(H147,O147)/SUMPRODUCT($H$155,$O$155)*100</f>
        <v>1.7382594935439102</v>
      </c>
    </row>
    <row r="148" spans="2:16">
      <c r="B148" s="122" t="s">
        <v>256</v>
      </c>
      <c r="C148" s="98">
        <v>5</v>
      </c>
      <c r="D148" s="98">
        <f t="shared" ref="D148:D154" si="39">+D147+C148</f>
        <v>10</v>
      </c>
      <c r="E148" s="111">
        <v>36.6</v>
      </c>
      <c r="F148" s="111">
        <v>1590.2</v>
      </c>
      <c r="G148" s="114">
        <f t="shared" ref="G148:G156" si="40">+E148/F148*100</f>
        <v>2.3015972833605836</v>
      </c>
      <c r="H148" s="111">
        <f t="shared" ref="H148:H155" si="41">H147+E148</f>
        <v>59.3</v>
      </c>
      <c r="I148" s="904">
        <v>3.4670000000000001</v>
      </c>
      <c r="J148" s="115">
        <f>SUMPRODUCT(E147:E148,I147:I148)/H148</f>
        <v>3.4964755480607086</v>
      </c>
      <c r="K148" s="116">
        <f t="shared" ref="K148:K155" si="42">SUMPRODUCT(H148,J148)/SUMPRODUCT($H$155,$J$155)*100</f>
        <v>4.8075117205429692</v>
      </c>
      <c r="L148" s="125">
        <f t="shared" ref="L148:L155" si="43">E148/$E$156*100</f>
        <v>0.12426662320730117</v>
      </c>
      <c r="M148" s="125">
        <f>+M147+L148</f>
        <v>0.20133909169926117</v>
      </c>
      <c r="N148" s="905">
        <v>29.8</v>
      </c>
      <c r="O148" s="115">
        <f>SUMPRODUCT(E147:E148,N147:N148)/H148</f>
        <v>28.766441821247891</v>
      </c>
      <c r="P148" s="116">
        <f t="shared" ref="P148:P155" si="44">SUMPRODUCT(H148,O148)/SUMPRODUCT($H$155,$O$155)*100</f>
        <v>4.8201472065638429</v>
      </c>
    </row>
    <row r="149" spans="2:16">
      <c r="B149" s="122" t="s">
        <v>257</v>
      </c>
      <c r="C149" s="98">
        <v>5</v>
      </c>
      <c r="D149" s="98">
        <f t="shared" si="39"/>
        <v>15</v>
      </c>
      <c r="E149" s="111">
        <v>47.9</v>
      </c>
      <c r="F149" s="111">
        <v>1508</v>
      </c>
      <c r="G149" s="114">
        <f t="shared" si="40"/>
        <v>3.1763925729442968</v>
      </c>
      <c r="H149" s="111">
        <f t="shared" si="41"/>
        <v>107.19999999999999</v>
      </c>
      <c r="I149" s="904">
        <v>3.944</v>
      </c>
      <c r="J149" s="115">
        <f>SUMPRODUCT(E147:E149,I147:I149)/H149</f>
        <v>3.6964421641791048</v>
      </c>
      <c r="K149" s="116">
        <f t="shared" si="42"/>
        <v>9.1878493103918082</v>
      </c>
      <c r="L149" s="125">
        <f t="shared" si="43"/>
        <v>0.16263309430682313</v>
      </c>
      <c r="M149" s="125">
        <f t="shared" ref="M149:M155" si="45">+M148+L149</f>
        <v>0.36397218600608428</v>
      </c>
      <c r="N149" s="905">
        <v>20.2</v>
      </c>
      <c r="O149" s="115">
        <f>SUMPRODUCT(E147:E149,N147:N149)/H149</f>
        <v>24.938712686567165</v>
      </c>
      <c r="P149" s="116">
        <f t="shared" si="44"/>
        <v>7.5541965275047485</v>
      </c>
    </row>
    <row r="150" spans="2:16">
      <c r="B150" s="122" t="s">
        <v>259</v>
      </c>
      <c r="C150" s="98">
        <v>5</v>
      </c>
      <c r="D150" s="98">
        <f t="shared" si="39"/>
        <v>20</v>
      </c>
      <c r="E150" s="111">
        <v>79</v>
      </c>
      <c r="F150" s="111">
        <v>2314</v>
      </c>
      <c r="G150" s="114">
        <f t="shared" si="40"/>
        <v>3.4140017286084698</v>
      </c>
      <c r="H150" s="111">
        <f t="shared" si="41"/>
        <v>186.2</v>
      </c>
      <c r="I150" s="904">
        <v>3.1019999999999999</v>
      </c>
      <c r="J150" s="115">
        <f>SUMPRODUCT(E147:E150,I147:I150)/H150</f>
        <v>3.444235230934479</v>
      </c>
      <c r="K150" s="116">
        <f t="shared" si="42"/>
        <v>14.869886183045161</v>
      </c>
      <c r="L150" s="125">
        <f t="shared" si="43"/>
        <v>0.26822577140373755</v>
      </c>
      <c r="M150" s="125">
        <f t="shared" si="45"/>
        <v>0.63219795740982176</v>
      </c>
      <c r="N150" s="905">
        <v>28.6</v>
      </c>
      <c r="O150" s="115">
        <f>SUMPRODUCT(E147:E150,N147:N150)/H150</f>
        <v>26.492105263157896</v>
      </c>
      <c r="P150" s="116">
        <f t="shared" si="44"/>
        <v>13.938486235574244</v>
      </c>
    </row>
    <row r="151" spans="2:16">
      <c r="B151" s="122" t="s">
        <v>261</v>
      </c>
      <c r="C151" s="98">
        <v>5</v>
      </c>
      <c r="D151" s="98">
        <f t="shared" si="39"/>
        <v>25</v>
      </c>
      <c r="E151" s="111">
        <v>112.9</v>
      </c>
      <c r="F151" s="111">
        <v>4807.3</v>
      </c>
      <c r="G151" s="114">
        <f t="shared" si="40"/>
        <v>2.3485116385497058</v>
      </c>
      <c r="H151" s="111">
        <f t="shared" si="41"/>
        <v>299.10000000000002</v>
      </c>
      <c r="I151" s="904">
        <v>2.637</v>
      </c>
      <c r="J151" s="115">
        <f>SUMPRODUCT(E147:E151,I147:I151)/H151</f>
        <v>3.1395315947843527</v>
      </c>
      <c r="K151" s="131">
        <f t="shared" si="42"/>
        <v>21.772907819665065</v>
      </c>
      <c r="L151" s="125">
        <f t="shared" si="43"/>
        <v>0.38332518470230337</v>
      </c>
      <c r="M151" s="125">
        <f t="shared" si="45"/>
        <v>1.0155231421121251</v>
      </c>
      <c r="N151" s="905">
        <v>12.8</v>
      </c>
      <c r="O151" s="115">
        <f>SUMPRODUCT(E147:E151,N147:N151)/H151</f>
        <v>21.323804747576059</v>
      </c>
      <c r="P151" s="116">
        <f t="shared" si="44"/>
        <v>18.021899859954782</v>
      </c>
    </row>
    <row r="152" spans="2:16">
      <c r="B152" s="122" t="s">
        <v>283</v>
      </c>
      <c r="C152" s="98">
        <v>5</v>
      </c>
      <c r="D152" s="98">
        <f t="shared" si="39"/>
        <v>30</v>
      </c>
      <c r="E152" s="111">
        <v>375.3</v>
      </c>
      <c r="F152" s="111">
        <v>4624.2</v>
      </c>
      <c r="G152" s="114">
        <f t="shared" si="40"/>
        <v>8.11599844297392</v>
      </c>
      <c r="H152" s="111">
        <f t="shared" si="41"/>
        <v>674.40000000000009</v>
      </c>
      <c r="I152" s="904">
        <v>0.79700000000000004</v>
      </c>
      <c r="J152" s="115">
        <f>SUMPRODUCT(E147:E152,I147:I152)/H152</f>
        <v>1.8359252669039146</v>
      </c>
      <c r="K152" s="116">
        <f t="shared" si="42"/>
        <v>28.708316356952245</v>
      </c>
      <c r="L152" s="125">
        <f t="shared" si="43"/>
        <v>1.2742421773142114</v>
      </c>
      <c r="M152" s="125">
        <f t="shared" si="45"/>
        <v>2.2897653194263365</v>
      </c>
      <c r="N152" s="905">
        <v>2.48</v>
      </c>
      <c r="O152" s="115">
        <f>SUMPRODUCT(E147:E152,N147:N152)/H152</f>
        <v>10.837327995255039</v>
      </c>
      <c r="P152" s="116">
        <f t="shared" si="44"/>
        <v>20.65186327504172</v>
      </c>
    </row>
    <row r="153" spans="2:16">
      <c r="B153" s="122" t="s">
        <v>284</v>
      </c>
      <c r="C153" s="98">
        <v>5</v>
      </c>
      <c r="D153" s="98">
        <f t="shared" si="39"/>
        <v>35</v>
      </c>
      <c r="E153" s="111">
        <v>833.2</v>
      </c>
      <c r="F153" s="111">
        <v>7874.7</v>
      </c>
      <c r="G153" s="114">
        <f t="shared" si="40"/>
        <v>10.580720535385476</v>
      </c>
      <c r="H153" s="111">
        <f t="shared" si="41"/>
        <v>1507.6000000000001</v>
      </c>
      <c r="I153" s="904">
        <v>0.27900000000000003</v>
      </c>
      <c r="J153" s="115">
        <f>SUMPRODUCT(E147:E153,I147:I153)/H153</f>
        <v>0.97546484478641549</v>
      </c>
      <c r="K153" s="116">
        <f t="shared" si="42"/>
        <v>34.098314647643605</v>
      </c>
      <c r="L153" s="125">
        <f t="shared" si="43"/>
        <v>2.8289330725771404</v>
      </c>
      <c r="M153" s="125">
        <f t="shared" si="45"/>
        <v>5.118698392003477</v>
      </c>
      <c r="N153" s="906">
        <v>1.36</v>
      </c>
      <c r="O153" s="115">
        <f>SUMPRODUCT(E147:E153,N147:N153)/H153</f>
        <v>5.5995263995754838</v>
      </c>
      <c r="P153" s="116">
        <f t="shared" si="44"/>
        <v>23.853762297471732</v>
      </c>
    </row>
    <row r="154" spans="2:16">
      <c r="B154" s="122" t="s">
        <v>285</v>
      </c>
      <c r="C154" s="98">
        <v>15</v>
      </c>
      <c r="D154" s="98">
        <f t="shared" si="39"/>
        <v>50</v>
      </c>
      <c r="E154" s="111">
        <v>3145.2</v>
      </c>
      <c r="F154" s="111">
        <v>22540</v>
      </c>
      <c r="G154" s="114">
        <f t="shared" si="40"/>
        <v>13.953859804791479</v>
      </c>
      <c r="H154" s="116">
        <f t="shared" si="41"/>
        <v>4652.8</v>
      </c>
      <c r="I154" s="904">
        <v>0.47</v>
      </c>
      <c r="J154" s="115">
        <f>SUMPRODUCT(E147:E154,I147:I154)/H154</f>
        <v>0.63378069119669878</v>
      </c>
      <c r="K154" s="116">
        <f t="shared" si="42"/>
        <v>68.373616473246443</v>
      </c>
      <c r="L154" s="125">
        <f t="shared" si="43"/>
        <v>10.678780964797914</v>
      </c>
      <c r="M154" s="125">
        <f t="shared" si="45"/>
        <v>15.797479356801391</v>
      </c>
      <c r="N154" s="906">
        <v>2.2599999999999998</v>
      </c>
      <c r="O154" s="115">
        <f>SUMPRODUCT(E147:E154,N147:N154)/H154</f>
        <v>3.3420731602475926</v>
      </c>
      <c r="P154" s="116">
        <f t="shared" si="44"/>
        <v>43.938962641365507</v>
      </c>
    </row>
    <row r="155" spans="2:16">
      <c r="B155" s="122" t="s">
        <v>278</v>
      </c>
      <c r="E155" s="111">
        <v>24800</v>
      </c>
      <c r="F155" s="111">
        <v>141</v>
      </c>
      <c r="G155" s="114">
        <f t="shared" si="40"/>
        <v>17588.652482269503</v>
      </c>
      <c r="H155" s="116">
        <f t="shared" si="41"/>
        <v>29452.799999999999</v>
      </c>
      <c r="I155" s="904">
        <v>5.5E-2</v>
      </c>
      <c r="J155" s="115">
        <f>SUMPRODUCT(E147:E155,I147:I155)/H155</f>
        <v>0.1464327602129509</v>
      </c>
      <c r="K155" s="116">
        <f t="shared" si="42"/>
        <v>100</v>
      </c>
      <c r="L155" s="125">
        <f t="shared" si="43"/>
        <v>84.202520643198611</v>
      </c>
      <c r="M155" s="125">
        <f t="shared" si="45"/>
        <v>100</v>
      </c>
      <c r="N155" s="906">
        <v>0.8</v>
      </c>
      <c r="O155" s="115">
        <f>SUMPRODUCT(E147:E155,N147:N155)/H155</f>
        <v>1.2015834827249023</v>
      </c>
      <c r="P155" s="116">
        <f t="shared" si="44"/>
        <v>100</v>
      </c>
    </row>
    <row r="156" spans="2:16">
      <c r="B156" s="123" t="s">
        <v>32</v>
      </c>
      <c r="E156" s="111">
        <f>+SUM(E147:E155)</f>
        <v>29452.799999999999</v>
      </c>
      <c r="F156" s="111">
        <f>+SUM(F147:F155)</f>
        <v>46667.9</v>
      </c>
      <c r="G156" s="114">
        <f t="shared" si="40"/>
        <v>63.111474911020203</v>
      </c>
    </row>
    <row r="157" spans="2:16">
      <c r="B157" s="124" t="s">
        <v>292</v>
      </c>
      <c r="J157" s="114">
        <v>0.14499999999999999</v>
      </c>
    </row>
    <row r="158" spans="2:16">
      <c r="B158" s="124" t="s">
        <v>53</v>
      </c>
      <c r="J158" s="114">
        <f>+SUMPRODUCT(I147:I155,E147:E155)/SUM(E147:E155)</f>
        <v>0.1464327602129509</v>
      </c>
    </row>
    <row r="159" spans="2:16">
      <c r="B159" s="124" t="s">
        <v>51</v>
      </c>
      <c r="J159" s="118">
        <f>+(J157-J158)/J157</f>
        <v>-9.8811049169028418E-3</v>
      </c>
    </row>
    <row r="161" spans="2:13">
      <c r="L161" s="4" t="s">
        <v>952</v>
      </c>
      <c r="M161" s="4">
        <v>4</v>
      </c>
    </row>
    <row r="162" spans="2:13">
      <c r="L162" s="4" t="s">
        <v>953</v>
      </c>
      <c r="M162" s="110">
        <f>+AVERAGE(J152:J153)</f>
        <v>1.4056950558451651</v>
      </c>
    </row>
    <row r="164" spans="2:13">
      <c r="L164" s="4" t="s">
        <v>954</v>
      </c>
      <c r="M164" s="4">
        <v>7000</v>
      </c>
    </row>
    <row r="165" spans="2:13">
      <c r="L165" s="4" t="s">
        <v>955</v>
      </c>
      <c r="M165" s="4">
        <v>0.66</v>
      </c>
    </row>
    <row r="166" spans="2:13">
      <c r="B166" s="121" t="s">
        <v>270</v>
      </c>
      <c r="C166" s="121" t="s">
        <v>310</v>
      </c>
      <c r="D166" s="121" t="s">
        <v>273</v>
      </c>
      <c r="E166" s="121" t="s">
        <v>274</v>
      </c>
      <c r="F166" s="121" t="s">
        <v>317</v>
      </c>
      <c r="L166" s="4" t="s">
        <v>960</v>
      </c>
      <c r="M166" s="4">
        <v>19</v>
      </c>
    </row>
    <row r="167" spans="2:13">
      <c r="B167" s="122" t="s">
        <v>255</v>
      </c>
      <c r="C167" s="110">
        <f t="shared" ref="C167:C172" si="46">+G119</f>
        <v>19.357366771159871</v>
      </c>
      <c r="D167" s="110">
        <f>+J119</f>
        <v>1.696</v>
      </c>
      <c r="E167" s="132">
        <f>+K119</f>
        <v>15.094323306171056</v>
      </c>
      <c r="F167" s="132">
        <f t="shared" ref="F167:F172" si="47">+M119</f>
        <v>1.2595614482406936</v>
      </c>
      <c r="L167" s="4" t="s">
        <v>754</v>
      </c>
      <c r="M167" s="4">
        <v>82</v>
      </c>
    </row>
    <row r="168" spans="2:13">
      <c r="B168" s="122" t="s">
        <v>256</v>
      </c>
      <c r="C168" s="110">
        <f t="shared" si="46"/>
        <v>18.335901386748834</v>
      </c>
      <c r="D168" s="110">
        <f t="shared" ref="D168:D172" si="48">+J120</f>
        <v>1.6286967213114751</v>
      </c>
      <c r="E168" s="132">
        <f t="shared" ref="E168:E172" si="49">+K120</f>
        <v>21.478905846045198</v>
      </c>
      <c r="F168" s="132">
        <f t="shared" si="47"/>
        <v>1.866394696583376</v>
      </c>
      <c r="L168" s="4" t="s">
        <v>956</v>
      </c>
      <c r="M168" s="4">
        <v>80</v>
      </c>
    </row>
    <row r="169" spans="2:13">
      <c r="B169" s="122" t="s">
        <v>257</v>
      </c>
      <c r="C169" s="110">
        <f t="shared" si="46"/>
        <v>14.031620553359685</v>
      </c>
      <c r="D169" s="110">
        <f t="shared" si="48"/>
        <v>1.4182972440944881</v>
      </c>
      <c r="E169" s="132">
        <f t="shared" si="49"/>
        <v>25.96102396321832</v>
      </c>
      <c r="F169" s="132">
        <f t="shared" si="47"/>
        <v>2.5905150433452322</v>
      </c>
      <c r="L169" s="4" t="s">
        <v>957</v>
      </c>
      <c r="M169" s="4">
        <v>2.7</v>
      </c>
    </row>
    <row r="170" spans="2:13">
      <c r="B170" s="122" t="s">
        <v>259</v>
      </c>
      <c r="C170" s="110">
        <f t="shared" si="46"/>
        <v>11.119936457505958</v>
      </c>
      <c r="D170" s="110">
        <f t="shared" si="48"/>
        <v>0.99499531835206001</v>
      </c>
      <c r="E170" s="132">
        <f t="shared" si="49"/>
        <v>38.289803426302434</v>
      </c>
      <c r="F170" s="132">
        <f t="shared" si="47"/>
        <v>5.4462009178990307</v>
      </c>
    </row>
    <row r="171" spans="2:13">
      <c r="B171" s="122" t="s">
        <v>261</v>
      </c>
      <c r="C171" s="110">
        <f t="shared" si="46"/>
        <v>9.9118165784832453</v>
      </c>
      <c r="D171" s="110">
        <f t="shared" si="48"/>
        <v>0.77605828220858897</v>
      </c>
      <c r="E171" s="132">
        <f t="shared" si="49"/>
        <v>45.579839260330886</v>
      </c>
      <c r="F171" s="132">
        <f t="shared" si="47"/>
        <v>8.312085670576236</v>
      </c>
      <c r="L171" s="4" t="s">
        <v>958</v>
      </c>
      <c r="M171" s="104">
        <f>+M169*M164/100</f>
        <v>189</v>
      </c>
    </row>
    <row r="172" spans="2:13">
      <c r="B172" s="122" t="s">
        <v>278</v>
      </c>
      <c r="C172" s="110">
        <f t="shared" si="46"/>
        <v>29.201585136100828</v>
      </c>
      <c r="D172" s="110">
        <f t="shared" si="48"/>
        <v>0.14152447730749618</v>
      </c>
      <c r="E172" s="132">
        <f t="shared" si="49"/>
        <v>100</v>
      </c>
      <c r="F172" s="132">
        <f t="shared" si="47"/>
        <v>100</v>
      </c>
      <c r="L172" s="4" t="s">
        <v>965</v>
      </c>
      <c r="M172" s="4">
        <f>+M165*M164/100</f>
        <v>46.2</v>
      </c>
    </row>
    <row r="173" spans="2:13">
      <c r="L173" s="4" t="s">
        <v>964</v>
      </c>
      <c r="M173" s="4">
        <f>+M172*M168/100</f>
        <v>36.96</v>
      </c>
    </row>
    <row r="174" spans="2:13">
      <c r="B174" s="121" t="s">
        <v>279</v>
      </c>
      <c r="C174" s="121" t="s">
        <v>310</v>
      </c>
      <c r="D174" s="121" t="s">
        <v>273</v>
      </c>
      <c r="E174" s="121" t="s">
        <v>274</v>
      </c>
      <c r="F174" s="121" t="s">
        <v>317</v>
      </c>
    </row>
    <row r="175" spans="2:13">
      <c r="B175" s="122" t="s">
        <v>255</v>
      </c>
      <c r="C175" s="110">
        <f>+G132</f>
        <v>24.938574938574948</v>
      </c>
      <c r="D175" s="110">
        <f>+J132</f>
        <v>3.2149999999999999</v>
      </c>
      <c r="E175" s="132">
        <f>+K132</f>
        <v>13.056094199558107</v>
      </c>
      <c r="F175" s="132">
        <f>+M132</f>
        <v>0.51694721026764112</v>
      </c>
      <c r="L175" s="4" t="s">
        <v>959</v>
      </c>
      <c r="M175" s="4">
        <f>+M173/M171*100</f>
        <v>19.555555555555557</v>
      </c>
    </row>
    <row r="176" spans="2:13">
      <c r="B176" s="122" t="s">
        <v>256</v>
      </c>
      <c r="C176" s="110">
        <f t="shared" ref="C176:C182" si="50">+G133</f>
        <v>34.653465346534638</v>
      </c>
      <c r="D176" s="110">
        <f t="shared" ref="D176:D182" si="51">+J133</f>
        <v>3.2514772727272727</v>
      </c>
      <c r="E176" s="132">
        <f t="shared" ref="E176:E182" si="52">+K133</f>
        <v>20.034001358500355</v>
      </c>
      <c r="F176" s="132">
        <f t="shared" ref="F176:F182" si="53">+M133</f>
        <v>0.78433369833711064</v>
      </c>
      <c r="L176" s="4" t="s">
        <v>961</v>
      </c>
      <c r="M176" s="4">
        <f>+(100-M166)*M164/100</f>
        <v>5670</v>
      </c>
    </row>
    <row r="177" spans="2:13">
      <c r="B177" s="122" t="s">
        <v>257</v>
      </c>
      <c r="C177" s="110">
        <f t="shared" si="50"/>
        <v>13.114754098360649</v>
      </c>
      <c r="D177" s="110">
        <f t="shared" si="51"/>
        <v>3.2568292079207919</v>
      </c>
      <c r="E177" s="132">
        <f t="shared" si="52"/>
        <v>26.321619636887402</v>
      </c>
      <c r="F177" s="132">
        <f t="shared" si="53"/>
        <v>1.0288013445720543</v>
      </c>
      <c r="L177" s="4" t="s">
        <v>962</v>
      </c>
      <c r="M177" s="4">
        <f>+M176*J157/100</f>
        <v>8.2214999999999989</v>
      </c>
    </row>
    <row r="178" spans="2:13">
      <c r="B178" s="122" t="s">
        <v>259</v>
      </c>
      <c r="C178" s="110">
        <f t="shared" si="50"/>
        <v>5.685358255451713</v>
      </c>
      <c r="D178" s="110">
        <f t="shared" si="51"/>
        <v>2.9449123636363637</v>
      </c>
      <c r="E178" s="132">
        <f t="shared" si="52"/>
        <v>32.401963205102049</v>
      </c>
      <c r="F178" s="132">
        <f t="shared" si="53"/>
        <v>1.4005958898876978</v>
      </c>
      <c r="L178" s="4" t="s">
        <v>963</v>
      </c>
      <c r="M178" s="4">
        <f>+M177*K151/100</f>
        <v>1.790059616393763</v>
      </c>
    </row>
    <row r="179" spans="2:13">
      <c r="B179" s="122" t="s">
        <v>261</v>
      </c>
      <c r="C179" s="110">
        <f t="shared" si="50"/>
        <v>1.6605166051660518</v>
      </c>
      <c r="D179" s="110">
        <f t="shared" si="51"/>
        <v>2.7807659495798323</v>
      </c>
      <c r="E179" s="132">
        <f t="shared" si="52"/>
        <v>33.099212588558217</v>
      </c>
      <c r="F179" s="132">
        <f t="shared" si="53"/>
        <v>1.5151900990603275</v>
      </c>
    </row>
    <row r="180" spans="2:13">
      <c r="B180" s="122" t="s">
        <v>280</v>
      </c>
      <c r="C180" s="110">
        <f t="shared" si="50"/>
        <v>1.3700681290708991</v>
      </c>
      <c r="D180" s="110">
        <f t="shared" si="51"/>
        <v>2.2167670179948589</v>
      </c>
      <c r="E180" s="132">
        <f t="shared" si="52"/>
        <v>34.501335620762291</v>
      </c>
      <c r="F180" s="132">
        <f t="shared" si="53"/>
        <v>1.9812065496956888</v>
      </c>
      <c r="L180" s="4" t="s">
        <v>33</v>
      </c>
      <c r="M180" s="104">
        <f>+M176*M161/100</f>
        <v>226.8</v>
      </c>
    </row>
    <row r="181" spans="2:13">
      <c r="B181" s="122" t="s">
        <v>281</v>
      </c>
      <c r="C181" s="110">
        <f t="shared" si="50"/>
        <v>6.1202434446277234</v>
      </c>
      <c r="D181" s="110">
        <f t="shared" si="51"/>
        <v>0.66426646416382262</v>
      </c>
      <c r="E181" s="132">
        <f t="shared" si="52"/>
        <v>38.935540457844091</v>
      </c>
      <c r="F181" s="132">
        <f t="shared" si="53"/>
        <v>7.461356286129007</v>
      </c>
      <c r="M181" s="4">
        <f>+M178/M180*100</f>
        <v>0.78926790846285855</v>
      </c>
    </row>
    <row r="182" spans="2:13">
      <c r="B182" s="122" t="s">
        <v>282</v>
      </c>
      <c r="C182" s="110">
        <f t="shared" si="50"/>
        <v>28.914828606893916</v>
      </c>
      <c r="D182" s="110">
        <f t="shared" si="51"/>
        <v>0.12729574830018592</v>
      </c>
      <c r="E182" s="132">
        <f t="shared" si="52"/>
        <v>100</v>
      </c>
      <c r="F182" s="132">
        <f t="shared" si="53"/>
        <v>100</v>
      </c>
    </row>
    <row r="183" spans="2:13">
      <c r="M183" s="4">
        <f>+M171+M180</f>
        <v>415.8</v>
      </c>
    </row>
    <row r="184" spans="2:13">
      <c r="B184" s="121" t="s">
        <v>288</v>
      </c>
      <c r="C184" s="121" t="s">
        <v>310</v>
      </c>
      <c r="D184" s="121" t="s">
        <v>273</v>
      </c>
      <c r="E184" s="121" t="s">
        <v>274</v>
      </c>
      <c r="F184" s="121" t="s">
        <v>317</v>
      </c>
      <c r="M184" s="4">
        <f>+M173+M178</f>
        <v>38.750059616393763</v>
      </c>
    </row>
    <row r="185" spans="2:13">
      <c r="B185" s="122" t="s">
        <v>255</v>
      </c>
      <c r="C185" s="110">
        <f>+G147</f>
        <v>1.7895151754040204</v>
      </c>
      <c r="D185" s="110">
        <f t="shared" ref="D185:D193" si="54">+J147</f>
        <v>3.5439999999999996</v>
      </c>
      <c r="E185" s="132">
        <f t="shared" ref="E185:E193" si="55">+K147</f>
        <v>1.8653259553277795</v>
      </c>
      <c r="F185" s="132">
        <f>+M147</f>
        <v>7.7072468491960019E-2</v>
      </c>
    </row>
    <row r="186" spans="2:13">
      <c r="B186" s="122" t="s">
        <v>256</v>
      </c>
      <c r="C186" s="110">
        <f t="shared" ref="C186:C193" si="56">+G148</f>
        <v>2.3015972833605836</v>
      </c>
      <c r="D186" s="110">
        <f t="shared" si="54"/>
        <v>3.4964755480607086</v>
      </c>
      <c r="E186" s="132">
        <f t="shared" si="55"/>
        <v>4.8075117205429692</v>
      </c>
      <c r="F186" s="132">
        <f t="shared" ref="F186:F193" si="57">+M148</f>
        <v>0.20133909169926117</v>
      </c>
      <c r="M186" s="4">
        <f>+M184/M183*100</f>
        <v>9.3193986571413578</v>
      </c>
    </row>
    <row r="187" spans="2:13">
      <c r="B187" s="122" t="s">
        <v>257</v>
      </c>
      <c r="C187" s="110">
        <f t="shared" si="56"/>
        <v>3.1763925729442968</v>
      </c>
      <c r="D187" s="110">
        <f t="shared" si="54"/>
        <v>3.6964421641791048</v>
      </c>
      <c r="E187" s="132">
        <f t="shared" si="55"/>
        <v>9.1878493103918082</v>
      </c>
      <c r="F187" s="132">
        <f t="shared" si="57"/>
        <v>0.36397218600608428</v>
      </c>
    </row>
    <row r="188" spans="2:13">
      <c r="B188" s="122" t="s">
        <v>259</v>
      </c>
      <c r="C188" s="110">
        <f t="shared" si="56"/>
        <v>3.4140017286084698</v>
      </c>
      <c r="D188" s="110">
        <f t="shared" si="54"/>
        <v>3.444235230934479</v>
      </c>
      <c r="E188" s="132">
        <f t="shared" si="55"/>
        <v>14.869886183045161</v>
      </c>
      <c r="F188" s="132">
        <f t="shared" si="57"/>
        <v>0.63219795740982176</v>
      </c>
    </row>
    <row r="189" spans="2:13">
      <c r="B189" s="122" t="s">
        <v>261</v>
      </c>
      <c r="C189" s="110">
        <f t="shared" si="56"/>
        <v>2.3485116385497058</v>
      </c>
      <c r="D189" s="110">
        <f t="shared" si="54"/>
        <v>3.1395315947843527</v>
      </c>
      <c r="E189" s="132">
        <f t="shared" si="55"/>
        <v>21.772907819665065</v>
      </c>
      <c r="F189" s="132">
        <f t="shared" si="57"/>
        <v>1.0155231421121251</v>
      </c>
    </row>
    <row r="190" spans="2:13">
      <c r="B190" s="122" t="s">
        <v>283</v>
      </c>
      <c r="C190" s="110">
        <f t="shared" si="56"/>
        <v>8.11599844297392</v>
      </c>
      <c r="D190" s="110">
        <f t="shared" si="54"/>
        <v>1.8359252669039146</v>
      </c>
      <c r="E190" s="132">
        <f t="shared" si="55"/>
        <v>28.708316356952245</v>
      </c>
      <c r="F190" s="132">
        <f t="shared" si="57"/>
        <v>2.2897653194263365</v>
      </c>
    </row>
    <row r="191" spans="2:13">
      <c r="B191" s="122" t="s">
        <v>284</v>
      </c>
      <c r="C191" s="110">
        <f t="shared" si="56"/>
        <v>10.580720535385476</v>
      </c>
      <c r="D191" s="110">
        <f t="shared" si="54"/>
        <v>0.97546484478641549</v>
      </c>
      <c r="E191" s="132">
        <f t="shared" si="55"/>
        <v>34.098314647643605</v>
      </c>
      <c r="F191" s="132">
        <f t="shared" si="57"/>
        <v>5.118698392003477</v>
      </c>
    </row>
    <row r="192" spans="2:13">
      <c r="B192" s="122" t="s">
        <v>285</v>
      </c>
      <c r="C192" s="110">
        <f t="shared" si="56"/>
        <v>13.953859804791479</v>
      </c>
      <c r="D192" s="110">
        <f t="shared" si="54"/>
        <v>0.63378069119669878</v>
      </c>
      <c r="E192" s="132">
        <f t="shared" si="55"/>
        <v>68.373616473246443</v>
      </c>
      <c r="F192" s="132">
        <f t="shared" si="57"/>
        <v>15.797479356801391</v>
      </c>
    </row>
    <row r="193" spans="2:6">
      <c r="B193" s="122" t="s">
        <v>278</v>
      </c>
      <c r="C193" s="110">
        <f t="shared" si="56"/>
        <v>17588.652482269503</v>
      </c>
      <c r="D193" s="110">
        <f t="shared" si="54"/>
        <v>0.1464327602129509</v>
      </c>
      <c r="E193" s="132">
        <f t="shared" si="55"/>
        <v>100</v>
      </c>
      <c r="F193" s="132">
        <f t="shared" si="57"/>
        <v>100</v>
      </c>
    </row>
    <row r="197" spans="2:6" ht="15" thickBot="1"/>
    <row r="198" spans="2:6" ht="15" thickBot="1">
      <c r="B198" s="95"/>
      <c r="C198" s="909" t="s">
        <v>800</v>
      </c>
      <c r="D198" s="918" t="s">
        <v>801</v>
      </c>
    </row>
    <row r="199" spans="2:6">
      <c r="B199" s="848" t="s">
        <v>21</v>
      </c>
      <c r="C199" s="886">
        <f>+AVERAGE('13. Pilotaje Rougher'!$F$20:$F$36)</f>
        <v>0.67582352941176471</v>
      </c>
      <c r="D199" s="885">
        <f>+AVERAGE('13. Pilotaje Rougher'!$F$37:$F$52)</f>
        <v>0.68168749999999989</v>
      </c>
    </row>
    <row r="200" spans="2:6">
      <c r="B200" s="849" t="s">
        <v>22</v>
      </c>
      <c r="C200" s="875">
        <f>+AVERAGE('13. Pilotaje Rougher'!$H$20:$H$36)</f>
        <v>5.1583529411764708</v>
      </c>
      <c r="D200" s="874">
        <f>+AVERAGE('13. Pilotaje Rougher'!$H$37:$H$52)</f>
        <v>3.2132499999999999</v>
      </c>
    </row>
    <row r="201" spans="2:6">
      <c r="B201" s="849" t="s">
        <v>23</v>
      </c>
      <c r="C201" s="875">
        <f>+AVERAGE('13. Pilotaje Rougher'!$G$20:$G$36)</f>
        <v>0.15441176470588236</v>
      </c>
      <c r="D201" s="874">
        <f>+AVERAGE('13. Pilotaje Rougher'!$G$37:$G$52)</f>
        <v>0.13150000000000001</v>
      </c>
    </row>
    <row r="202" spans="2:6">
      <c r="B202" s="849" t="s">
        <v>744</v>
      </c>
      <c r="C202" s="875">
        <f>+'16. Pilotaje Cleaner'!$C$96</f>
        <v>4.6105</v>
      </c>
      <c r="D202" s="874">
        <f>+'16. Pilotaje Cleaner'!$D$96</f>
        <v>2.0637500000000002</v>
      </c>
    </row>
    <row r="203" spans="2:6">
      <c r="B203" s="849" t="s">
        <v>746</v>
      </c>
      <c r="C203" s="875">
        <f>+'16. Pilotaje Cleaner'!$C$97</f>
        <v>21.674999999999997</v>
      </c>
      <c r="D203" s="874">
        <f>+'16. Pilotaje Cleaner'!$D$97</f>
        <v>23.02</v>
      </c>
    </row>
    <row r="204" spans="2:6">
      <c r="B204" s="849" t="s">
        <v>745</v>
      </c>
      <c r="C204" s="875">
        <f>+'16. Pilotaje Cleaner'!$C$98</f>
        <v>2.9889999999999999</v>
      </c>
      <c r="D204" s="874">
        <f>+'16. Pilotaje Cleaner'!$D$98</f>
        <v>1.0582499999999999</v>
      </c>
    </row>
    <row r="205" spans="2:6">
      <c r="B205" s="849" t="s">
        <v>747</v>
      </c>
      <c r="C205" s="875">
        <f>+'16. Pilotaje Cleaner'!$C$99</f>
        <v>3.3</v>
      </c>
      <c r="D205" s="874">
        <f>+'16. Pilotaje Cleaner'!$D$99</f>
        <v>1.72725</v>
      </c>
    </row>
    <row r="206" spans="2:6">
      <c r="B206" s="849" t="s">
        <v>748</v>
      </c>
      <c r="C206" s="875">
        <f>+'16. Pilotaje Cleaner'!$C$100</f>
        <v>5.1739999999999995</v>
      </c>
      <c r="D206" s="874">
        <f>+'16. Pilotaje Cleaner'!$D$100</f>
        <v>4.3807499999999999</v>
      </c>
    </row>
    <row r="207" spans="2:6">
      <c r="B207" s="849" t="s">
        <v>749</v>
      </c>
      <c r="C207" s="875">
        <f>+'16. Pilotaje Cleaner'!$C$101</f>
        <v>16.29</v>
      </c>
      <c r="D207" s="874">
        <f>+'16. Pilotaje Cleaner'!$D$101</f>
        <v>16.465</v>
      </c>
    </row>
    <row r="208" spans="2:6">
      <c r="B208" s="849" t="s">
        <v>750</v>
      </c>
      <c r="C208" s="875">
        <f>+'16. Pilotaje Cleaner'!$C$102</f>
        <v>4.7590000000000003</v>
      </c>
      <c r="D208" s="874">
        <f>+'16. Pilotaje Cleaner'!$D$102</f>
        <v>2.5452500000000002</v>
      </c>
    </row>
    <row r="209" spans="2:8" ht="15" thickBot="1">
      <c r="B209" s="850" t="s">
        <v>751</v>
      </c>
      <c r="C209" s="879">
        <f>+'16. Pilotaje Cleaner'!$C$103</f>
        <v>0.23</v>
      </c>
      <c r="D209" s="878">
        <f>+'16. Pilotaje Cleaner'!$D$103</f>
        <v>0.16175</v>
      </c>
    </row>
    <row r="210" spans="2:8" ht="15" thickBot="1">
      <c r="B210" s="95"/>
      <c r="C210" s="95"/>
      <c r="D210" s="95"/>
    </row>
    <row r="211" spans="2:8">
      <c r="B211" s="846" t="s">
        <v>802</v>
      </c>
      <c r="C211" s="886">
        <f>+J69</f>
        <v>1.0562321625052902</v>
      </c>
      <c r="D211" s="885">
        <f>+J153</f>
        <v>0.97546484478641549</v>
      </c>
    </row>
    <row r="212" spans="2:8" ht="15" thickBot="1">
      <c r="B212" s="706" t="s">
        <v>803</v>
      </c>
      <c r="C212" s="879">
        <f>+J70</f>
        <v>0.15405375695812282</v>
      </c>
      <c r="D212" s="878">
        <f>+J155</f>
        <v>0.1464327602129509</v>
      </c>
    </row>
    <row r="213" spans="2:8">
      <c r="B213" s="95"/>
      <c r="C213" s="95"/>
      <c r="D213" s="95"/>
    </row>
    <row r="214" spans="2:8" ht="15" thickBot="1">
      <c r="B214" s="95"/>
      <c r="C214" s="95"/>
      <c r="D214" s="95"/>
      <c r="F214" s="110"/>
    </row>
    <row r="215" spans="2:8">
      <c r="B215" s="95"/>
      <c r="C215" s="1423" t="s">
        <v>808</v>
      </c>
      <c r="D215" s="1424"/>
    </row>
    <row r="216" spans="2:8" ht="15" thickBot="1">
      <c r="C216" s="1010" t="s">
        <v>800</v>
      </c>
      <c r="D216" s="1011" t="s">
        <v>801</v>
      </c>
    </row>
    <row r="217" spans="2:8">
      <c r="B217" s="848" t="s">
        <v>754</v>
      </c>
      <c r="C217" s="872">
        <f>+AVERAGE('13. Pilotaje Rougher'!$K$20:$K$36)</f>
        <v>79.807493568485683</v>
      </c>
      <c r="D217" s="871">
        <f>+AVERAGE('13. Pilotaje Rougher'!$K$37:$K$52)</f>
        <v>84.376281394866425</v>
      </c>
      <c r="F217" s="110"/>
    </row>
    <row r="218" spans="2:8" ht="15" thickBot="1">
      <c r="B218" s="849" t="s">
        <v>761</v>
      </c>
      <c r="C218" s="875">
        <f>C227</f>
        <v>96.37207316722359</v>
      </c>
      <c r="D218" s="874">
        <f>D227</f>
        <v>93.076699145026922</v>
      </c>
      <c r="G218" s="1012" t="s">
        <v>800</v>
      </c>
      <c r="H218" s="1013" t="s">
        <v>801</v>
      </c>
    </row>
    <row r="219" spans="2:8" ht="15" thickBot="1">
      <c r="B219" s="850" t="s">
        <v>755</v>
      </c>
      <c r="C219" s="879">
        <f>+C218*C217/100</f>
        <v>76.912136094748291</v>
      </c>
      <c r="D219" s="878">
        <f>+D218*D217/100</f>
        <v>78.534657583661144</v>
      </c>
      <c r="F219" s="848" t="s">
        <v>903</v>
      </c>
      <c r="G219" s="983">
        <f>+C226-C223</f>
        <v>5.6032469141804171</v>
      </c>
      <c r="H219" s="984">
        <f>+D226-D223</f>
        <v>5.3274247296408817</v>
      </c>
    </row>
    <row r="220" spans="2:8" ht="15" thickBot="1">
      <c r="B220" s="95"/>
      <c r="C220" s="95"/>
      <c r="D220" s="95"/>
      <c r="F220" s="850" t="s">
        <v>904</v>
      </c>
      <c r="G220" s="980">
        <f>+C228-C219</f>
        <v>5.3999652158741469</v>
      </c>
      <c r="H220" s="910">
        <f>+D228-D219</f>
        <v>4.9585910877856207</v>
      </c>
    </row>
    <row r="221" spans="2:8" ht="15" thickBot="1">
      <c r="C221" s="1423" t="s">
        <v>807</v>
      </c>
      <c r="D221" s="1424"/>
      <c r="F221" s="95"/>
    </row>
    <row r="222" spans="2:8" ht="15" thickBot="1">
      <c r="C222" s="1010" t="s">
        <v>800</v>
      </c>
      <c r="D222" s="1011" t="s">
        <v>801</v>
      </c>
      <c r="F222" s="848" t="s">
        <v>905</v>
      </c>
      <c r="G222" s="983">
        <f>+AVERAGE(C203,C207)</f>
        <v>18.982499999999998</v>
      </c>
      <c r="H222" s="984">
        <f>+AVERAGE(D203,D207)</f>
        <v>19.7425</v>
      </c>
    </row>
    <row r="223" spans="2:8" ht="15" thickBot="1">
      <c r="B223" s="848" t="s">
        <v>754</v>
      </c>
      <c r="C223" s="872">
        <f>+AVERAGE('13. Pilotaje Rougher'!$K$20:$K$36)</f>
        <v>79.807493568485683</v>
      </c>
      <c r="D223" s="871">
        <f>+AVERAGE('13. Pilotaje Rougher'!$K$37:$K$52)</f>
        <v>84.376281394866425</v>
      </c>
      <c r="F223" s="850" t="s">
        <v>906</v>
      </c>
      <c r="G223" s="980">
        <f>+AVERAGE(C203,C207,C211)</f>
        <v>13.007077387501761</v>
      </c>
      <c r="H223" s="910">
        <f>+AVERAGE(D203,D207,D211)</f>
        <v>13.486821614928806</v>
      </c>
    </row>
    <row r="224" spans="2:8">
      <c r="B224" s="849" t="s">
        <v>804</v>
      </c>
      <c r="C224" s="875">
        <f>+K69</f>
        <v>27.749140173284601</v>
      </c>
      <c r="D224" s="874">
        <f>+K153</f>
        <v>34.098314647643605</v>
      </c>
    </row>
    <row r="225" spans="2:8">
      <c r="B225" s="849" t="s">
        <v>805</v>
      </c>
      <c r="C225" s="875">
        <f>+(100-C223)*C224/100</f>
        <v>5.6032469141804162</v>
      </c>
      <c r="D225" s="874">
        <f>+(100-D223)*D224/100</f>
        <v>5.3274247296408808</v>
      </c>
    </row>
    <row r="226" spans="2:8">
      <c r="B226" s="849" t="s">
        <v>806</v>
      </c>
      <c r="C226" s="875">
        <f>+C223+C225</f>
        <v>85.4107404826661</v>
      </c>
      <c r="D226" s="874">
        <f>+D223+D225</f>
        <v>89.703706124507306</v>
      </c>
    </row>
    <row r="227" spans="2:8">
      <c r="B227" s="849" t="s">
        <v>761</v>
      </c>
      <c r="C227" s="875">
        <f>+((C202-C209)/(C207-C209)*100)*(C207/C202)</f>
        <v>96.37207316722359</v>
      </c>
      <c r="D227" s="874">
        <f>+((D202-D209)/(D207-D209)*100)*(D207/D202)</f>
        <v>93.076699145026922</v>
      </c>
    </row>
    <row r="228" spans="2:8" ht="15" thickBot="1">
      <c r="B228" s="850" t="s">
        <v>755</v>
      </c>
      <c r="C228" s="879">
        <f>+C227*C226/100</f>
        <v>82.312101310622438</v>
      </c>
      <c r="D228" s="878">
        <f>+D227*D226/100</f>
        <v>83.493248671446764</v>
      </c>
      <c r="G228" s="1012" t="s">
        <v>800</v>
      </c>
      <c r="H228" s="1013" t="s">
        <v>801</v>
      </c>
    </row>
    <row r="229" spans="2:8">
      <c r="F229" s="848" t="s">
        <v>903</v>
      </c>
      <c r="G229" s="983">
        <f>+C236-C233</f>
        <v>3.7461941779885279</v>
      </c>
      <c r="H229" s="984">
        <f>+D236-D233</f>
        <v>3.4017378498995896</v>
      </c>
    </row>
    <row r="230" spans="2:8" ht="15" thickBot="1">
      <c r="F230" s="850" t="s">
        <v>904</v>
      </c>
      <c r="G230" s="980">
        <f>+C238-C219</f>
        <v>3.6102849941973716</v>
      </c>
      <c r="H230" s="910">
        <f>+D238-D219</f>
        <v>3.1662253042535582</v>
      </c>
    </row>
    <row r="231" spans="2:8" ht="15" thickBot="1">
      <c r="C231" s="1423" t="s">
        <v>807</v>
      </c>
      <c r="D231" s="1424"/>
      <c r="F231" s="95"/>
    </row>
    <row r="232" spans="2:8" ht="15" thickBot="1">
      <c r="C232" s="1010" t="s">
        <v>800</v>
      </c>
      <c r="D232" s="1011" t="s">
        <v>801</v>
      </c>
      <c r="F232" s="848" t="s">
        <v>905</v>
      </c>
      <c r="G232" s="983">
        <f>+AVERAGE(C213,C217)</f>
        <v>79.807493568485683</v>
      </c>
      <c r="H232" s="984">
        <f>+AVERAGE(D213,D217)</f>
        <v>84.376281394866425</v>
      </c>
    </row>
    <row r="233" spans="2:8" ht="15" thickBot="1">
      <c r="B233" s="848" t="s">
        <v>754</v>
      </c>
      <c r="C233" s="872">
        <f>+AVERAGE('13. Pilotaje Rougher'!$K$20:$K$36)</f>
        <v>79.807493568485683</v>
      </c>
      <c r="D233" s="871">
        <f>+AVERAGE('13. Pilotaje Rougher'!$K$37:$K$52)</f>
        <v>84.376281394866425</v>
      </c>
      <c r="F233" s="850" t="s">
        <v>906</v>
      </c>
      <c r="G233" s="980">
        <f>+AVERAGE(C213,C217,C221)</f>
        <v>79.807493568485683</v>
      </c>
      <c r="H233" s="910">
        <f>+AVERAGE(D213,D217,D221)</f>
        <v>84.376281394866425</v>
      </c>
    </row>
    <row r="234" spans="2:8">
      <c r="B234" s="849" t="s">
        <v>804</v>
      </c>
      <c r="C234" s="875">
        <f>+K65</f>
        <v>18.552398092303495</v>
      </c>
      <c r="D234" s="874">
        <f>+K151</f>
        <v>21.772907819665065</v>
      </c>
    </row>
    <row r="235" spans="2:8">
      <c r="B235" s="849" t="s">
        <v>805</v>
      </c>
      <c r="C235" s="875">
        <f>+(100-C233)*C234/100</f>
        <v>3.7461941779885226</v>
      </c>
      <c r="D235" s="874">
        <f>+(100-D233)*D234/100</f>
        <v>3.4017378498995936</v>
      </c>
    </row>
    <row r="236" spans="2:8">
      <c r="B236" s="849" t="s">
        <v>806</v>
      </c>
      <c r="C236" s="875">
        <f>+C233+C235</f>
        <v>83.55368774647421</v>
      </c>
      <c r="D236" s="874">
        <f>+D233+D235</f>
        <v>87.778019244766014</v>
      </c>
    </row>
    <row r="237" spans="2:8">
      <c r="B237" s="849" t="s">
        <v>761</v>
      </c>
      <c r="C237" s="875">
        <f>+C227</f>
        <v>96.37207316722359</v>
      </c>
      <c r="D237" s="874">
        <f>+D227</f>
        <v>93.076699145026922</v>
      </c>
    </row>
    <row r="238" spans="2:8" ht="15" thickBot="1">
      <c r="B238" s="850" t="s">
        <v>755</v>
      </c>
      <c r="C238" s="879">
        <f>+C237*C236/100</f>
        <v>80.522421088945663</v>
      </c>
      <c r="D238" s="878">
        <f>+D237*D236/100</f>
        <v>81.700882887914702</v>
      </c>
    </row>
  </sheetData>
  <mergeCells count="9">
    <mergeCell ref="C231:D231"/>
    <mergeCell ref="B32:P32"/>
    <mergeCell ref="B45:P45"/>
    <mergeCell ref="B60:P60"/>
    <mergeCell ref="C221:D221"/>
    <mergeCell ref="C215:D215"/>
    <mergeCell ref="B117:P117"/>
    <mergeCell ref="B130:P130"/>
    <mergeCell ref="B145:P145"/>
  </mergeCells>
  <conditionalFormatting sqref="B34:B43">
    <cfRule type="cellIs" dxfId="62" priority="15" operator="equal">
      <formula>0</formula>
    </cfRule>
  </conditionalFormatting>
  <conditionalFormatting sqref="B47:B58">
    <cfRule type="cellIs" dxfId="61" priority="14" operator="equal">
      <formula>0</formula>
    </cfRule>
  </conditionalFormatting>
  <conditionalFormatting sqref="B62:B74">
    <cfRule type="cellIs" dxfId="60" priority="13" operator="equal">
      <formula>0</formula>
    </cfRule>
  </conditionalFormatting>
  <conditionalFormatting sqref="B82:B87">
    <cfRule type="cellIs" dxfId="59" priority="11" operator="equal">
      <formula>0</formula>
    </cfRule>
  </conditionalFormatting>
  <conditionalFormatting sqref="B90:B97">
    <cfRule type="cellIs" dxfId="58" priority="10" operator="equal">
      <formula>0</formula>
    </cfRule>
  </conditionalFormatting>
  <conditionalFormatting sqref="B100:B108">
    <cfRule type="cellIs" dxfId="57" priority="9" operator="equal">
      <formula>0</formula>
    </cfRule>
  </conditionalFormatting>
  <conditionalFormatting sqref="B119:B128">
    <cfRule type="cellIs" dxfId="56" priority="6" operator="equal">
      <formula>0</formula>
    </cfRule>
  </conditionalFormatting>
  <conditionalFormatting sqref="B132:B143">
    <cfRule type="cellIs" dxfId="55" priority="5" operator="equal">
      <formula>0</formula>
    </cfRule>
  </conditionalFormatting>
  <conditionalFormatting sqref="B147:B159">
    <cfRule type="cellIs" dxfId="54" priority="4" operator="equal">
      <formula>0</formula>
    </cfRule>
  </conditionalFormatting>
  <conditionalFormatting sqref="B167:B172">
    <cfRule type="cellIs" dxfId="53" priority="3" operator="equal">
      <formula>0</formula>
    </cfRule>
  </conditionalFormatting>
  <conditionalFormatting sqref="B175:B182">
    <cfRule type="cellIs" dxfId="52" priority="2" operator="equal">
      <formula>0</formula>
    </cfRule>
  </conditionalFormatting>
  <conditionalFormatting sqref="B185:B193">
    <cfRule type="cellIs" dxfId="51" priority="1" operator="equal">
      <formula>0</formula>
    </cfRule>
  </conditionalFormatting>
  <conditionalFormatting sqref="B32:D32">
    <cfRule type="expression" dxfId="50" priority="28">
      <formula>#REF!=0</formula>
    </cfRule>
    <cfRule type="cellIs" dxfId="49" priority="29" operator="equal">
      <formula>0</formula>
    </cfRule>
  </conditionalFormatting>
  <conditionalFormatting sqref="B117:D117">
    <cfRule type="expression" dxfId="48" priority="7">
      <formula>#REF!=0</formula>
    </cfRule>
    <cfRule type="cellIs" dxfId="47" priority="8" operator="equal">
      <formula>0</formula>
    </cfRule>
  </conditionalFormatting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C624F-B366-4609-8B8E-173FE81FFA2B}">
  <sheetPr codeName="Hoja23"/>
  <dimension ref="B2:S40"/>
  <sheetViews>
    <sheetView workbookViewId="0"/>
  </sheetViews>
  <sheetFormatPr baseColWidth="10" defaultColWidth="10.7265625" defaultRowHeight="14.5"/>
  <cols>
    <col min="1" max="2" width="10.7265625" style="4"/>
    <col min="3" max="4" width="13.453125" style="4" bestFit="1" customWidth="1"/>
    <col min="5" max="6" width="10.7265625" style="4"/>
    <col min="7" max="7" width="14.453125" style="4" bestFit="1" customWidth="1"/>
    <col min="8" max="8" width="12.26953125" style="4" bestFit="1" customWidth="1"/>
    <col min="9" max="10" width="10.7265625" style="4"/>
    <col min="11" max="11" width="9.453125" style="4" bestFit="1" customWidth="1"/>
    <col min="12" max="12" width="13.54296875" style="4" bestFit="1" customWidth="1"/>
    <col min="13" max="13" width="12" style="4" bestFit="1" customWidth="1"/>
    <col min="14" max="14" width="10.7265625" style="4"/>
    <col min="15" max="15" width="11.7265625" style="4" bestFit="1" customWidth="1"/>
    <col min="16" max="16" width="14" style="4" bestFit="1" customWidth="1"/>
    <col min="17" max="17" width="14" style="4" customWidth="1"/>
    <col min="18" max="16384" width="10.7265625" style="4"/>
  </cols>
  <sheetData>
    <row r="2" spans="2:19" ht="18.5">
      <c r="B2" s="112" t="s">
        <v>318</v>
      </c>
    </row>
    <row r="3" spans="2:19" ht="16">
      <c r="B3" s="94" t="s">
        <v>415</v>
      </c>
    </row>
    <row r="4" spans="2:19" ht="15" thickBot="1"/>
    <row r="5" spans="2:19" ht="16.5" thickBot="1">
      <c r="B5" s="1412" t="s">
        <v>320</v>
      </c>
      <c r="C5" s="1413"/>
      <c r="D5" s="1413"/>
      <c r="E5" s="1413"/>
      <c r="F5" s="1413"/>
      <c r="G5" s="1413"/>
      <c r="H5" s="1413"/>
      <c r="I5" s="1413"/>
      <c r="J5" s="1414"/>
      <c r="K5" s="134" t="s">
        <v>60</v>
      </c>
      <c r="L5" s="135" t="s">
        <v>321</v>
      </c>
      <c r="M5" s="135" t="s">
        <v>322</v>
      </c>
      <c r="N5" s="135" t="s">
        <v>323</v>
      </c>
      <c r="O5" s="136" t="s">
        <v>324</v>
      </c>
      <c r="P5" s="136" t="s">
        <v>325</v>
      </c>
      <c r="Q5" s="137" t="s">
        <v>368</v>
      </c>
    </row>
    <row r="6" spans="2:19" ht="14.65" customHeight="1" thickBot="1">
      <c r="B6" s="1415" t="s">
        <v>326</v>
      </c>
      <c r="C6" s="705" t="s">
        <v>327</v>
      </c>
      <c r="D6" s="705" t="s">
        <v>328</v>
      </c>
      <c r="E6" s="705" t="s">
        <v>329</v>
      </c>
      <c r="F6" s="705" t="s">
        <v>59</v>
      </c>
      <c r="G6" s="705" t="s">
        <v>330</v>
      </c>
      <c r="H6" s="705" t="s">
        <v>331</v>
      </c>
      <c r="I6" s="705" t="s">
        <v>35</v>
      </c>
      <c r="J6" s="705" t="s">
        <v>332</v>
      </c>
      <c r="K6" s="138" t="s">
        <v>333</v>
      </c>
      <c r="L6" s="139" t="s">
        <v>334</v>
      </c>
      <c r="M6" s="139" t="s">
        <v>335</v>
      </c>
      <c r="N6" s="139" t="s">
        <v>336</v>
      </c>
      <c r="O6" s="139" t="s">
        <v>337</v>
      </c>
      <c r="P6" s="139" t="s">
        <v>338</v>
      </c>
      <c r="Q6" s="140" t="s">
        <v>369</v>
      </c>
    </row>
    <row r="7" spans="2:19" ht="16.5" thickBot="1">
      <c r="B7" s="1416"/>
      <c r="C7" s="706" t="s">
        <v>57</v>
      </c>
      <c r="D7" s="706" t="s">
        <v>58</v>
      </c>
      <c r="E7" s="706" t="s">
        <v>57</v>
      </c>
      <c r="F7" s="706" t="s">
        <v>56</v>
      </c>
      <c r="G7" s="706" t="s">
        <v>55</v>
      </c>
      <c r="H7" s="706" t="s">
        <v>174</v>
      </c>
      <c r="I7" s="706"/>
      <c r="J7" s="706"/>
      <c r="K7" s="710" t="s">
        <v>339</v>
      </c>
      <c r="L7" s="711" t="s">
        <v>340</v>
      </c>
      <c r="M7" s="711" t="s">
        <v>58</v>
      </c>
      <c r="N7" s="711" t="s">
        <v>341</v>
      </c>
      <c r="O7" s="711" t="s">
        <v>342</v>
      </c>
      <c r="P7" s="711" t="s">
        <v>343</v>
      </c>
      <c r="Q7" s="712" t="s">
        <v>342</v>
      </c>
      <c r="R7" s="147" t="s">
        <v>367</v>
      </c>
      <c r="S7" s="154" t="s">
        <v>370</v>
      </c>
    </row>
    <row r="8" spans="2:19">
      <c r="B8" s="707" t="s">
        <v>344</v>
      </c>
      <c r="C8" s="713"/>
      <c r="D8" s="714"/>
      <c r="E8" s="714"/>
      <c r="F8" s="714"/>
      <c r="G8" s="714"/>
      <c r="H8" s="714"/>
      <c r="I8" s="714"/>
      <c r="J8" s="714"/>
      <c r="K8" s="151"/>
      <c r="L8" s="152"/>
      <c r="M8" s="152"/>
      <c r="N8" s="152"/>
      <c r="O8" s="152"/>
      <c r="P8" s="152"/>
      <c r="Q8" s="153"/>
      <c r="R8" s="148"/>
      <c r="S8" s="148"/>
    </row>
    <row r="9" spans="2:19">
      <c r="B9" s="708" t="s">
        <v>345</v>
      </c>
      <c r="C9" s="715">
        <v>150</v>
      </c>
      <c r="D9" s="716">
        <v>0.8</v>
      </c>
      <c r="E9" s="716">
        <v>-18</v>
      </c>
      <c r="F9" s="716">
        <v>50</v>
      </c>
      <c r="G9" s="716">
        <v>380</v>
      </c>
      <c r="H9" s="716">
        <v>5</v>
      </c>
      <c r="I9" s="716">
        <v>10.24</v>
      </c>
      <c r="J9" s="716">
        <v>-3.6</v>
      </c>
      <c r="K9" s="141">
        <v>222.22240000000002</v>
      </c>
      <c r="L9" s="142">
        <v>13.243298969072162</v>
      </c>
      <c r="M9" s="142">
        <v>1.1515970798454118</v>
      </c>
      <c r="N9" s="142">
        <v>0.6946874162857295</v>
      </c>
      <c r="O9" s="142">
        <v>1.9325343037084575</v>
      </c>
      <c r="P9" s="142">
        <v>3.775494317297214</v>
      </c>
      <c r="Q9" s="143">
        <v>0.31965087962970457</v>
      </c>
      <c r="R9" s="149">
        <v>8.1651131705594349</v>
      </c>
      <c r="S9" s="149">
        <v>1.6950000000000001</v>
      </c>
    </row>
    <row r="10" spans="2:19">
      <c r="B10" s="708" t="s">
        <v>346</v>
      </c>
      <c r="C10" s="715">
        <v>150</v>
      </c>
      <c r="D10" s="716">
        <v>0.8</v>
      </c>
      <c r="E10" s="716">
        <v>-18</v>
      </c>
      <c r="F10" s="716">
        <v>50</v>
      </c>
      <c r="G10" s="716">
        <v>350</v>
      </c>
      <c r="H10" s="716">
        <v>5</v>
      </c>
      <c r="I10" s="716">
        <v>10.27</v>
      </c>
      <c r="J10" s="716">
        <v>-6.3</v>
      </c>
      <c r="K10" s="141">
        <v>222.22240000000002</v>
      </c>
      <c r="L10" s="142">
        <v>8.8020618556701038</v>
      </c>
      <c r="M10" s="142">
        <v>1.1515970798454118</v>
      </c>
      <c r="N10" s="142">
        <v>0.6946874162857295</v>
      </c>
      <c r="O10" s="142">
        <v>1.9325343037084575</v>
      </c>
      <c r="P10" s="142">
        <v>5.680487233544155</v>
      </c>
      <c r="Q10" s="143">
        <v>0.358273642557981</v>
      </c>
      <c r="R10" s="149">
        <v>13.748879292236483</v>
      </c>
      <c r="S10" s="149">
        <v>1.7145642536475869</v>
      </c>
    </row>
    <row r="11" spans="2:19">
      <c r="B11" s="708" t="s">
        <v>347</v>
      </c>
      <c r="C11" s="715">
        <v>150</v>
      </c>
      <c r="D11" s="716">
        <v>0.7</v>
      </c>
      <c r="E11" s="716">
        <v>-18</v>
      </c>
      <c r="F11" s="716">
        <v>50</v>
      </c>
      <c r="G11" s="716">
        <v>350</v>
      </c>
      <c r="H11" s="716">
        <v>5</v>
      </c>
      <c r="I11" s="716">
        <v>10.210000000000001</v>
      </c>
      <c r="J11" s="716">
        <v>-6.3</v>
      </c>
      <c r="K11" s="141">
        <v>194.44460000000001</v>
      </c>
      <c r="L11" s="142">
        <v>4.8494845360824748</v>
      </c>
      <c r="M11" s="142">
        <v>1.1515970798454118</v>
      </c>
      <c r="N11" s="142">
        <v>0.6078514892500132</v>
      </c>
      <c r="O11" s="142">
        <v>1.6909675157449002</v>
      </c>
      <c r="P11" s="142">
        <v>10.310374149659863</v>
      </c>
      <c r="Q11" s="143">
        <v>0.39264682572116849</v>
      </c>
      <c r="R11" s="149">
        <v>16.530664508379861</v>
      </c>
      <c r="S11" s="149">
        <v>1.6897596596136155</v>
      </c>
    </row>
    <row r="12" spans="2:19">
      <c r="B12" s="708" t="s">
        <v>348</v>
      </c>
      <c r="C12" s="715">
        <v>150</v>
      </c>
      <c r="D12" s="716">
        <v>0.7</v>
      </c>
      <c r="E12" s="716">
        <v>-18</v>
      </c>
      <c r="F12" s="716">
        <v>50</v>
      </c>
      <c r="G12" s="716">
        <v>370</v>
      </c>
      <c r="H12" s="716">
        <v>5</v>
      </c>
      <c r="I12" s="716">
        <v>10.29</v>
      </c>
      <c r="J12" s="716">
        <v>-7.2</v>
      </c>
      <c r="K12" s="141">
        <v>194.44460000000001</v>
      </c>
      <c r="L12" s="142">
        <v>7.7814432989690721</v>
      </c>
      <c r="M12" s="142">
        <v>1.1515970798454118</v>
      </c>
      <c r="N12" s="142">
        <v>0.6078514892500132</v>
      </c>
      <c r="O12" s="142">
        <v>1.6909675157449002</v>
      </c>
      <c r="P12" s="142">
        <v>6.4255431902490727</v>
      </c>
      <c r="Q12" s="143">
        <v>0.36714934713063502</v>
      </c>
      <c r="R12" s="149">
        <v>18.772386030702844</v>
      </c>
      <c r="S12" s="149">
        <v>1.4883002140563684</v>
      </c>
    </row>
    <row r="13" spans="2:19">
      <c r="B13" s="708" t="s">
        <v>349</v>
      </c>
      <c r="C13" s="715">
        <v>150</v>
      </c>
      <c r="D13" s="716">
        <v>0.7</v>
      </c>
      <c r="E13" s="716">
        <v>-18</v>
      </c>
      <c r="F13" s="716">
        <v>0</v>
      </c>
      <c r="G13" s="716">
        <v>500</v>
      </c>
      <c r="H13" s="716">
        <v>5</v>
      </c>
      <c r="I13" s="716">
        <v>10.24</v>
      </c>
      <c r="J13" s="716">
        <v>-7.7</v>
      </c>
      <c r="K13" s="141">
        <v>194.44460000000001</v>
      </c>
      <c r="L13" s="142">
        <v>13.101030927835051</v>
      </c>
      <c r="M13" s="142">
        <v>1.1515970798454118</v>
      </c>
      <c r="N13" s="142">
        <v>0.6078514892500132</v>
      </c>
      <c r="O13" s="142">
        <v>1.6909675157449002</v>
      </c>
      <c r="P13" s="142">
        <v>0</v>
      </c>
      <c r="Q13" s="143">
        <v>-0.1139317714235229</v>
      </c>
      <c r="R13" s="149">
        <v>21.593518641683289</v>
      </c>
      <c r="S13" s="149">
        <v>1.242525504919731</v>
      </c>
    </row>
    <row r="14" spans="2:19">
      <c r="B14" s="708" t="s">
        <v>350</v>
      </c>
      <c r="C14" s="715">
        <v>150</v>
      </c>
      <c r="D14" s="716">
        <v>0.8</v>
      </c>
      <c r="E14" s="716">
        <v>-19</v>
      </c>
      <c r="F14" s="716">
        <v>0</v>
      </c>
      <c r="G14" s="716">
        <v>460</v>
      </c>
      <c r="H14" s="716">
        <v>5</v>
      </c>
      <c r="I14" s="716">
        <v>10.220000000000001</v>
      </c>
      <c r="J14" s="716">
        <v>-6.9</v>
      </c>
      <c r="K14" s="141">
        <v>222.22240000000002</v>
      </c>
      <c r="L14" s="142">
        <v>5.4680412371134022</v>
      </c>
      <c r="M14" s="142">
        <v>1.1550193669736128</v>
      </c>
      <c r="N14" s="142">
        <v>0.69262907867611245</v>
      </c>
      <c r="O14" s="142">
        <v>1.9325343037084575</v>
      </c>
      <c r="P14" s="142">
        <v>0</v>
      </c>
      <c r="Q14" s="143">
        <v>-4.7552259649855641E-2</v>
      </c>
      <c r="R14" s="149">
        <v>22.846569369763092</v>
      </c>
      <c r="S14" s="149">
        <v>1.1796220957249073</v>
      </c>
    </row>
    <row r="15" spans="2:19">
      <c r="B15" s="708" t="s">
        <v>351</v>
      </c>
      <c r="C15" s="715">
        <v>150</v>
      </c>
      <c r="D15" s="716">
        <v>0.8</v>
      </c>
      <c r="E15" s="716">
        <v>-19</v>
      </c>
      <c r="F15" s="716">
        <v>0</v>
      </c>
      <c r="G15" s="716">
        <v>510</v>
      </c>
      <c r="H15" s="716">
        <v>5</v>
      </c>
      <c r="I15" s="716">
        <v>10.210000000000001</v>
      </c>
      <c r="J15" s="716">
        <v>-7</v>
      </c>
      <c r="K15" s="141">
        <v>222.22240000000002</v>
      </c>
      <c r="L15" s="142">
        <v>8.2329896907216487</v>
      </c>
      <c r="M15" s="142">
        <v>1.1550193669736128</v>
      </c>
      <c r="N15" s="142">
        <v>0.69262907867611245</v>
      </c>
      <c r="O15" s="142">
        <v>1.9325343037084575</v>
      </c>
      <c r="P15" s="142">
        <v>0</v>
      </c>
      <c r="Q15" s="143">
        <v>-7.1597350219409342E-2</v>
      </c>
      <c r="R15" s="149">
        <v>23.996535683281188</v>
      </c>
      <c r="S15" s="149">
        <v>1.0730748566254151</v>
      </c>
    </row>
    <row r="16" spans="2:19" ht="15" thickBot="1">
      <c r="B16" s="709" t="s">
        <v>352</v>
      </c>
      <c r="C16" s="717">
        <v>150</v>
      </c>
      <c r="D16" s="718">
        <v>0.7</v>
      </c>
      <c r="E16" s="718">
        <v>-18</v>
      </c>
      <c r="F16" s="718">
        <v>0</v>
      </c>
      <c r="G16" s="718">
        <v>490</v>
      </c>
      <c r="H16" s="718">
        <v>15</v>
      </c>
      <c r="I16" s="718">
        <v>10.199999999999999</v>
      </c>
      <c r="J16" s="718">
        <v>-8.1</v>
      </c>
      <c r="K16" s="144">
        <v>194.44460000000001</v>
      </c>
      <c r="L16" s="145">
        <v>3.8680412371134016</v>
      </c>
      <c r="M16" s="145">
        <v>1.1515970798454118</v>
      </c>
      <c r="N16" s="145">
        <v>0.6078514892500132</v>
      </c>
      <c r="O16" s="145">
        <v>1.6909675157449002</v>
      </c>
      <c r="P16" s="145">
        <v>0</v>
      </c>
      <c r="Q16" s="146">
        <v>-3.3638023794543427E-2</v>
      </c>
      <c r="R16" s="150">
        <v>26.892414394666609</v>
      </c>
      <c r="S16" s="150">
        <v>0.83744571888519981</v>
      </c>
    </row>
    <row r="18" spans="2:13">
      <c r="B18" s="2" t="s">
        <v>353</v>
      </c>
      <c r="C18"/>
      <c r="D18"/>
      <c r="E18"/>
      <c r="F18"/>
      <c r="G18"/>
    </row>
    <row r="19" spans="2:13" ht="15" thickBot="1">
      <c r="B19"/>
      <c r="C19"/>
      <c r="D19"/>
      <c r="E19"/>
      <c r="F19"/>
      <c r="G19"/>
    </row>
    <row r="20" spans="2:13" ht="16">
      <c r="B20" s="722"/>
      <c r="C20" s="723" t="s">
        <v>354</v>
      </c>
      <c r="D20" s="724"/>
      <c r="E20"/>
      <c r="F20" s="1417" t="s">
        <v>365</v>
      </c>
      <c r="G20" s="1418"/>
      <c r="H20"/>
      <c r="I20" s="1417" t="s">
        <v>359</v>
      </c>
      <c r="J20" s="1418"/>
      <c r="K20"/>
      <c r="L20" s="1419" t="s">
        <v>360</v>
      </c>
      <c r="M20" s="1420"/>
    </row>
    <row r="21" spans="2:13" ht="16">
      <c r="B21" s="725" t="s">
        <v>65</v>
      </c>
      <c r="C21" s="726" t="s">
        <v>355</v>
      </c>
      <c r="D21" s="727" t="s">
        <v>356</v>
      </c>
      <c r="E21"/>
      <c r="F21" s="1421"/>
      <c r="G21" s="1422"/>
      <c r="H21"/>
      <c r="I21" s="725" t="s">
        <v>65</v>
      </c>
      <c r="J21" s="727" t="s">
        <v>4</v>
      </c>
      <c r="K21"/>
      <c r="L21" s="1421" t="s">
        <v>361</v>
      </c>
      <c r="M21" s="1422"/>
    </row>
    <row r="22" spans="2:13">
      <c r="B22" s="728" t="s">
        <v>16</v>
      </c>
      <c r="C22" s="729">
        <v>300</v>
      </c>
      <c r="D22" s="730">
        <v>100</v>
      </c>
      <c r="E22"/>
      <c r="F22" s="725" t="s">
        <v>65</v>
      </c>
      <c r="G22" s="727" t="s">
        <v>4</v>
      </c>
      <c r="H22"/>
      <c r="I22" s="732" t="s">
        <v>16</v>
      </c>
      <c r="J22" s="733" t="s">
        <v>362</v>
      </c>
      <c r="K22"/>
      <c r="L22" s="725" t="s">
        <v>65</v>
      </c>
      <c r="M22" s="727" t="s">
        <v>4</v>
      </c>
    </row>
    <row r="23" spans="2:13">
      <c r="B23" s="725" t="s">
        <v>357</v>
      </c>
      <c r="C23" s="726">
        <v>500</v>
      </c>
      <c r="D23" s="727">
        <v>200</v>
      </c>
      <c r="E23"/>
      <c r="F23" s="728" t="s">
        <v>16</v>
      </c>
      <c r="G23" s="730" t="s">
        <v>366</v>
      </c>
      <c r="H23"/>
      <c r="I23" s="725" t="s">
        <v>357</v>
      </c>
      <c r="J23" s="727" t="s">
        <v>363</v>
      </c>
      <c r="K23"/>
      <c r="L23" s="728" t="s">
        <v>16</v>
      </c>
      <c r="M23" s="730" t="s">
        <v>364</v>
      </c>
    </row>
    <row r="24" spans="2:13" ht="15" thickBot="1">
      <c r="B24" s="719" t="s">
        <v>358</v>
      </c>
      <c r="C24" s="720">
        <v>250</v>
      </c>
      <c r="D24" s="721">
        <v>50</v>
      </c>
      <c r="E24"/>
      <c r="F24" s="725" t="s">
        <v>357</v>
      </c>
      <c r="G24" s="731" t="s">
        <v>366</v>
      </c>
      <c r="H24"/>
      <c r="I24" s="719" t="s">
        <v>358</v>
      </c>
      <c r="J24" s="721" t="s">
        <v>362</v>
      </c>
      <c r="K24"/>
      <c r="L24" s="725" t="s">
        <v>357</v>
      </c>
      <c r="M24" s="731" t="s">
        <v>364</v>
      </c>
    </row>
    <row r="25" spans="2:13" ht="15" thickBot="1">
      <c r="B25"/>
      <c r="C25"/>
      <c r="D25"/>
      <c r="E25"/>
      <c r="F25" s="719" t="s">
        <v>358</v>
      </c>
      <c r="G25" s="721" t="s">
        <v>366</v>
      </c>
      <c r="H25"/>
      <c r="I25"/>
      <c r="J25"/>
      <c r="K25"/>
      <c r="L25" s="719" t="s">
        <v>358</v>
      </c>
      <c r="M25" s="721" t="s">
        <v>364</v>
      </c>
    </row>
    <row r="26" spans="2:13">
      <c r="B26"/>
      <c r="C26"/>
      <c r="D26"/>
      <c r="E26"/>
      <c r="F26"/>
      <c r="G26"/>
    </row>
    <row r="27" spans="2:13">
      <c r="D27"/>
      <c r="E27"/>
    </row>
    <row r="28" spans="2:13">
      <c r="D28"/>
      <c r="E28"/>
    </row>
    <row r="29" spans="2:13">
      <c r="D29"/>
      <c r="E29"/>
    </row>
    <row r="30" spans="2:13">
      <c r="D30"/>
      <c r="E30"/>
    </row>
    <row r="31" spans="2:13">
      <c r="D31"/>
      <c r="E31"/>
    </row>
    <row r="32" spans="2:13">
      <c r="B32"/>
      <c r="C32"/>
      <c r="D32"/>
      <c r="E32"/>
    </row>
    <row r="33" spans="2:7">
      <c r="B33"/>
      <c r="C33"/>
      <c r="D33"/>
      <c r="E33"/>
      <c r="F33"/>
      <c r="G33"/>
    </row>
    <row r="40" spans="2:7">
      <c r="B40"/>
      <c r="C40"/>
      <c r="D40"/>
      <c r="E40"/>
      <c r="F40"/>
      <c r="G40"/>
    </row>
  </sheetData>
  <mergeCells count="6">
    <mergeCell ref="B5:J5"/>
    <mergeCell ref="B6:B7"/>
    <mergeCell ref="I20:J20"/>
    <mergeCell ref="L20:M20"/>
    <mergeCell ref="F20:G21"/>
    <mergeCell ref="L21:M21"/>
  </mergeCells>
  <conditionalFormatting sqref="N9:N16">
    <cfRule type="cellIs" dxfId="46" priority="6" operator="lessThan">
      <formula>0.3</formula>
    </cfRule>
    <cfRule type="cellIs" dxfId="45" priority="7" operator="greaterThan">
      <formula>0.9</formula>
    </cfRule>
    <cfRule type="cellIs" dxfId="44" priority="8" operator="between">
      <formula>0.3</formula>
      <formula>0.9</formula>
    </cfRule>
  </conditionalFormatting>
  <conditionalFormatting sqref="O9:O16">
    <cfRule type="cellIs" dxfId="43" priority="1" operator="between">
      <formula>0.8</formula>
      <formula>1</formula>
    </cfRule>
    <cfRule type="cellIs" dxfId="42" priority="2" operator="greaterThan">
      <formula>2</formula>
    </cfRule>
    <cfRule type="cellIs" dxfId="41" priority="3" operator="between">
      <formula>1</formula>
      <formula>2</formula>
    </cfRule>
  </conditionalFormatting>
  <conditionalFormatting sqref="P9:P16">
    <cfRule type="cellIs" dxfId="40" priority="4" operator="lessThan">
      <formula>0.5</formula>
    </cfRule>
    <cfRule type="cellIs" dxfId="39" priority="5" operator="between">
      <formula>0.5</formula>
      <formula>1</formula>
    </cfRule>
  </conditionalFormatting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50D67-8CF3-47B3-8CC6-099E6305964D}">
  <sheetPr codeName="Hoja24"/>
  <dimension ref="B2:P193"/>
  <sheetViews>
    <sheetView topLeftCell="A24" zoomScale="70" zoomScaleNormal="70" workbookViewId="0">
      <selection activeCell="B32" sqref="B32:P32"/>
    </sheetView>
  </sheetViews>
  <sheetFormatPr baseColWidth="10" defaultColWidth="10.7265625" defaultRowHeight="14.5"/>
  <cols>
    <col min="1" max="1" width="10.7265625" style="4"/>
    <col min="2" max="2" width="23.453125" style="4" bestFit="1" customWidth="1"/>
    <col min="3" max="3" width="12.453125" style="4" bestFit="1" customWidth="1"/>
    <col min="4" max="4" width="23.453125" style="4" customWidth="1"/>
    <col min="5" max="5" width="16.26953125" style="4" bestFit="1" customWidth="1"/>
    <col min="6" max="6" width="16.7265625" style="4" bestFit="1" customWidth="1"/>
    <col min="7" max="7" width="7.453125" style="4" bestFit="1" customWidth="1"/>
    <col min="8" max="8" width="20.26953125" style="4" bestFit="1" customWidth="1"/>
    <col min="9" max="9" width="10" style="4" bestFit="1" customWidth="1"/>
    <col min="10" max="10" width="21.26953125" style="4" bestFit="1" customWidth="1"/>
    <col min="11" max="11" width="20.453125" style="4" bestFit="1" customWidth="1"/>
    <col min="12" max="12" width="12.26953125" style="4" bestFit="1" customWidth="1"/>
    <col min="13" max="13" width="23.26953125" style="4" bestFit="1" customWidth="1"/>
    <col min="14" max="14" width="9.7265625" style="4" bestFit="1" customWidth="1"/>
    <col min="15" max="15" width="20.7265625" style="4" bestFit="1" customWidth="1"/>
    <col min="16" max="16" width="20" style="4" bestFit="1" customWidth="1"/>
    <col min="17" max="17" width="10.7265625" style="4"/>
    <col min="18" max="18" width="27.7265625" style="4" bestFit="1" customWidth="1"/>
    <col min="19" max="19" width="19.7265625" style="4" bestFit="1" customWidth="1"/>
    <col min="20" max="20" width="20.26953125" style="4" bestFit="1" customWidth="1"/>
    <col min="21" max="21" width="19.26953125" style="4" bestFit="1" customWidth="1"/>
    <col min="22" max="16384" width="10.7265625" style="4"/>
  </cols>
  <sheetData>
    <row r="2" spans="2:2" ht="18.5">
      <c r="B2" s="112" t="s">
        <v>798</v>
      </c>
    </row>
    <row r="32" spans="2:16">
      <c r="B32" s="1411" t="s">
        <v>721</v>
      </c>
      <c r="C32" s="1411"/>
      <c r="D32" s="1411"/>
      <c r="E32" s="1411"/>
      <c r="F32" s="1411"/>
      <c r="G32" s="1411"/>
      <c r="H32" s="1411"/>
      <c r="I32" s="1411"/>
      <c r="J32" s="1411"/>
      <c r="K32" s="1411"/>
      <c r="L32" s="1411"/>
      <c r="M32" s="1411"/>
      <c r="N32" s="1411"/>
      <c r="O32" s="1411"/>
      <c r="P32" s="1411"/>
    </row>
    <row r="33" spans="2:16">
      <c r="B33" s="121" t="s">
        <v>796</v>
      </c>
      <c r="C33" s="121" t="s">
        <v>308</v>
      </c>
      <c r="D33" s="121" t="s">
        <v>309</v>
      </c>
      <c r="E33" s="121" t="s">
        <v>311</v>
      </c>
      <c r="F33" s="121" t="s">
        <v>312</v>
      </c>
      <c r="G33" s="121" t="s">
        <v>310</v>
      </c>
      <c r="H33" s="121" t="s">
        <v>271</v>
      </c>
      <c r="I33" s="121" t="s">
        <v>272</v>
      </c>
      <c r="J33" s="121" t="s">
        <v>273</v>
      </c>
      <c r="K33" s="121" t="s">
        <v>274</v>
      </c>
      <c r="L33" s="121" t="s">
        <v>316</v>
      </c>
      <c r="M33" s="121" t="s">
        <v>317</v>
      </c>
      <c r="N33" s="121" t="s">
        <v>275</v>
      </c>
      <c r="O33" s="121" t="s">
        <v>276</v>
      </c>
      <c r="P33" s="121" t="s">
        <v>277</v>
      </c>
    </row>
    <row r="34" spans="2:16">
      <c r="B34" s="122" t="s">
        <v>255</v>
      </c>
      <c r="C34" s="98">
        <v>0.5</v>
      </c>
      <c r="D34" s="98">
        <f>+C34</f>
        <v>0.5</v>
      </c>
      <c r="E34" s="111">
        <v>42</v>
      </c>
      <c r="F34" s="111">
        <v>179.59999999999997</v>
      </c>
      <c r="G34" s="114">
        <f>+E34/F34*100</f>
        <v>23.385300668151451</v>
      </c>
      <c r="H34" s="116">
        <f>E34</f>
        <v>42</v>
      </c>
      <c r="I34" s="800">
        <v>14.59</v>
      </c>
      <c r="J34" s="115">
        <f>SUMPRODUCT(E34,I34)/H34</f>
        <v>14.59</v>
      </c>
      <c r="K34" s="116">
        <f t="shared" ref="K34:K39" si="0">SUMPRODUCT(H34,J34)/SUMPRODUCT($H$39,$J$39)*100</f>
        <v>13.434693158080286</v>
      </c>
      <c r="L34" s="125">
        <f t="shared" ref="L34:L39" si="1">E34/$E$40*100</f>
        <v>4.2756795276392143</v>
      </c>
      <c r="M34" s="125">
        <f>+L34</f>
        <v>4.2756795276392143</v>
      </c>
      <c r="N34" s="800">
        <v>13.8</v>
      </c>
      <c r="O34" s="115">
        <f>SUMPRODUCT(E34,N34)/H34</f>
        <v>13.8</v>
      </c>
      <c r="P34" s="116">
        <f t="shared" ref="P34:P39" si="2">SUMPRODUCT(H34,O34)/SUMPRODUCT($H$39,$O$39)*100</f>
        <v>8.4371773827747667</v>
      </c>
    </row>
    <row r="35" spans="2:16">
      <c r="B35" s="122" t="s">
        <v>256</v>
      </c>
      <c r="C35" s="98">
        <v>1</v>
      </c>
      <c r="D35" s="98">
        <f>+D34+C35</f>
        <v>1.5</v>
      </c>
      <c r="E35" s="111">
        <v>28.6</v>
      </c>
      <c r="F35" s="111">
        <v>89.199999999999989</v>
      </c>
      <c r="G35" s="114">
        <f t="shared" ref="G35:G40" si="3">+E35/F35*100</f>
        <v>32.062780269058301</v>
      </c>
      <c r="H35" s="116">
        <f>H34+E35</f>
        <v>70.599999999999994</v>
      </c>
      <c r="I35" s="800">
        <v>18.760000000000002</v>
      </c>
      <c r="J35" s="115">
        <f>SUMPRODUCT(E34:E35,I34:I35)/H35</f>
        <v>16.279263456090654</v>
      </c>
      <c r="K35" s="116">
        <f t="shared" si="0"/>
        <v>25.197799865648683</v>
      </c>
      <c r="L35" s="125">
        <f t="shared" si="1"/>
        <v>2.9115341545352744</v>
      </c>
      <c r="M35" s="125">
        <f>+M34+L35</f>
        <v>7.1872136821744892</v>
      </c>
      <c r="N35" s="800">
        <v>17.3</v>
      </c>
      <c r="O35" s="115">
        <f>SUMPRODUCT(E34:E35,N34:N35)/H35</f>
        <v>15.217847025495754</v>
      </c>
      <c r="P35" s="116">
        <f t="shared" si="2"/>
        <v>15.639638779340157</v>
      </c>
    </row>
    <row r="36" spans="2:16">
      <c r="B36" s="122" t="s">
        <v>257</v>
      </c>
      <c r="C36" s="98">
        <v>2</v>
      </c>
      <c r="D36" s="98">
        <f>+D35+C36</f>
        <v>3.5</v>
      </c>
      <c r="E36" s="111">
        <v>61.4</v>
      </c>
      <c r="F36" s="111">
        <v>145.60000000000002</v>
      </c>
      <c r="G36" s="114">
        <f t="shared" si="3"/>
        <v>42.170329670329664</v>
      </c>
      <c r="H36" s="116">
        <f>H35+E36</f>
        <v>132</v>
      </c>
      <c r="I36" s="800">
        <v>19.75</v>
      </c>
      <c r="J36" s="115">
        <f>SUMPRODUCT(E34:E36,I34:I36)/H36</f>
        <v>17.893681818181818</v>
      </c>
      <c r="K36" s="116">
        <f t="shared" si="0"/>
        <v>51.784145141516134</v>
      </c>
      <c r="L36" s="125">
        <f t="shared" si="1"/>
        <v>6.2506362618344706</v>
      </c>
      <c r="M36" s="125">
        <f>+M35+L36</f>
        <v>13.43784994400896</v>
      </c>
      <c r="N36" s="800">
        <v>18</v>
      </c>
      <c r="O36" s="115">
        <f>SUMPRODUCT(E34:E36,N34:N36)/H36</f>
        <v>16.511969696969697</v>
      </c>
      <c r="P36" s="116">
        <f t="shared" si="2"/>
        <v>31.727921117923092</v>
      </c>
    </row>
    <row r="37" spans="2:16">
      <c r="B37" s="122" t="s">
        <v>259</v>
      </c>
      <c r="C37" s="98">
        <v>8</v>
      </c>
      <c r="D37" s="98">
        <f>+D36+C37</f>
        <v>11.5</v>
      </c>
      <c r="E37" s="111">
        <v>117</v>
      </c>
      <c r="F37" s="111">
        <v>640.9</v>
      </c>
      <c r="G37" s="114">
        <f t="shared" si="3"/>
        <v>18.255578093306287</v>
      </c>
      <c r="H37" s="116">
        <f>H36+E37</f>
        <v>249</v>
      </c>
      <c r="I37" s="800">
        <v>15.61</v>
      </c>
      <c r="J37" s="115">
        <f>SUMPRODUCT(E34:E37,I34:I37)/H37</f>
        <v>16.820626506024094</v>
      </c>
      <c r="K37" s="116">
        <f t="shared" si="0"/>
        <v>91.825792295671121</v>
      </c>
      <c r="L37" s="125">
        <f t="shared" si="1"/>
        <v>11.910821541280669</v>
      </c>
      <c r="M37" s="125">
        <f>+M36+L37</f>
        <v>25.348671485289628</v>
      </c>
      <c r="N37" s="800">
        <v>16.2</v>
      </c>
      <c r="O37" s="115">
        <f>SUMPRODUCT(E34:E37,N34:N37)/H37</f>
        <v>16.365381526104414</v>
      </c>
      <c r="P37" s="116">
        <f t="shared" si="2"/>
        <v>59.319063304450502</v>
      </c>
    </row>
    <row r="38" spans="2:16">
      <c r="B38" s="122" t="s">
        <v>261</v>
      </c>
      <c r="C38" s="98">
        <v>16</v>
      </c>
      <c r="D38" s="98">
        <f>+D37+C38</f>
        <v>27.5</v>
      </c>
      <c r="E38" s="111">
        <v>50.9</v>
      </c>
      <c r="F38" s="111">
        <v>518.9</v>
      </c>
      <c r="G38" s="114">
        <f t="shared" si="3"/>
        <v>9.8092117941799959</v>
      </c>
      <c r="H38" s="116">
        <f>H37+E38</f>
        <v>299.89999999999998</v>
      </c>
      <c r="I38" s="801">
        <v>3.008</v>
      </c>
      <c r="J38" s="130">
        <f>SUMPRODUCT(E34:E38,I34:I38)/H38</f>
        <v>14.476302767589196</v>
      </c>
      <c r="K38" s="131">
        <f t="shared" si="0"/>
        <v>95.182540643027153</v>
      </c>
      <c r="L38" s="125">
        <f t="shared" si="1"/>
        <v>5.1817163799246666</v>
      </c>
      <c r="M38" s="125">
        <f>+M37+L38</f>
        <v>30.530387865214294</v>
      </c>
      <c r="N38" s="801">
        <v>6.64</v>
      </c>
      <c r="O38" s="115">
        <f>SUMPRODUCT(E34:E38,N34:N38)/H38</f>
        <v>14.714758252750915</v>
      </c>
      <c r="P38" s="116">
        <f t="shared" si="2"/>
        <v>64.238945055866452</v>
      </c>
    </row>
    <row r="39" spans="2:16">
      <c r="B39" s="122" t="s">
        <v>278</v>
      </c>
      <c r="E39" s="111">
        <v>682.4</v>
      </c>
      <c r="F39" s="111">
        <v>4736.8</v>
      </c>
      <c r="G39" s="114">
        <f t="shared" si="3"/>
        <v>14.406350278669141</v>
      </c>
      <c r="H39" s="116">
        <f>H38+E39</f>
        <v>982.3</v>
      </c>
      <c r="I39" s="801">
        <v>0.32200000000000001</v>
      </c>
      <c r="J39" s="115">
        <f>SUMPRODUCT(E34:E39,I34:I39)/H39</f>
        <v>4.6433635345617423</v>
      </c>
      <c r="K39" s="116">
        <f t="shared" si="0"/>
        <v>100</v>
      </c>
      <c r="L39" s="125">
        <f t="shared" si="1"/>
        <v>69.469612134785706</v>
      </c>
      <c r="M39" s="125">
        <f>+M38+L39</f>
        <v>100</v>
      </c>
      <c r="N39" s="801">
        <v>3.6</v>
      </c>
      <c r="O39" s="115">
        <f>SUMPRODUCT(E34:E39,N34:N39)/H39</f>
        <v>6.9933788048457703</v>
      </c>
      <c r="P39" s="116">
        <f t="shared" si="2"/>
        <v>100</v>
      </c>
    </row>
    <row r="40" spans="2:16">
      <c r="B40" s="123" t="s">
        <v>32</v>
      </c>
      <c r="E40" s="116">
        <f>+SUM(E34:E39)</f>
        <v>982.3</v>
      </c>
      <c r="F40" s="116">
        <f>+SUM(F34:F39)</f>
        <v>6311</v>
      </c>
      <c r="G40" s="114">
        <f t="shared" si="3"/>
        <v>15.56488670575186</v>
      </c>
    </row>
    <row r="41" spans="2:16">
      <c r="B41" s="124" t="s">
        <v>292</v>
      </c>
      <c r="J41" s="800">
        <v>4.7359999999999998</v>
      </c>
      <c r="N41" s="800">
        <v>6.64</v>
      </c>
    </row>
    <row r="42" spans="2:16">
      <c r="B42" s="124" t="s">
        <v>53</v>
      </c>
      <c r="J42" s="114">
        <f>+SUMPRODUCT(I34:I39,E34:E39)/SUM(E34:E39)</f>
        <v>4.6433635345617423</v>
      </c>
    </row>
    <row r="43" spans="2:16">
      <c r="B43" s="124" t="s">
        <v>51</v>
      </c>
      <c r="J43" s="118">
        <f>+(J41-J42)/J41</f>
        <v>1.9560064492875302E-2</v>
      </c>
    </row>
    <row r="45" spans="2:16">
      <c r="B45" s="1411" t="s">
        <v>721</v>
      </c>
      <c r="C45" s="1411"/>
      <c r="D45" s="1411"/>
      <c r="E45" s="1411"/>
      <c r="F45" s="1411"/>
      <c r="G45" s="1411"/>
      <c r="H45" s="1411"/>
      <c r="I45" s="1411"/>
      <c r="J45" s="1411"/>
      <c r="K45" s="1411"/>
      <c r="L45" s="1411"/>
      <c r="M45" s="1411"/>
      <c r="N45" s="1411"/>
      <c r="O45" s="1411"/>
      <c r="P45" s="1411"/>
    </row>
    <row r="46" spans="2:16">
      <c r="B46" s="121" t="s">
        <v>762</v>
      </c>
      <c r="C46" s="121" t="s">
        <v>308</v>
      </c>
      <c r="D46" s="121" t="s">
        <v>309</v>
      </c>
      <c r="E46" s="121" t="s">
        <v>311</v>
      </c>
      <c r="F46" s="121" t="s">
        <v>312</v>
      </c>
      <c r="G46" s="121" t="s">
        <v>310</v>
      </c>
      <c r="H46" s="121" t="s">
        <v>271</v>
      </c>
      <c r="I46" s="121" t="s">
        <v>272</v>
      </c>
      <c r="J46" s="121" t="s">
        <v>273</v>
      </c>
      <c r="K46" s="121" t="s">
        <v>274</v>
      </c>
      <c r="L46" s="121" t="s">
        <v>316</v>
      </c>
      <c r="M46" s="121" t="s">
        <v>317</v>
      </c>
      <c r="N46" s="121" t="s">
        <v>275</v>
      </c>
      <c r="O46" s="121" t="s">
        <v>276</v>
      </c>
      <c r="P46" s="121" t="s">
        <v>277</v>
      </c>
    </row>
    <row r="47" spans="2:16">
      <c r="B47" s="122" t="s">
        <v>255</v>
      </c>
      <c r="C47" s="98">
        <f>+D47</f>
        <v>0.5</v>
      </c>
      <c r="D47" s="98">
        <v>0.5</v>
      </c>
      <c r="E47" s="111">
        <v>40.4</v>
      </c>
      <c r="F47" s="111">
        <v>91.399999999999977</v>
      </c>
      <c r="G47" s="114">
        <f>+E47/F47*100</f>
        <v>44.201312910284472</v>
      </c>
      <c r="H47" s="116">
        <f>E47</f>
        <v>40.4</v>
      </c>
      <c r="I47" s="800">
        <v>25.82</v>
      </c>
      <c r="J47" s="115">
        <f>SUMPRODUCT(E47,I47)/H47</f>
        <v>25.82</v>
      </c>
      <c r="K47" s="116">
        <f>SUMPRODUCT(H47,J47)/SUMPRODUCT($H$54,$J$54)*100</f>
        <v>21.749093958025767</v>
      </c>
      <c r="L47" s="125">
        <f>E47/$E$55*100</f>
        <v>3.8842418998173258</v>
      </c>
      <c r="M47" s="125">
        <f>+L47</f>
        <v>3.8842418998173258</v>
      </c>
      <c r="N47" s="800">
        <v>24.7</v>
      </c>
      <c r="O47" s="115">
        <f>SUMPRODUCT(E47,N47)/H47</f>
        <v>24.7</v>
      </c>
      <c r="P47" s="116">
        <f>SUMPRODUCT(H47,O47)/SUMPRODUCT($H$54,$O$54)*100</f>
        <v>9.308382376124392</v>
      </c>
    </row>
    <row r="48" spans="2:16">
      <c r="B48" s="122" t="s">
        <v>256</v>
      </c>
      <c r="C48" s="98">
        <f>+D48-D47</f>
        <v>0.5</v>
      </c>
      <c r="D48" s="98">
        <v>1</v>
      </c>
      <c r="E48" s="111">
        <v>21.1</v>
      </c>
      <c r="F48" s="111">
        <v>48.300000000000011</v>
      </c>
      <c r="G48" s="114">
        <f t="shared" ref="G48:G55" si="4">+E48/F48*100</f>
        <v>43.685300207039326</v>
      </c>
      <c r="H48" s="116">
        <f t="shared" ref="H48:H54" si="5">H47+E48</f>
        <v>61.5</v>
      </c>
      <c r="I48" s="800">
        <v>25.61</v>
      </c>
      <c r="J48" s="115">
        <f>SUMPRODUCT(E47:E48,I47:I48)/H48</f>
        <v>25.747951219512192</v>
      </c>
      <c r="K48" s="116">
        <f t="shared" ref="K48:K54" si="6">SUMPRODUCT(H48,J48)/SUMPRODUCT($H$54,$J$54)*100</f>
        <v>33.015764636209397</v>
      </c>
      <c r="L48" s="125">
        <f t="shared" ref="L48:L53" si="7">E48/$E$55*100</f>
        <v>2.028651091241227</v>
      </c>
      <c r="M48" s="125">
        <f t="shared" ref="M48:M54" si="8">+M47+L48</f>
        <v>5.9128929910585528</v>
      </c>
      <c r="N48" s="800">
        <v>23.6</v>
      </c>
      <c r="O48" s="115">
        <f>SUMPRODUCT(E47:E48,N47:N48)/H48</f>
        <v>24.322601626016258</v>
      </c>
      <c r="P48" s="116">
        <f t="shared" ref="P48:P54" si="9">SUMPRODUCT(H48,O48)/SUMPRODUCT($H$54,$O$54)*100</f>
        <v>13.953431969276778</v>
      </c>
    </row>
    <row r="49" spans="2:16">
      <c r="B49" s="122" t="s">
        <v>257</v>
      </c>
      <c r="C49" s="98">
        <f t="shared" ref="C49:C51" si="10">+D49-D48</f>
        <v>1</v>
      </c>
      <c r="D49" s="98">
        <v>2</v>
      </c>
      <c r="E49" s="111">
        <v>44.7</v>
      </c>
      <c r="F49" s="111">
        <v>93.800000000000011</v>
      </c>
      <c r="G49" s="114">
        <f t="shared" si="4"/>
        <v>47.654584221748394</v>
      </c>
      <c r="H49" s="116">
        <f t="shared" si="5"/>
        <v>106.2</v>
      </c>
      <c r="I49" s="800">
        <v>24.4</v>
      </c>
      <c r="J49" s="130">
        <f>SUMPRODUCT(E47:E49,I47:I49)/H49</f>
        <v>25.180593220338984</v>
      </c>
      <c r="K49" s="131">
        <f t="shared" si="6"/>
        <v>55.756312103192883</v>
      </c>
      <c r="L49" s="1014">
        <f t="shared" si="7"/>
        <v>4.2976636861840216</v>
      </c>
      <c r="M49" s="1014">
        <f t="shared" si="8"/>
        <v>10.210556677242575</v>
      </c>
      <c r="N49" s="800">
        <v>24.2</v>
      </c>
      <c r="O49" s="115">
        <f>SUMPRODUCT(E47:E49,N47:N49)/H49</f>
        <v>24.270998116760826</v>
      </c>
      <c r="P49" s="116">
        <f t="shared" si="9"/>
        <v>24.044073681254975</v>
      </c>
    </row>
    <row r="50" spans="2:16">
      <c r="B50" s="122" t="s">
        <v>259</v>
      </c>
      <c r="C50" s="98">
        <f t="shared" si="10"/>
        <v>4</v>
      </c>
      <c r="D50" s="98">
        <v>6</v>
      </c>
      <c r="E50" s="111">
        <v>57.3</v>
      </c>
      <c r="F50" s="111">
        <v>211.79999999999995</v>
      </c>
      <c r="G50" s="114">
        <f t="shared" si="4"/>
        <v>27.053824362606239</v>
      </c>
      <c r="H50" s="116">
        <f t="shared" si="5"/>
        <v>163.5</v>
      </c>
      <c r="I50" s="801">
        <v>22.92</v>
      </c>
      <c r="J50" s="115">
        <f>SUMPRODUCT(E47:E50,I47:I50)/H50</f>
        <v>24.388348623853211</v>
      </c>
      <c r="K50" s="116">
        <f t="shared" si="6"/>
        <v>83.138793525011266</v>
      </c>
      <c r="L50" s="125">
        <f t="shared" si="7"/>
        <v>5.5090856648399198</v>
      </c>
      <c r="M50" s="125">
        <f t="shared" si="8"/>
        <v>15.719642342082494</v>
      </c>
      <c r="N50" s="801">
        <v>22.9</v>
      </c>
      <c r="O50" s="115">
        <f>SUMPRODUCT(E47:E50,N47:N50)/H50</f>
        <v>23.790519877675841</v>
      </c>
      <c r="P50" s="116">
        <f t="shared" si="9"/>
        <v>36.284202857587943</v>
      </c>
    </row>
    <row r="51" spans="2:16">
      <c r="B51" s="122" t="s">
        <v>261</v>
      </c>
      <c r="C51" s="98">
        <f t="shared" si="10"/>
        <v>4</v>
      </c>
      <c r="D51" s="98">
        <v>10</v>
      </c>
      <c r="E51" s="111">
        <v>12.8</v>
      </c>
      <c r="F51" s="111">
        <v>164.79999999999995</v>
      </c>
      <c r="G51" s="114">
        <f t="shared" si="4"/>
        <v>7.7669902912621378</v>
      </c>
      <c r="H51" s="116">
        <f>H50+E51</f>
        <v>176.3</v>
      </c>
      <c r="I51" s="801">
        <v>18.440000000000001</v>
      </c>
      <c r="J51" s="115">
        <f>SUMPRODUCT(E47:E51,I47:I51)/H51</f>
        <v>23.956477595008508</v>
      </c>
      <c r="K51" s="116">
        <f t="shared" si="6"/>
        <v>88.06003247660756</v>
      </c>
      <c r="L51" s="125">
        <f t="shared" si="7"/>
        <v>1.2306508989520242</v>
      </c>
      <c r="M51" s="125">
        <f t="shared" si="8"/>
        <v>16.950293241034519</v>
      </c>
      <c r="N51" s="801">
        <v>18.3</v>
      </c>
      <c r="O51" s="115">
        <f>SUMPRODUCT(E47:E51,N47:N51)/H51</f>
        <v>23.391888825864999</v>
      </c>
      <c r="P51" s="116">
        <f t="shared" si="9"/>
        <v>38.469230604194124</v>
      </c>
    </row>
    <row r="52" spans="2:16">
      <c r="B52" s="122" t="s">
        <v>280</v>
      </c>
      <c r="C52" s="98"/>
      <c r="E52" s="111">
        <v>14.4</v>
      </c>
      <c r="F52" s="111">
        <v>2440.6</v>
      </c>
      <c r="G52" s="114">
        <f t="shared" si="4"/>
        <v>0.59001884782430547</v>
      </c>
      <c r="H52" s="116">
        <f>H51+E52</f>
        <v>190.70000000000002</v>
      </c>
      <c r="I52" s="800">
        <v>7.75</v>
      </c>
      <c r="J52" s="115">
        <f>SUMPRODUCT(E47:E52,I47:I52)/H52</f>
        <v>22.732705820660723</v>
      </c>
      <c r="K52" s="116">
        <f t="shared" si="6"/>
        <v>90.386879120275154</v>
      </c>
      <c r="L52" s="125">
        <f t="shared" si="7"/>
        <v>1.384482261321027</v>
      </c>
      <c r="M52" s="125">
        <f t="shared" si="8"/>
        <v>18.334775502355544</v>
      </c>
      <c r="N52" s="800">
        <v>3.9</v>
      </c>
      <c r="O52" s="115">
        <f>SUMPRODUCT(E47:E52,N47:N52)/H52</f>
        <v>21.920031463030934</v>
      </c>
      <c r="P52" s="116">
        <f t="shared" si="9"/>
        <v>38.993099961474705</v>
      </c>
    </row>
    <row r="53" spans="2:16">
      <c r="B53" s="122" t="s">
        <v>281</v>
      </c>
      <c r="C53" s="98">
        <v>14</v>
      </c>
      <c r="E53" s="111">
        <v>100</v>
      </c>
      <c r="F53" s="111">
        <v>3310.5</v>
      </c>
      <c r="G53" s="114">
        <f t="shared" si="4"/>
        <v>3.0206917384080954</v>
      </c>
      <c r="H53" s="116">
        <f t="shared" si="5"/>
        <v>290.70000000000005</v>
      </c>
      <c r="I53" s="800">
        <v>1.6579999999999999</v>
      </c>
      <c r="J53" s="115">
        <f>SUMPRODUCT(E47:E53,I47:I53)/H53</f>
        <v>15.483065015479875</v>
      </c>
      <c r="K53" s="116">
        <f t="shared" si="6"/>
        <v>93.843789277265159</v>
      </c>
      <c r="L53" s="125">
        <f t="shared" si="7"/>
        <v>9.6144601480626868</v>
      </c>
      <c r="M53" s="125">
        <f t="shared" si="8"/>
        <v>27.949235650418231</v>
      </c>
      <c r="N53" s="800">
        <v>3.95</v>
      </c>
      <c r="O53" s="115">
        <f>SUMPRODUCT(E47:E53,N47:N53)/H53</f>
        <v>15.738390092879254</v>
      </c>
      <c r="P53" s="116">
        <f t="shared" si="9"/>
        <v>42.677722399612691</v>
      </c>
    </row>
    <row r="54" spans="2:16">
      <c r="B54" s="122" t="s">
        <v>282</v>
      </c>
      <c r="C54" s="98">
        <v>16</v>
      </c>
      <c r="E54" s="111">
        <v>749.4</v>
      </c>
      <c r="F54" s="111">
        <v>5243.9</v>
      </c>
      <c r="G54" s="114">
        <f t="shared" si="4"/>
        <v>14.290890367855985</v>
      </c>
      <c r="H54" s="116">
        <f t="shared" si="5"/>
        <v>1040.0999999999999</v>
      </c>
      <c r="I54" s="800">
        <v>0.39400000000000002</v>
      </c>
      <c r="J54" s="115">
        <f>SUMPRODUCT(E47:E54,I47:I54)/H54</f>
        <v>4.6112783386212879</v>
      </c>
      <c r="K54" s="116">
        <f t="shared" si="6"/>
        <v>100</v>
      </c>
      <c r="L54" s="125">
        <f>E54/$E$55*100</f>
        <v>72.050764349581769</v>
      </c>
      <c r="M54" s="125">
        <f t="shared" si="8"/>
        <v>100</v>
      </c>
      <c r="N54" s="800">
        <v>8.1999999999999993</v>
      </c>
      <c r="O54" s="115">
        <f>SUMPRODUCT(E47:E54,N47:N54)/H54</f>
        <v>10.306922411306605</v>
      </c>
      <c r="P54" s="116">
        <f t="shared" si="9"/>
        <v>100</v>
      </c>
    </row>
    <row r="55" spans="2:16">
      <c r="B55" s="123" t="s">
        <v>32</v>
      </c>
      <c r="E55" s="111">
        <f>+SUM(E47:E54)</f>
        <v>1040.0999999999999</v>
      </c>
      <c r="F55" s="111">
        <f>+SUM(F47:F54)</f>
        <v>11605.099999999999</v>
      </c>
      <c r="G55" s="114">
        <f t="shared" si="4"/>
        <v>8.9624389277128174</v>
      </c>
      <c r="J55" s="118"/>
    </row>
    <row r="56" spans="2:16" ht="12" customHeight="1">
      <c r="B56" s="124" t="s">
        <v>292</v>
      </c>
      <c r="J56" s="114">
        <v>4.7359999999999998</v>
      </c>
    </row>
    <row r="57" spans="2:16">
      <c r="B57" s="124" t="s">
        <v>53</v>
      </c>
      <c r="J57" s="114">
        <f>+SUMPRODUCT(I47:I54,E47:E54)/SUM(E47:E54)</f>
        <v>4.6112783386212879</v>
      </c>
    </row>
    <row r="58" spans="2:16">
      <c r="B58" s="124" t="s">
        <v>51</v>
      </c>
      <c r="J58" s="118">
        <f>+(J56-J57)/J56</f>
        <v>2.6334810257329366E-2</v>
      </c>
    </row>
    <row r="66" spans="2:6">
      <c r="B66" s="121" t="s">
        <v>270</v>
      </c>
      <c r="C66" s="121" t="s">
        <v>310</v>
      </c>
      <c r="D66" s="121" t="s">
        <v>273</v>
      </c>
      <c r="E66" s="121" t="s">
        <v>274</v>
      </c>
      <c r="F66" s="121" t="s">
        <v>317</v>
      </c>
    </row>
    <row r="67" spans="2:6">
      <c r="B67" s="122" t="s">
        <v>255</v>
      </c>
      <c r="C67" s="110">
        <f t="shared" ref="C67:C72" si="11">+G34</f>
        <v>23.385300668151451</v>
      </c>
      <c r="D67" s="110">
        <f t="shared" ref="D67:E72" si="12">+J34</f>
        <v>14.59</v>
      </c>
      <c r="E67" s="132">
        <f t="shared" si="12"/>
        <v>13.434693158080286</v>
      </c>
      <c r="F67" s="132">
        <f t="shared" ref="F67:F72" si="13">+M34</f>
        <v>4.2756795276392143</v>
      </c>
    </row>
    <row r="68" spans="2:6">
      <c r="B68" s="122" t="s">
        <v>256</v>
      </c>
      <c r="C68" s="110">
        <f t="shared" si="11"/>
        <v>32.062780269058301</v>
      </c>
      <c r="D68" s="110">
        <f t="shared" si="12"/>
        <v>16.279263456090654</v>
      </c>
      <c r="E68" s="132">
        <f t="shared" si="12"/>
        <v>25.197799865648683</v>
      </c>
      <c r="F68" s="132">
        <f t="shared" si="13"/>
        <v>7.1872136821744892</v>
      </c>
    </row>
    <row r="69" spans="2:6">
      <c r="B69" s="122" t="s">
        <v>257</v>
      </c>
      <c r="C69" s="110">
        <f t="shared" si="11"/>
        <v>42.170329670329664</v>
      </c>
      <c r="D69" s="110">
        <f t="shared" si="12"/>
        <v>17.893681818181818</v>
      </c>
      <c r="E69" s="132">
        <f t="shared" si="12"/>
        <v>51.784145141516134</v>
      </c>
      <c r="F69" s="132">
        <f t="shared" si="13"/>
        <v>13.43784994400896</v>
      </c>
    </row>
    <row r="70" spans="2:6">
      <c r="B70" s="122" t="s">
        <v>259</v>
      </c>
      <c r="C70" s="110">
        <f t="shared" si="11"/>
        <v>18.255578093306287</v>
      </c>
      <c r="D70" s="110">
        <f t="shared" si="12"/>
        <v>16.820626506024094</v>
      </c>
      <c r="E70" s="132">
        <f t="shared" si="12"/>
        <v>91.825792295671121</v>
      </c>
      <c r="F70" s="132">
        <f t="shared" si="13"/>
        <v>25.348671485289628</v>
      </c>
    </row>
    <row r="71" spans="2:6">
      <c r="B71" s="122" t="s">
        <v>261</v>
      </c>
      <c r="C71" s="110">
        <f t="shared" si="11"/>
        <v>9.8092117941799959</v>
      </c>
      <c r="D71" s="110">
        <f t="shared" si="12"/>
        <v>14.476302767589196</v>
      </c>
      <c r="E71" s="132">
        <f t="shared" si="12"/>
        <v>95.182540643027153</v>
      </c>
      <c r="F71" s="132">
        <f t="shared" si="13"/>
        <v>30.530387865214294</v>
      </c>
    </row>
    <row r="72" spans="2:6">
      <c r="B72" s="122" t="s">
        <v>278</v>
      </c>
      <c r="C72" s="110">
        <f t="shared" si="11"/>
        <v>14.406350278669141</v>
      </c>
      <c r="D72" s="110">
        <f t="shared" si="12"/>
        <v>4.6433635345617423</v>
      </c>
      <c r="E72" s="132">
        <f t="shared" si="12"/>
        <v>100</v>
      </c>
      <c r="F72" s="132">
        <f t="shared" si="13"/>
        <v>100</v>
      </c>
    </row>
    <row r="74" spans="2:6">
      <c r="B74" s="121" t="s">
        <v>279</v>
      </c>
      <c r="C74" s="121" t="s">
        <v>310</v>
      </c>
      <c r="D74" s="121" t="s">
        <v>273</v>
      </c>
      <c r="E74" s="121" t="s">
        <v>274</v>
      </c>
      <c r="F74" s="121" t="s">
        <v>317</v>
      </c>
    </row>
    <row r="75" spans="2:6">
      <c r="B75" s="122" t="s">
        <v>255</v>
      </c>
      <c r="C75" s="110">
        <f t="shared" ref="C75:C82" si="14">+G47</f>
        <v>44.201312910284472</v>
      </c>
      <c r="D75" s="110">
        <f t="shared" ref="D75:E82" si="15">+J47</f>
        <v>25.82</v>
      </c>
      <c r="E75" s="132">
        <f t="shared" si="15"/>
        <v>21.749093958025767</v>
      </c>
      <c r="F75" s="132">
        <f t="shared" ref="F75:F82" si="16">+M47</f>
        <v>3.8842418998173258</v>
      </c>
    </row>
    <row r="76" spans="2:6">
      <c r="B76" s="122" t="s">
        <v>256</v>
      </c>
      <c r="C76" s="110">
        <f t="shared" si="14"/>
        <v>43.685300207039326</v>
      </c>
      <c r="D76" s="110">
        <f t="shared" si="15"/>
        <v>25.747951219512192</v>
      </c>
      <c r="E76" s="132">
        <f t="shared" si="15"/>
        <v>33.015764636209397</v>
      </c>
      <c r="F76" s="132">
        <f t="shared" si="16"/>
        <v>5.9128929910585528</v>
      </c>
    </row>
    <row r="77" spans="2:6">
      <c r="B77" s="122" t="s">
        <v>257</v>
      </c>
      <c r="C77" s="110">
        <f t="shared" si="14"/>
        <v>47.654584221748394</v>
      </c>
      <c r="D77" s="110">
        <f t="shared" si="15"/>
        <v>25.180593220338984</v>
      </c>
      <c r="E77" s="132">
        <f t="shared" si="15"/>
        <v>55.756312103192883</v>
      </c>
      <c r="F77" s="132">
        <f t="shared" si="16"/>
        <v>10.210556677242575</v>
      </c>
    </row>
    <row r="78" spans="2:6">
      <c r="B78" s="122" t="s">
        <v>259</v>
      </c>
      <c r="C78" s="110">
        <f t="shared" si="14"/>
        <v>27.053824362606239</v>
      </c>
      <c r="D78" s="110">
        <f t="shared" si="15"/>
        <v>24.388348623853211</v>
      </c>
      <c r="E78" s="132">
        <f t="shared" si="15"/>
        <v>83.138793525011266</v>
      </c>
      <c r="F78" s="132">
        <f t="shared" si="16"/>
        <v>15.719642342082494</v>
      </c>
    </row>
    <row r="79" spans="2:6">
      <c r="B79" s="122" t="s">
        <v>261</v>
      </c>
      <c r="C79" s="110">
        <f t="shared" si="14"/>
        <v>7.7669902912621378</v>
      </c>
      <c r="D79" s="110">
        <f t="shared" si="15"/>
        <v>23.956477595008508</v>
      </c>
      <c r="E79" s="132">
        <f t="shared" si="15"/>
        <v>88.06003247660756</v>
      </c>
      <c r="F79" s="132">
        <f t="shared" si="16"/>
        <v>16.950293241034519</v>
      </c>
    </row>
    <row r="80" spans="2:6">
      <c r="B80" s="122" t="s">
        <v>280</v>
      </c>
      <c r="C80" s="110">
        <f t="shared" si="14"/>
        <v>0.59001884782430547</v>
      </c>
      <c r="D80" s="110">
        <f t="shared" si="15"/>
        <v>22.732705820660723</v>
      </c>
      <c r="E80" s="132">
        <f t="shared" si="15"/>
        <v>90.386879120275154</v>
      </c>
      <c r="F80" s="132">
        <f t="shared" si="16"/>
        <v>18.334775502355544</v>
      </c>
    </row>
    <row r="81" spans="2:16">
      <c r="B81" s="122" t="s">
        <v>281</v>
      </c>
      <c r="C81" s="110">
        <f t="shared" si="14"/>
        <v>3.0206917384080954</v>
      </c>
      <c r="D81" s="110">
        <f t="shared" si="15"/>
        <v>15.483065015479875</v>
      </c>
      <c r="E81" s="132">
        <f t="shared" si="15"/>
        <v>93.843789277265159</v>
      </c>
      <c r="F81" s="132">
        <f t="shared" si="16"/>
        <v>27.949235650418231</v>
      </c>
    </row>
    <row r="82" spans="2:16">
      <c r="B82" s="122" t="s">
        <v>282</v>
      </c>
      <c r="C82" s="110">
        <f t="shared" si="14"/>
        <v>14.290890367855985</v>
      </c>
      <c r="D82" s="110">
        <f t="shared" si="15"/>
        <v>4.6112783386212879</v>
      </c>
      <c r="E82" s="132">
        <f t="shared" si="15"/>
        <v>100</v>
      </c>
      <c r="F82" s="132">
        <f t="shared" si="16"/>
        <v>100</v>
      </c>
    </row>
    <row r="85" spans="2:16" ht="18.5">
      <c r="B85" s="112" t="s">
        <v>428</v>
      </c>
    </row>
    <row r="87" spans="2:16">
      <c r="B87" s="1411" t="s">
        <v>799</v>
      </c>
      <c r="C87" s="1411"/>
      <c r="D87" s="1411"/>
      <c r="E87" s="1411"/>
      <c r="F87" s="1411"/>
      <c r="G87" s="1411"/>
      <c r="H87" s="1411"/>
      <c r="I87" s="1411"/>
      <c r="J87" s="1411"/>
      <c r="K87" s="1411"/>
      <c r="L87" s="1411"/>
      <c r="M87" s="1411"/>
      <c r="N87" s="1411"/>
      <c r="O87" s="1411"/>
      <c r="P87" s="1411"/>
    </row>
    <row r="88" spans="2:16">
      <c r="B88" s="121" t="s">
        <v>827</v>
      </c>
      <c r="C88" s="121" t="s">
        <v>308</v>
      </c>
      <c r="D88" s="121" t="s">
        <v>309</v>
      </c>
      <c r="E88" s="121" t="s">
        <v>311</v>
      </c>
      <c r="F88" s="121" t="s">
        <v>312</v>
      </c>
      <c r="G88" s="121" t="s">
        <v>310</v>
      </c>
      <c r="H88" s="121" t="s">
        <v>271</v>
      </c>
      <c r="I88" s="121" t="s">
        <v>272</v>
      </c>
      <c r="J88" s="121" t="s">
        <v>273</v>
      </c>
      <c r="K88" s="121" t="s">
        <v>274</v>
      </c>
      <c r="L88" s="121" t="s">
        <v>316</v>
      </c>
      <c r="M88" s="121" t="s">
        <v>317</v>
      </c>
      <c r="N88" s="121" t="s">
        <v>275</v>
      </c>
      <c r="O88" s="121" t="s">
        <v>276</v>
      </c>
      <c r="P88" s="121" t="s">
        <v>277</v>
      </c>
    </row>
    <row r="89" spans="2:16">
      <c r="B89" s="122" t="s">
        <v>255</v>
      </c>
      <c r="C89" s="98">
        <v>0.5</v>
      </c>
      <c r="D89" s="98">
        <f>+C89</f>
        <v>0.5</v>
      </c>
      <c r="E89" s="115">
        <v>26.7</v>
      </c>
      <c r="F89" s="111">
        <v>88.5</v>
      </c>
      <c r="G89" s="114">
        <f>+E89/F89*100</f>
        <v>30.16949152542373</v>
      </c>
      <c r="H89" s="111">
        <f>E89</f>
        <v>26.7</v>
      </c>
      <c r="I89" s="908">
        <v>26.53</v>
      </c>
      <c r="J89" s="115">
        <f>SUMPRODUCT(E89,I89)/H89</f>
        <v>26.53</v>
      </c>
      <c r="K89" s="116">
        <f>SUMPRODUCT(H89,J89)/SUMPRODUCT($H$94,$J$94)*100</f>
        <v>39.11319547647021</v>
      </c>
      <c r="L89" s="125">
        <f>E89/$E$95*100</f>
        <v>3.2064368920379489</v>
      </c>
      <c r="M89" s="125">
        <f>+L89</f>
        <v>3.2064368920379489</v>
      </c>
      <c r="N89" s="907">
        <v>21.4</v>
      </c>
      <c r="O89" s="115">
        <f>SUMPRODUCT(E89,N89)/H89</f>
        <v>21.400000000000002</v>
      </c>
      <c r="P89" s="116">
        <f>SUMPRODUCT(H89,O89)/SUMPRODUCT($H$94,$O$94)*100</f>
        <v>14.289883713689132</v>
      </c>
    </row>
    <row r="90" spans="2:16">
      <c r="B90" s="122" t="s">
        <v>256</v>
      </c>
      <c r="C90" s="98">
        <v>1</v>
      </c>
      <c r="D90" s="98">
        <f>+D89+C90</f>
        <v>1.5</v>
      </c>
      <c r="E90" s="115">
        <v>10.3</v>
      </c>
      <c r="F90" s="111">
        <v>41.100000000000023</v>
      </c>
      <c r="G90" s="114">
        <f t="shared" ref="G90:G95" si="17">+E90/F90*100</f>
        <v>25.060827250608259</v>
      </c>
      <c r="H90" s="111">
        <f>H89+E90</f>
        <v>37</v>
      </c>
      <c r="I90" s="908">
        <v>24.92</v>
      </c>
      <c r="J90" s="115">
        <f>SUMPRODUCT(E89:E90,I89:I90)/H90</f>
        <v>26.081810810810811</v>
      </c>
      <c r="K90" s="116">
        <f t="shared" ref="K90:K94" si="18">SUMPRODUCT(H90,J90)/SUMPRODUCT($H$94,$J$94)*100</f>
        <v>53.286138780169182</v>
      </c>
      <c r="L90" s="125">
        <f t="shared" ref="L90:L94" si="19">E90/$E$95*100</f>
        <v>1.2369400744565873</v>
      </c>
      <c r="M90" s="125">
        <f>+M89+L90</f>
        <v>4.4433769664945366</v>
      </c>
      <c r="N90" s="907">
        <v>22.1</v>
      </c>
      <c r="O90" s="115">
        <f>SUMPRODUCT(E89:E90,N89:N90)/H90</f>
        <v>21.594864864864864</v>
      </c>
      <c r="P90" s="116">
        <f t="shared" ref="P90:P94" si="20">SUMPRODUCT(H90,O90)/SUMPRODUCT($H$94,$O$94)*100</f>
        <v>19.982778511804327</v>
      </c>
    </row>
    <row r="91" spans="2:16">
      <c r="B91" s="122" t="s">
        <v>257</v>
      </c>
      <c r="C91" s="98">
        <v>2</v>
      </c>
      <c r="D91" s="98">
        <f>+D90+C91</f>
        <v>3.5</v>
      </c>
      <c r="E91" s="115">
        <v>15.1</v>
      </c>
      <c r="F91" s="111">
        <v>76.799999999999955</v>
      </c>
      <c r="G91" s="114">
        <f t="shared" si="17"/>
        <v>19.661458333333346</v>
      </c>
      <c r="H91" s="111">
        <f>H90+E91</f>
        <v>52.1</v>
      </c>
      <c r="I91" s="908">
        <v>20.39</v>
      </c>
      <c r="J91" s="115">
        <f>SUMPRODUCT(E89:E91,I89:I91)/H91</f>
        <v>24.4321689059501</v>
      </c>
      <c r="K91" s="116">
        <f t="shared" si="18"/>
        <v>70.286923196447177</v>
      </c>
      <c r="L91" s="125">
        <f t="shared" si="19"/>
        <v>1.8133781674072296</v>
      </c>
      <c r="M91" s="125">
        <f>+M90+L91</f>
        <v>6.2567551339017662</v>
      </c>
      <c r="N91" s="907">
        <v>20.9</v>
      </c>
      <c r="O91" s="115">
        <f>SUMPRODUCT(E89:E91,N89:N91)/H91</f>
        <v>21.393474088291743</v>
      </c>
      <c r="P91" s="116">
        <f t="shared" si="20"/>
        <v>27.875502095414451</v>
      </c>
    </row>
    <row r="92" spans="2:16">
      <c r="B92" s="122" t="s">
        <v>259</v>
      </c>
      <c r="C92" s="98">
        <v>8</v>
      </c>
      <c r="D92" s="98">
        <f>+D91+C92</f>
        <v>11.5</v>
      </c>
      <c r="E92" s="115">
        <v>52.9</v>
      </c>
      <c r="F92" s="111">
        <v>512.6</v>
      </c>
      <c r="G92" s="114">
        <f t="shared" si="17"/>
        <v>10.319937573156457</v>
      </c>
      <c r="H92" s="111">
        <f>H91+E92</f>
        <v>105</v>
      </c>
      <c r="I92" s="907">
        <v>7.58</v>
      </c>
      <c r="J92" s="115">
        <f>SUMPRODUCT(E89:E92,I89:I92)/H92</f>
        <v>15.941885714285716</v>
      </c>
      <c r="K92" s="116">
        <f t="shared" si="18"/>
        <v>92.428047227536254</v>
      </c>
      <c r="L92" s="125">
        <f t="shared" si="19"/>
        <v>6.3528281493935399</v>
      </c>
      <c r="M92" s="125">
        <f>+M91+L92</f>
        <v>12.609583283295306</v>
      </c>
      <c r="N92" s="907">
        <v>14.5</v>
      </c>
      <c r="O92" s="115">
        <f>SUMPRODUCT(E89:E92,N89:N92)/H92</f>
        <v>17.92047619047619</v>
      </c>
      <c r="P92" s="116">
        <f t="shared" si="20"/>
        <v>47.058979470515524</v>
      </c>
    </row>
    <row r="93" spans="2:16">
      <c r="B93" s="122" t="s">
        <v>261</v>
      </c>
      <c r="C93" s="98">
        <v>16</v>
      </c>
      <c r="D93" s="98">
        <f>+D92+C93</f>
        <v>27.5</v>
      </c>
      <c r="E93" s="115">
        <v>45.9</v>
      </c>
      <c r="F93" s="111">
        <v>745.80000000000007</v>
      </c>
      <c r="G93" s="114">
        <f t="shared" si="17"/>
        <v>6.1544650040225255</v>
      </c>
      <c r="H93" s="111">
        <f>H92+E93</f>
        <v>150.9</v>
      </c>
      <c r="I93" s="907">
        <v>1.012</v>
      </c>
      <c r="J93" s="130">
        <f>SUMPRODUCT(E89:E93,I89:I93)/H93</f>
        <v>11.400588469184891</v>
      </c>
      <c r="K93" s="116">
        <f t="shared" si="18"/>
        <v>94.992932743951741</v>
      </c>
      <c r="L93" s="125">
        <f t="shared" si="19"/>
        <v>5.5121892638405185</v>
      </c>
      <c r="M93" s="125">
        <f>+M92+L93</f>
        <v>18.121772547135826</v>
      </c>
      <c r="N93" s="907">
        <v>5.27</v>
      </c>
      <c r="O93" s="115">
        <f>SUMPRODUCT(E89:E93,N89:N93)/H93</f>
        <v>14.072518223989395</v>
      </c>
      <c r="P93" s="116">
        <f t="shared" si="20"/>
        <v>53.10858365889348</v>
      </c>
    </row>
    <row r="94" spans="2:16">
      <c r="B94" s="122" t="s">
        <v>278</v>
      </c>
      <c r="E94" s="115">
        <v>681.8</v>
      </c>
      <c r="F94" s="111">
        <v>5263.8</v>
      </c>
      <c r="G94" s="114">
        <f t="shared" si="17"/>
        <v>12.952619780386792</v>
      </c>
      <c r="H94" s="111">
        <f>H93+E94</f>
        <v>832.69999999999993</v>
      </c>
      <c r="I94" s="907">
        <v>0.13300000000000001</v>
      </c>
      <c r="J94" s="115">
        <f>SUMPRODUCT(E89:E94,I89:I94)/H94</f>
        <v>2.1748867539329897</v>
      </c>
      <c r="K94" s="116">
        <f t="shared" si="18"/>
        <v>100</v>
      </c>
      <c r="L94" s="125">
        <f t="shared" si="19"/>
        <v>81.878227452864181</v>
      </c>
      <c r="M94" s="125">
        <f>+M93+L94</f>
        <v>100</v>
      </c>
      <c r="N94" s="907">
        <v>2.75</v>
      </c>
      <c r="O94" s="115">
        <f>SUMPRODUCT(E89:E94,N89:N94)/H94</f>
        <v>4.8018409991593609</v>
      </c>
      <c r="P94" s="116">
        <f t="shared" si="20"/>
        <v>100</v>
      </c>
    </row>
    <row r="95" spans="2:16">
      <c r="B95" s="123" t="s">
        <v>32</v>
      </c>
      <c r="E95" s="115">
        <f>+SUM(E89:E94)</f>
        <v>832.69999999999993</v>
      </c>
      <c r="F95" s="111">
        <f>+SUM(F89:F94)</f>
        <v>6728.6</v>
      </c>
      <c r="G95" s="114">
        <f t="shared" si="17"/>
        <v>12.375531314092083</v>
      </c>
    </row>
    <row r="96" spans="2:16">
      <c r="B96" s="124" t="s">
        <v>292</v>
      </c>
      <c r="J96" s="908">
        <v>2.254</v>
      </c>
    </row>
    <row r="97" spans="2:16">
      <c r="B97" s="124" t="s">
        <v>53</v>
      </c>
      <c r="J97" s="114">
        <f>+SUMPRODUCT(I89:I94,E89:E94)/SUM(E89:E94)</f>
        <v>2.1748867539329897</v>
      </c>
    </row>
    <row r="98" spans="2:16">
      <c r="B98" s="124" t="s">
        <v>51</v>
      </c>
      <c r="J98" s="118">
        <f>+(J96-J97)/J96</f>
        <v>3.5099044395301822E-2</v>
      </c>
    </row>
    <row r="100" spans="2:16">
      <c r="B100" s="1411" t="s">
        <v>799</v>
      </c>
      <c r="C100" s="1411"/>
      <c r="D100" s="1411"/>
      <c r="E100" s="1411"/>
      <c r="F100" s="1411"/>
      <c r="G100" s="1411"/>
      <c r="H100" s="1411"/>
      <c r="I100" s="1411"/>
      <c r="J100" s="1411"/>
      <c r="K100" s="1411"/>
      <c r="L100" s="1411"/>
      <c r="M100" s="1411"/>
      <c r="N100" s="1411"/>
      <c r="O100" s="1411"/>
      <c r="P100" s="1411"/>
    </row>
    <row r="101" spans="2:16">
      <c r="B101" s="121" t="s">
        <v>762</v>
      </c>
      <c r="C101" s="121" t="s">
        <v>308</v>
      </c>
      <c r="D101" s="121" t="s">
        <v>309</v>
      </c>
      <c r="E101" s="121" t="s">
        <v>311</v>
      </c>
      <c r="F101" s="121" t="s">
        <v>312</v>
      </c>
      <c r="G101" s="121" t="s">
        <v>310</v>
      </c>
      <c r="H101" s="121" t="s">
        <v>271</v>
      </c>
      <c r="I101" s="121" t="s">
        <v>272</v>
      </c>
      <c r="J101" s="121" t="s">
        <v>273</v>
      </c>
      <c r="K101" s="121" t="s">
        <v>274</v>
      </c>
      <c r="L101" s="121" t="s">
        <v>316</v>
      </c>
      <c r="M101" s="121" t="s">
        <v>317</v>
      </c>
      <c r="N101" s="121" t="s">
        <v>275</v>
      </c>
      <c r="O101" s="121" t="s">
        <v>276</v>
      </c>
      <c r="P101" s="121" t="s">
        <v>277</v>
      </c>
    </row>
    <row r="102" spans="2:16">
      <c r="B102" s="122" t="s">
        <v>255</v>
      </c>
      <c r="C102" s="98">
        <f>+D102</f>
        <v>0.5</v>
      </c>
      <c r="D102" s="98">
        <v>0.5</v>
      </c>
      <c r="E102" s="111">
        <v>29.6</v>
      </c>
      <c r="F102" s="111">
        <v>87.899999999999977</v>
      </c>
      <c r="G102" s="114">
        <f>+E102/F102*100</f>
        <v>33.674630261660987</v>
      </c>
      <c r="H102" s="111">
        <f>E102</f>
        <v>29.6</v>
      </c>
      <c r="I102" s="907">
        <v>25.28</v>
      </c>
      <c r="J102" s="115">
        <f>SUMPRODUCT(E102,I102)/H102</f>
        <v>25.280000000000005</v>
      </c>
      <c r="K102" s="116">
        <f>SUMPRODUCT(H102,J102)/SUMPRODUCT($H$109,$J$109)*100</f>
        <v>41.131562095473157</v>
      </c>
      <c r="L102" s="125">
        <f>E102/$E$110*100</f>
        <v>3.5296923443834971</v>
      </c>
      <c r="M102" s="125">
        <f>+L102</f>
        <v>3.5296923443834971</v>
      </c>
      <c r="N102" s="907">
        <v>22.8</v>
      </c>
      <c r="O102" s="115">
        <f>SUMPRODUCT(E102,N102)/H102</f>
        <v>22.800000000000004</v>
      </c>
      <c r="P102" s="116">
        <f>SUMPRODUCT(H102,O102)/SUMPRODUCT($H$89,$O$89)*100</f>
        <v>118.11403969337395</v>
      </c>
    </row>
    <row r="103" spans="2:16">
      <c r="B103" s="122" t="s">
        <v>256</v>
      </c>
      <c r="C103" s="98">
        <f>+D103-D102</f>
        <v>0.5</v>
      </c>
      <c r="D103" s="98">
        <v>1</v>
      </c>
      <c r="E103" s="111">
        <v>12.5</v>
      </c>
      <c r="F103" s="111">
        <v>45.5</v>
      </c>
      <c r="G103" s="114">
        <f t="shared" ref="G103:G110" si="21">+E103/F103*100</f>
        <v>27.472527472527474</v>
      </c>
      <c r="H103" s="111">
        <f t="shared" ref="H103:H109" si="22">H102+E103</f>
        <v>42.1</v>
      </c>
      <c r="I103" s="907">
        <v>24.75</v>
      </c>
      <c r="J103" s="115">
        <f>SUMPRODUCT(E102:E103,I102:I103)/H103</f>
        <v>25.122636579572447</v>
      </c>
      <c r="K103" s="116">
        <f t="shared" ref="K103:K109" si="23">SUMPRODUCT(H103,J103)/SUMPRODUCT($H$109,$J$109)*100</f>
        <v>58.137149547479602</v>
      </c>
      <c r="L103" s="125">
        <f t="shared" ref="L103:L109" si="24">E103/$E$110*100</f>
        <v>1.4905795373241117</v>
      </c>
      <c r="M103" s="125">
        <f t="shared" ref="M103:M109" si="25">+M102+L103</f>
        <v>5.0202718817076093</v>
      </c>
      <c r="N103" s="907">
        <v>22.3</v>
      </c>
      <c r="O103" s="115">
        <f>SUMPRODUCT(E102:E103,N102:N103)/H103</f>
        <v>22.651543942992877</v>
      </c>
      <c r="P103" s="116">
        <f t="shared" ref="P103:P109" si="26">SUMPRODUCT(H103,O103)/SUMPRODUCT($H$89,$O$89)*100</f>
        <v>166.89943645209846</v>
      </c>
    </row>
    <row r="104" spans="2:16">
      <c r="B104" s="122" t="s">
        <v>257</v>
      </c>
      <c r="C104" s="98">
        <f t="shared" ref="C104:C106" si="27">+D104-D103</f>
        <v>1</v>
      </c>
      <c r="D104" s="98">
        <v>2</v>
      </c>
      <c r="E104" s="111">
        <v>11.8</v>
      </c>
      <c r="F104" s="111">
        <v>73.899999999999977</v>
      </c>
      <c r="G104" s="114">
        <f t="shared" si="21"/>
        <v>15.967523680649531</v>
      </c>
      <c r="H104" s="111">
        <f t="shared" si="22"/>
        <v>53.900000000000006</v>
      </c>
      <c r="I104" s="907">
        <v>23.85</v>
      </c>
      <c r="J104" s="115">
        <f>SUMPRODUCT(E102:E104,I102:I104)/H104</f>
        <v>24.844025974025971</v>
      </c>
      <c r="K104" s="116">
        <f t="shared" si="23"/>
        <v>73.606668663821182</v>
      </c>
      <c r="L104" s="125">
        <f t="shared" si="24"/>
        <v>1.4071070832339616</v>
      </c>
      <c r="M104" s="125">
        <f t="shared" si="25"/>
        <v>6.4273789649415711</v>
      </c>
      <c r="N104" s="907">
        <v>22.1</v>
      </c>
      <c r="O104" s="115">
        <f>SUMPRODUCT(E102:E104,N102:N104)/H104</f>
        <v>22.530797773654914</v>
      </c>
      <c r="P104" s="116">
        <f t="shared" si="26"/>
        <v>212.53981588435019</v>
      </c>
    </row>
    <row r="105" spans="2:16">
      <c r="B105" s="122" t="s">
        <v>259</v>
      </c>
      <c r="C105" s="98">
        <f t="shared" si="27"/>
        <v>4</v>
      </c>
      <c r="D105" s="98">
        <v>6</v>
      </c>
      <c r="E105" s="111">
        <v>8.1</v>
      </c>
      <c r="F105" s="111">
        <v>146</v>
      </c>
      <c r="G105" s="114">
        <f t="shared" si="21"/>
        <v>5.5479452054794516</v>
      </c>
      <c r="H105" s="111">
        <f t="shared" si="22"/>
        <v>62.000000000000007</v>
      </c>
      <c r="I105" s="907">
        <v>23.25</v>
      </c>
      <c r="J105" s="115">
        <f>SUMPRODUCT(E102:E105,I102:I105)/H105</f>
        <v>24.635774193548386</v>
      </c>
      <c r="K105" s="116">
        <f t="shared" si="23"/>
        <v>83.958433534606215</v>
      </c>
      <c r="L105" s="125">
        <f t="shared" si="24"/>
        <v>0.9658955401860243</v>
      </c>
      <c r="M105" s="125">
        <f t="shared" si="25"/>
        <v>7.3932745051275957</v>
      </c>
      <c r="N105" s="907">
        <v>20.6</v>
      </c>
      <c r="O105" s="115">
        <f>SUMPRODUCT(E102:E105,N102:N105)/H105</f>
        <v>22.278548387096773</v>
      </c>
      <c r="P105" s="116">
        <f t="shared" si="26"/>
        <v>241.74279813784173</v>
      </c>
    </row>
    <row r="106" spans="2:16">
      <c r="B106" s="122" t="s">
        <v>261</v>
      </c>
      <c r="C106" s="98">
        <f t="shared" si="27"/>
        <v>4</v>
      </c>
      <c r="D106" s="98">
        <v>10</v>
      </c>
      <c r="E106" s="111">
        <v>1.5</v>
      </c>
      <c r="F106" s="111">
        <v>148.90000000000003</v>
      </c>
      <c r="G106" s="114">
        <f t="shared" si="21"/>
        <v>1.0073875083948958</v>
      </c>
      <c r="H106" s="111">
        <f t="shared" si="22"/>
        <v>63.500000000000007</v>
      </c>
      <c r="I106" s="907">
        <v>19.79</v>
      </c>
      <c r="J106" s="115">
        <f>SUMPRODUCT(E102:E106,I102:I106)/H106</f>
        <v>24.521307086614172</v>
      </c>
      <c r="K106" s="116">
        <f t="shared" si="23"/>
        <v>85.590145416667823</v>
      </c>
      <c r="L106" s="125">
        <f t="shared" si="24"/>
        <v>0.17886954447889342</v>
      </c>
      <c r="M106" s="125">
        <f t="shared" si="25"/>
        <v>7.5721440496064893</v>
      </c>
      <c r="N106" s="907">
        <v>17</v>
      </c>
      <c r="O106" s="115">
        <f>SUMPRODUCT(E102:E106,N102:N106)/H106</f>
        <v>22.153858267716533</v>
      </c>
      <c r="P106" s="116">
        <f t="shared" si="26"/>
        <v>246.20567748258603</v>
      </c>
    </row>
    <row r="107" spans="2:16">
      <c r="B107" s="122" t="s">
        <v>280</v>
      </c>
      <c r="C107" s="98"/>
      <c r="E107" s="111">
        <v>9.5</v>
      </c>
      <c r="F107" s="111">
        <v>1371.5000000000002</v>
      </c>
      <c r="G107" s="114">
        <f t="shared" si="21"/>
        <v>0.69267225665329923</v>
      </c>
      <c r="H107" s="111">
        <f t="shared" si="22"/>
        <v>73</v>
      </c>
      <c r="I107" s="908">
        <v>6.97</v>
      </c>
      <c r="J107" s="115">
        <f>SUMPRODUCT(E102:E107,I102:I107)/H107</f>
        <v>22.23723287671233</v>
      </c>
      <c r="K107" s="116">
        <f t="shared" si="23"/>
        <v>89.229822097506954</v>
      </c>
      <c r="L107" s="125">
        <f t="shared" si="24"/>
        <v>1.132840448366325</v>
      </c>
      <c r="M107" s="125">
        <f t="shared" si="25"/>
        <v>8.7049844979728146</v>
      </c>
      <c r="N107" s="907">
        <v>10</v>
      </c>
      <c r="O107" s="115">
        <f>SUMPRODUCT(E102:E107,N102:N107)/H107</f>
        <v>20.572191780821917</v>
      </c>
      <c r="P107" s="116">
        <f t="shared" si="26"/>
        <v>262.83209072771189</v>
      </c>
    </row>
    <row r="108" spans="2:16">
      <c r="B108" s="122" t="s">
        <v>281</v>
      </c>
      <c r="C108" s="98">
        <v>14</v>
      </c>
      <c r="E108" s="111">
        <v>80.2</v>
      </c>
      <c r="F108" s="111">
        <v>2409</v>
      </c>
      <c r="G108" s="114">
        <f t="shared" si="21"/>
        <v>3.3291822332918226</v>
      </c>
      <c r="H108" s="111">
        <f t="shared" si="22"/>
        <v>153.19999999999999</v>
      </c>
      <c r="I108" s="908">
        <v>1.127</v>
      </c>
      <c r="J108" s="115">
        <f>SUMPRODUCT(E102:E108,I102:I108)/H108</f>
        <v>11.186053524804178</v>
      </c>
      <c r="K108" s="116">
        <f t="shared" si="23"/>
        <v>94.198086579396517</v>
      </c>
      <c r="L108" s="125">
        <f t="shared" si="24"/>
        <v>9.5635583114715015</v>
      </c>
      <c r="M108" s="125">
        <f t="shared" si="25"/>
        <v>18.268542809444316</v>
      </c>
      <c r="N108" s="907">
        <v>4.16</v>
      </c>
      <c r="O108" s="115">
        <f>SUMPRODUCT(E102:E108,N102:N108)/H108</f>
        <v>11.980430809399479</v>
      </c>
      <c r="P108" s="116">
        <f t="shared" si="26"/>
        <v>321.22265392558364</v>
      </c>
    </row>
    <row r="109" spans="2:16">
      <c r="B109" s="122" t="s">
        <v>282</v>
      </c>
      <c r="C109" s="98">
        <v>16</v>
      </c>
      <c r="E109" s="111">
        <v>685.4</v>
      </c>
      <c r="F109" s="111">
        <v>5388.9</v>
      </c>
      <c r="G109" s="114">
        <f t="shared" si="21"/>
        <v>12.718736662398635</v>
      </c>
      <c r="H109" s="111">
        <f t="shared" si="22"/>
        <v>838.59999999999991</v>
      </c>
      <c r="I109" s="907">
        <v>0.154</v>
      </c>
      <c r="J109" s="115">
        <f>SUMPRODUCT(E102:E109,I102:I109)/H109</f>
        <v>2.1693954209396615</v>
      </c>
      <c r="K109" s="116">
        <f t="shared" si="23"/>
        <v>100</v>
      </c>
      <c r="L109" s="125">
        <f t="shared" si="24"/>
        <v>81.731457190555687</v>
      </c>
      <c r="M109" s="125">
        <f t="shared" si="25"/>
        <v>100</v>
      </c>
      <c r="N109" s="907">
        <v>3.28</v>
      </c>
      <c r="O109" s="115">
        <f>SUMPRODUCT(E102:E109,N102:N109)/H109</f>
        <v>4.8694419270212261</v>
      </c>
      <c r="P109" s="116">
        <f t="shared" si="26"/>
        <v>714.67569743428191</v>
      </c>
    </row>
    <row r="110" spans="2:16">
      <c r="B110" s="123" t="s">
        <v>32</v>
      </c>
      <c r="E110" s="111">
        <f>+SUM(E102:E109)</f>
        <v>838.59999999999991</v>
      </c>
      <c r="F110" s="111">
        <f>+SUM(F102:F109)</f>
        <v>9671.6</v>
      </c>
      <c r="G110" s="114">
        <f t="shared" si="21"/>
        <v>8.6707473427354298</v>
      </c>
    </row>
    <row r="111" spans="2:16">
      <c r="B111" s="124" t="s">
        <v>292</v>
      </c>
      <c r="J111" s="908">
        <v>2.254</v>
      </c>
      <c r="N111" s="907">
        <v>4.97</v>
      </c>
    </row>
    <row r="112" spans="2:16">
      <c r="B112" s="124" t="s">
        <v>53</v>
      </c>
      <c r="J112" s="114">
        <f>+SUMPRODUCT(I102:I109,E102:E109)/SUM(E102:E109)</f>
        <v>2.1693954209396615</v>
      </c>
    </row>
    <row r="113" spans="2:15">
      <c r="B113" s="124" t="s">
        <v>51</v>
      </c>
      <c r="J113" s="118">
        <f>+(J111-J112)/J111</f>
        <v>3.7535305705562766E-2</v>
      </c>
    </row>
    <row r="114" spans="2:15">
      <c r="J114" s="117"/>
    </row>
    <row r="115" spans="2:15">
      <c r="B115" s="1427" t="s">
        <v>799</v>
      </c>
      <c r="C115" s="1428"/>
      <c r="D115" s="1428"/>
      <c r="E115" s="1428"/>
      <c r="F115" s="1428"/>
      <c r="G115" s="1428"/>
      <c r="H115" s="1428"/>
      <c r="I115" s="1428"/>
      <c r="J115" s="1428"/>
      <c r="K115" s="1428"/>
      <c r="L115" s="1428"/>
      <c r="M115" s="1428"/>
      <c r="N115" s="1428"/>
      <c r="O115" s="1429"/>
    </row>
    <row r="116" spans="2:15">
      <c r="B116" s="1430" t="s">
        <v>814</v>
      </c>
      <c r="C116" s="1431"/>
      <c r="D116" s="1430" t="s">
        <v>815</v>
      </c>
      <c r="E116" s="1431"/>
      <c r="F116" s="1430" t="s">
        <v>826</v>
      </c>
      <c r="G116" s="1431"/>
      <c r="H116" s="1430" t="s">
        <v>818</v>
      </c>
      <c r="I116" s="1431"/>
      <c r="J116" s="1430" t="s">
        <v>820</v>
      </c>
      <c r="K116" s="1431"/>
      <c r="L116" s="1430" t="s">
        <v>822</v>
      </c>
      <c r="M116" s="1431"/>
      <c r="N116" s="1430" t="s">
        <v>823</v>
      </c>
      <c r="O116" s="1431"/>
    </row>
    <row r="117" spans="2:15">
      <c r="B117" s="866" t="s">
        <v>809</v>
      </c>
      <c r="C117" s="866" t="s">
        <v>28</v>
      </c>
      <c r="D117" s="866" t="s">
        <v>809</v>
      </c>
      <c r="E117" s="866" t="s">
        <v>28</v>
      </c>
      <c r="F117" s="866" t="s">
        <v>809</v>
      </c>
      <c r="G117" s="866" t="s">
        <v>28</v>
      </c>
      <c r="H117" s="866" t="s">
        <v>809</v>
      </c>
      <c r="I117" s="866" t="s">
        <v>28</v>
      </c>
      <c r="J117" s="866" t="s">
        <v>809</v>
      </c>
      <c r="K117" s="866" t="s">
        <v>28</v>
      </c>
      <c r="L117" s="866" t="s">
        <v>809</v>
      </c>
      <c r="M117" s="866" t="s">
        <v>28</v>
      </c>
      <c r="N117" s="866" t="s">
        <v>809</v>
      </c>
      <c r="O117" s="866" t="s">
        <v>28</v>
      </c>
    </row>
    <row r="118" spans="2:15">
      <c r="B118" s="757" t="s">
        <v>659</v>
      </c>
      <c r="C118" s="757">
        <v>2.3929999999999998</v>
      </c>
      <c r="D118" s="757" t="s">
        <v>659</v>
      </c>
      <c r="E118" s="757">
        <v>2.3929999999999998</v>
      </c>
      <c r="F118" s="757" t="s">
        <v>659</v>
      </c>
      <c r="G118" s="757">
        <v>2.3929999999999998</v>
      </c>
      <c r="H118" s="757" t="s">
        <v>659</v>
      </c>
      <c r="I118" s="757">
        <v>2.3929999999999998</v>
      </c>
      <c r="J118" s="757" t="s">
        <v>659</v>
      </c>
      <c r="K118" s="757">
        <v>2.3929999999999998</v>
      </c>
      <c r="L118" s="757" t="s">
        <v>659</v>
      </c>
      <c r="M118" s="757">
        <v>2.3929999999999998</v>
      </c>
      <c r="N118" s="757" t="s">
        <v>659</v>
      </c>
      <c r="O118" s="757">
        <v>2.3929999999999998</v>
      </c>
    </row>
    <row r="119" spans="2:15">
      <c r="B119" s="757" t="s">
        <v>810</v>
      </c>
      <c r="C119" s="757">
        <v>31.33</v>
      </c>
      <c r="D119" s="757" t="s">
        <v>816</v>
      </c>
      <c r="E119" s="757">
        <v>31.72</v>
      </c>
      <c r="F119" s="757" t="s">
        <v>817</v>
      </c>
      <c r="G119" s="757">
        <v>31.67</v>
      </c>
      <c r="H119" s="757" t="s">
        <v>819</v>
      </c>
      <c r="I119" s="757">
        <v>33.49</v>
      </c>
      <c r="J119" s="757" t="s">
        <v>821</v>
      </c>
      <c r="K119" s="757">
        <v>29.13</v>
      </c>
      <c r="L119" s="757" t="s">
        <v>824</v>
      </c>
      <c r="M119" s="757">
        <v>27.22</v>
      </c>
      <c r="N119" s="757" t="s">
        <v>825</v>
      </c>
      <c r="O119" s="757">
        <v>27.12</v>
      </c>
    </row>
    <row r="120" spans="2:15">
      <c r="B120" s="757" t="s">
        <v>811</v>
      </c>
      <c r="C120" s="757">
        <v>1.7150000000000001</v>
      </c>
      <c r="D120" s="757" t="s">
        <v>811</v>
      </c>
      <c r="E120" s="757">
        <v>1.125</v>
      </c>
      <c r="F120" s="757" t="s">
        <v>811</v>
      </c>
      <c r="G120" s="757">
        <v>1.423</v>
      </c>
      <c r="H120" s="757" t="s">
        <v>811</v>
      </c>
      <c r="I120" s="757">
        <v>1.1479999999999999</v>
      </c>
      <c r="J120" s="757" t="s">
        <v>811</v>
      </c>
      <c r="K120" s="757">
        <v>0.90400000000000003</v>
      </c>
      <c r="L120" s="757" t="s">
        <v>811</v>
      </c>
      <c r="M120" s="757">
        <v>0.84599999999999997</v>
      </c>
      <c r="N120" s="757" t="s">
        <v>811</v>
      </c>
      <c r="O120" s="757">
        <v>0.89300000000000002</v>
      </c>
    </row>
    <row r="121" spans="2:15">
      <c r="B121" s="1430" t="s">
        <v>812</v>
      </c>
      <c r="C121" s="1431"/>
      <c r="D121" s="1430" t="s">
        <v>812</v>
      </c>
      <c r="E121" s="1431"/>
      <c r="F121" s="1430" t="s">
        <v>812</v>
      </c>
      <c r="G121" s="1431"/>
      <c r="H121" s="1430" t="s">
        <v>812</v>
      </c>
      <c r="I121" s="1431"/>
      <c r="J121" s="1430" t="s">
        <v>812</v>
      </c>
      <c r="K121" s="1431"/>
      <c r="L121" s="1430" t="s">
        <v>812</v>
      </c>
      <c r="M121" s="1431"/>
      <c r="N121" s="1430" t="s">
        <v>812</v>
      </c>
      <c r="O121" s="1431"/>
    </row>
    <row r="122" spans="2:15">
      <c r="B122" s="923" t="s">
        <v>752</v>
      </c>
      <c r="C122" s="924">
        <f>(C118-C120)/(C119-C120)*100</f>
        <v>2.289380381563396</v>
      </c>
      <c r="D122" s="923" t="s">
        <v>752</v>
      </c>
      <c r="E122" s="924">
        <f>(E118-E120)/(E119-E120)*100</f>
        <v>4.1444680503350213</v>
      </c>
      <c r="F122" s="923" t="s">
        <v>752</v>
      </c>
      <c r="G122" s="924">
        <f>(G118-G120)/(G119-G120)*100</f>
        <v>3.2069296128541667</v>
      </c>
      <c r="H122" s="923" t="s">
        <v>752</v>
      </c>
      <c r="I122" s="924">
        <f>(I118-I120)/(I119-I120)*100</f>
        <v>3.8494836435594579</v>
      </c>
      <c r="J122" s="923" t="s">
        <v>752</v>
      </c>
      <c r="K122" s="924">
        <f>(K118-K120)/(K119-K120)*100</f>
        <v>5.2752781123786576</v>
      </c>
      <c r="L122" s="923" t="s">
        <v>752</v>
      </c>
      <c r="M122" s="924">
        <f>(M118-M120)/(M119-M120)*100</f>
        <v>5.8656252369758084</v>
      </c>
      <c r="N122" s="923" t="s">
        <v>752</v>
      </c>
      <c r="O122" s="924">
        <f>(O118-O120)/(O119-O120)*100</f>
        <v>5.7192969077668039</v>
      </c>
    </row>
    <row r="123" spans="2:15">
      <c r="B123" s="923" t="s">
        <v>813</v>
      </c>
      <c r="C123" s="924">
        <f>C122*C119/C118</f>
        <v>29.973375409269199</v>
      </c>
      <c r="D123" s="923" t="s">
        <v>813</v>
      </c>
      <c r="E123" s="924">
        <f>E122*E119/E118</f>
        <v>54.936283558974878</v>
      </c>
      <c r="F123" s="923" t="s">
        <v>813</v>
      </c>
      <c r="G123" s="924">
        <f>G122*G119/G118</f>
        <v>42.441897550811312</v>
      </c>
      <c r="H123" s="923" t="s">
        <v>813</v>
      </c>
      <c r="I123" s="924">
        <f>I122*I119/I118</f>
        <v>53.873467289095807</v>
      </c>
      <c r="J123" s="923" t="s">
        <v>813</v>
      </c>
      <c r="K123" s="924">
        <f>K122*K119/K118</f>
        <v>64.215984711069908</v>
      </c>
      <c r="L123" s="923" t="s">
        <v>813</v>
      </c>
      <c r="M123" s="924">
        <f>M122*M119/M118</f>
        <v>66.720567885700589</v>
      </c>
      <c r="N123" s="923" t="s">
        <v>813</v>
      </c>
      <c r="O123" s="924">
        <f>O122*O119/O118</f>
        <v>64.81710494719421</v>
      </c>
    </row>
    <row r="126" spans="2:15">
      <c r="B126" s="121" t="s">
        <v>270</v>
      </c>
      <c r="C126" s="121" t="s">
        <v>310</v>
      </c>
      <c r="D126" s="121" t="s">
        <v>273</v>
      </c>
      <c r="E126" s="121" t="s">
        <v>274</v>
      </c>
      <c r="F126" s="121" t="s">
        <v>317</v>
      </c>
    </row>
    <row r="127" spans="2:15">
      <c r="B127" s="122" t="s">
        <v>255</v>
      </c>
      <c r="C127" s="110">
        <f t="shared" ref="C127:C132" si="28">+G89</f>
        <v>30.16949152542373</v>
      </c>
      <c r="D127" s="110">
        <f t="shared" ref="D127:E132" si="29">+J89</f>
        <v>26.53</v>
      </c>
      <c r="E127" s="132">
        <f t="shared" si="29"/>
        <v>39.11319547647021</v>
      </c>
      <c r="F127" s="132">
        <f t="shared" ref="F127:F132" si="30">+M89</f>
        <v>3.2064368920379489</v>
      </c>
    </row>
    <row r="128" spans="2:15">
      <c r="B128" s="122" t="s">
        <v>256</v>
      </c>
      <c r="C128" s="110">
        <f t="shared" si="28"/>
        <v>25.060827250608259</v>
      </c>
      <c r="D128" s="110">
        <f t="shared" si="29"/>
        <v>26.081810810810811</v>
      </c>
      <c r="E128" s="132">
        <f t="shared" si="29"/>
        <v>53.286138780169182</v>
      </c>
      <c r="F128" s="132">
        <f t="shared" si="30"/>
        <v>4.4433769664945366</v>
      </c>
    </row>
    <row r="129" spans="2:6">
      <c r="B129" s="122" t="s">
        <v>257</v>
      </c>
      <c r="C129" s="110">
        <f t="shared" si="28"/>
        <v>19.661458333333346</v>
      </c>
      <c r="D129" s="110">
        <f t="shared" si="29"/>
        <v>24.4321689059501</v>
      </c>
      <c r="E129" s="132">
        <f t="shared" si="29"/>
        <v>70.286923196447177</v>
      </c>
      <c r="F129" s="132">
        <f t="shared" si="30"/>
        <v>6.2567551339017662</v>
      </c>
    </row>
    <row r="130" spans="2:6">
      <c r="B130" s="122" t="s">
        <v>259</v>
      </c>
      <c r="C130" s="110">
        <f t="shared" si="28"/>
        <v>10.319937573156457</v>
      </c>
      <c r="D130" s="110">
        <f t="shared" si="29"/>
        <v>15.941885714285716</v>
      </c>
      <c r="E130" s="132">
        <f t="shared" si="29"/>
        <v>92.428047227536254</v>
      </c>
      <c r="F130" s="132">
        <f t="shared" si="30"/>
        <v>12.609583283295306</v>
      </c>
    </row>
    <row r="131" spans="2:6">
      <c r="B131" s="122" t="s">
        <v>261</v>
      </c>
      <c r="C131" s="110">
        <f t="shared" si="28"/>
        <v>6.1544650040225255</v>
      </c>
      <c r="D131" s="110">
        <f t="shared" si="29"/>
        <v>11.400588469184891</v>
      </c>
      <c r="E131" s="132">
        <f t="shared" si="29"/>
        <v>94.992932743951741</v>
      </c>
      <c r="F131" s="132">
        <f t="shared" si="30"/>
        <v>18.121772547135826</v>
      </c>
    </row>
    <row r="132" spans="2:6">
      <c r="B132" s="122" t="s">
        <v>278</v>
      </c>
      <c r="C132" s="110">
        <f t="shared" si="28"/>
        <v>12.952619780386792</v>
      </c>
      <c r="D132" s="110">
        <f t="shared" si="29"/>
        <v>2.1748867539329897</v>
      </c>
      <c r="E132" s="132">
        <f t="shared" si="29"/>
        <v>100</v>
      </c>
      <c r="F132" s="132">
        <f t="shared" si="30"/>
        <v>100</v>
      </c>
    </row>
    <row r="134" spans="2:6">
      <c r="B134" s="121" t="s">
        <v>279</v>
      </c>
      <c r="C134" s="121" t="s">
        <v>310</v>
      </c>
      <c r="D134" s="121" t="s">
        <v>273</v>
      </c>
      <c r="E134" s="121" t="s">
        <v>274</v>
      </c>
      <c r="F134" s="121" t="s">
        <v>317</v>
      </c>
    </row>
    <row r="135" spans="2:6">
      <c r="B135" s="122" t="s">
        <v>255</v>
      </c>
      <c r="C135" s="110">
        <f t="shared" ref="C135:C142" si="31">+G102</f>
        <v>33.674630261660987</v>
      </c>
      <c r="D135" s="110">
        <f t="shared" ref="D135:E142" si="32">+J102</f>
        <v>25.280000000000005</v>
      </c>
      <c r="E135" s="132">
        <f t="shared" si="32"/>
        <v>41.131562095473157</v>
      </c>
      <c r="F135" s="132">
        <f t="shared" ref="F135:F142" si="33">+M102</f>
        <v>3.5296923443834971</v>
      </c>
    </row>
    <row r="136" spans="2:6">
      <c r="B136" s="122" t="s">
        <v>256</v>
      </c>
      <c r="C136" s="110">
        <f t="shared" si="31"/>
        <v>27.472527472527474</v>
      </c>
      <c r="D136" s="110">
        <f t="shared" si="32"/>
        <v>25.122636579572447</v>
      </c>
      <c r="E136" s="132">
        <f t="shared" si="32"/>
        <v>58.137149547479602</v>
      </c>
      <c r="F136" s="132">
        <f t="shared" si="33"/>
        <v>5.0202718817076093</v>
      </c>
    </row>
    <row r="137" spans="2:6">
      <c r="B137" s="122" t="s">
        <v>257</v>
      </c>
      <c r="C137" s="110">
        <f t="shared" si="31"/>
        <v>15.967523680649531</v>
      </c>
      <c r="D137" s="110">
        <f t="shared" si="32"/>
        <v>24.844025974025971</v>
      </c>
      <c r="E137" s="132">
        <f t="shared" si="32"/>
        <v>73.606668663821182</v>
      </c>
      <c r="F137" s="132">
        <f t="shared" si="33"/>
        <v>6.4273789649415711</v>
      </c>
    </row>
    <row r="138" spans="2:6">
      <c r="B138" s="122" t="s">
        <v>259</v>
      </c>
      <c r="C138" s="110">
        <f t="shared" si="31"/>
        <v>5.5479452054794516</v>
      </c>
      <c r="D138" s="110">
        <f t="shared" si="32"/>
        <v>24.635774193548386</v>
      </c>
      <c r="E138" s="132">
        <f t="shared" si="32"/>
        <v>83.958433534606215</v>
      </c>
      <c r="F138" s="132">
        <f t="shared" si="33"/>
        <v>7.3932745051275957</v>
      </c>
    </row>
    <row r="139" spans="2:6">
      <c r="B139" s="122" t="s">
        <v>261</v>
      </c>
      <c r="C139" s="110">
        <f t="shared" si="31"/>
        <v>1.0073875083948958</v>
      </c>
      <c r="D139" s="110">
        <f t="shared" si="32"/>
        <v>24.521307086614172</v>
      </c>
      <c r="E139" s="132">
        <f t="shared" si="32"/>
        <v>85.590145416667823</v>
      </c>
      <c r="F139" s="132">
        <f t="shared" si="33"/>
        <v>7.5721440496064893</v>
      </c>
    </row>
    <row r="140" spans="2:6">
      <c r="B140" s="122" t="s">
        <v>280</v>
      </c>
      <c r="C140" s="110">
        <f t="shared" si="31"/>
        <v>0.69267225665329923</v>
      </c>
      <c r="D140" s="110">
        <f t="shared" si="32"/>
        <v>22.23723287671233</v>
      </c>
      <c r="E140" s="132">
        <f t="shared" si="32"/>
        <v>89.229822097506954</v>
      </c>
      <c r="F140" s="132">
        <f t="shared" si="33"/>
        <v>8.7049844979728146</v>
      </c>
    </row>
    <row r="141" spans="2:6">
      <c r="B141" s="122" t="s">
        <v>281</v>
      </c>
      <c r="C141" s="110">
        <f t="shared" si="31"/>
        <v>3.3291822332918226</v>
      </c>
      <c r="D141" s="110">
        <f t="shared" si="32"/>
        <v>11.186053524804178</v>
      </c>
      <c r="E141" s="132">
        <f t="shared" si="32"/>
        <v>94.198086579396517</v>
      </c>
      <c r="F141" s="132">
        <f t="shared" si="33"/>
        <v>18.268542809444316</v>
      </c>
    </row>
    <row r="142" spans="2:6">
      <c r="B142" s="122" t="s">
        <v>282</v>
      </c>
      <c r="C142" s="110">
        <f t="shared" si="31"/>
        <v>12.718736662398635</v>
      </c>
      <c r="D142" s="110">
        <f t="shared" si="32"/>
        <v>2.1693954209396615</v>
      </c>
      <c r="E142" s="132">
        <f t="shared" si="32"/>
        <v>100</v>
      </c>
      <c r="F142" s="132">
        <f t="shared" si="33"/>
        <v>100</v>
      </c>
    </row>
    <row r="144" spans="2:6" ht="15" thickBot="1"/>
    <row r="145" spans="2:4" ht="15" thickBot="1">
      <c r="B145" s="95"/>
      <c r="C145" s="909" t="s">
        <v>800</v>
      </c>
      <c r="D145" s="918" t="s">
        <v>801</v>
      </c>
    </row>
    <row r="146" spans="2:4">
      <c r="B146" s="848" t="s">
        <v>21</v>
      </c>
      <c r="C146" s="919">
        <f>+AVERAGE('13. Pilotaje Rougher'!$F$20:$F$36)</f>
        <v>0.67582352941176471</v>
      </c>
      <c r="D146" s="920">
        <f>+AVERAGE('13. Pilotaje Rougher'!$F$37:$F$52)</f>
        <v>0.68168749999999989</v>
      </c>
    </row>
    <row r="147" spans="2:4">
      <c r="B147" s="849" t="s">
        <v>22</v>
      </c>
      <c r="C147" s="921">
        <f>+AVERAGE('13. Pilotaje Rougher'!$H$20:$H$36)</f>
        <v>5.1583529411764708</v>
      </c>
      <c r="D147" s="922">
        <f>+AVERAGE('13. Pilotaje Rougher'!$H$37:$H$52)</f>
        <v>3.2132499999999999</v>
      </c>
    </row>
    <row r="148" spans="2:4">
      <c r="B148" s="849" t="s">
        <v>23</v>
      </c>
      <c r="C148" s="921">
        <f>+AVERAGE('13. Pilotaje Rougher'!$G$20:$G$36)</f>
        <v>0.15441176470588236</v>
      </c>
      <c r="D148" s="922">
        <f>+AVERAGE('13. Pilotaje Rougher'!$G$37:$G$52)</f>
        <v>0.13150000000000001</v>
      </c>
    </row>
    <row r="149" spans="2:4">
      <c r="B149" s="849" t="s">
        <v>744</v>
      </c>
      <c r="C149" s="875">
        <f>+'16. Pilotaje Cleaner'!$C$96</f>
        <v>4.6105</v>
      </c>
      <c r="D149" s="874">
        <f>+'16. Pilotaje Cleaner'!$D$96</f>
        <v>2.0637500000000002</v>
      </c>
    </row>
    <row r="150" spans="2:4">
      <c r="B150" s="849" t="s">
        <v>746</v>
      </c>
      <c r="C150" s="875">
        <f>+'16. Pilotaje Cleaner'!$C$97</f>
        <v>21.674999999999997</v>
      </c>
      <c r="D150" s="874">
        <f>+'16. Pilotaje Cleaner'!$D$97</f>
        <v>23.02</v>
      </c>
    </row>
    <row r="151" spans="2:4">
      <c r="B151" s="849" t="s">
        <v>745</v>
      </c>
      <c r="C151" s="875">
        <f>+'16. Pilotaje Cleaner'!$C$98</f>
        <v>2.9889999999999999</v>
      </c>
      <c r="D151" s="874">
        <f>+'16. Pilotaje Cleaner'!$D$98</f>
        <v>1.0582499999999999</v>
      </c>
    </row>
    <row r="152" spans="2:4">
      <c r="B152" s="849" t="s">
        <v>747</v>
      </c>
      <c r="C152" s="875">
        <f>+'16. Pilotaje Cleaner'!$C$99</f>
        <v>3.3</v>
      </c>
      <c r="D152" s="874">
        <f>+'16. Pilotaje Cleaner'!$D$99</f>
        <v>1.72725</v>
      </c>
    </row>
    <row r="153" spans="2:4">
      <c r="B153" s="849" t="s">
        <v>748</v>
      </c>
      <c r="C153" s="875">
        <f>+'16. Pilotaje Cleaner'!$C$100</f>
        <v>5.1739999999999995</v>
      </c>
      <c r="D153" s="874">
        <f>+'16. Pilotaje Cleaner'!$D$100</f>
        <v>4.3807499999999999</v>
      </c>
    </row>
    <row r="154" spans="2:4">
      <c r="B154" s="849" t="s">
        <v>749</v>
      </c>
      <c r="C154" s="875">
        <f>+'16. Pilotaje Cleaner'!$C$101</f>
        <v>16.29</v>
      </c>
      <c r="D154" s="874">
        <f>+'16. Pilotaje Cleaner'!$D$101</f>
        <v>16.465</v>
      </c>
    </row>
    <row r="155" spans="2:4">
      <c r="B155" s="849" t="s">
        <v>750</v>
      </c>
      <c r="C155" s="875">
        <f>+'16. Pilotaje Cleaner'!$C$102</f>
        <v>4.7590000000000003</v>
      </c>
      <c r="D155" s="874">
        <f>+'16. Pilotaje Cleaner'!$D$102</f>
        <v>2.5452500000000002</v>
      </c>
    </row>
    <row r="156" spans="2:4" ht="15" thickBot="1">
      <c r="B156" s="850" t="s">
        <v>751</v>
      </c>
      <c r="C156" s="879">
        <f>+'16. Pilotaje Cleaner'!$C$103</f>
        <v>0.23</v>
      </c>
      <c r="D156" s="878">
        <f>+'16. Pilotaje Cleaner'!$D$103</f>
        <v>0.16175</v>
      </c>
    </row>
    <row r="157" spans="2:4" ht="15" thickBot="1">
      <c r="B157" s="95"/>
      <c r="C157" s="95"/>
      <c r="D157" s="95"/>
    </row>
    <row r="158" spans="2:4" ht="15" thickBot="1">
      <c r="B158" s="95"/>
      <c r="C158" s="1423" t="s">
        <v>808</v>
      </c>
      <c r="D158" s="1424"/>
    </row>
    <row r="159" spans="2:4">
      <c r="B159" s="848" t="s">
        <v>754</v>
      </c>
      <c r="C159" s="930">
        <f>+AVERAGE('13. Pilotaje Rougher'!$K$20:$K$36)</f>
        <v>79.807493568485683</v>
      </c>
      <c r="D159" s="885">
        <f>+AVERAGE('13. Pilotaje Rougher'!$K$37:$K$52)</f>
        <v>84.376281394866425</v>
      </c>
    </row>
    <row r="160" spans="2:4">
      <c r="B160" s="849" t="s">
        <v>842</v>
      </c>
      <c r="C160" s="875">
        <f>+(AVERAGE(C150,C154)/C149)</f>
        <v>4.117232404294545</v>
      </c>
      <c r="D160" s="932">
        <f>+(AVERAGE(D150,D154)/D149)</f>
        <v>9.5663234403391879</v>
      </c>
    </row>
    <row r="161" spans="2:10">
      <c r="B161" s="849" t="s">
        <v>843</v>
      </c>
      <c r="C161" s="875">
        <f>+((C149-C156)/(AVERAGE(C150,C154)-C156)*100)</f>
        <v>23.35955205972537</v>
      </c>
      <c r="D161" s="932">
        <f>+((D149-D156)/(AVERAGE(D150,D154)-D156)*100)</f>
        <v>9.7136217969178933</v>
      </c>
    </row>
    <row r="162" spans="2:10">
      <c r="B162" s="849" t="s">
        <v>761</v>
      </c>
      <c r="C162" s="875">
        <f>+C160*C161</f>
        <v>96.176704690106675</v>
      </c>
      <c r="D162" s="932">
        <f>+D160*D161</f>
        <v>92.923647886445309</v>
      </c>
      <c r="E162" s="110">
        <f>+AVERAGE(D150,D154)</f>
        <v>19.7425</v>
      </c>
    </row>
    <row r="163" spans="2:10" ht="15" thickBot="1">
      <c r="B163" s="850" t="s">
        <v>755</v>
      </c>
      <c r="C163" s="931">
        <f>+C162*C159/100</f>
        <v>76.756217409938358</v>
      </c>
      <c r="D163" s="878">
        <f>+D162*D159/100</f>
        <v>78.405518623041942</v>
      </c>
    </row>
    <row r="164" spans="2:10" ht="15" thickBot="1"/>
    <row r="165" spans="2:10" ht="15" thickBot="1">
      <c r="B165" s="95"/>
      <c r="C165" s="909" t="s">
        <v>800</v>
      </c>
      <c r="D165" s="925" t="s">
        <v>801</v>
      </c>
    </row>
    <row r="166" spans="2:10">
      <c r="B166" s="848" t="s">
        <v>21</v>
      </c>
      <c r="C166" s="919">
        <f>+AVERAGE('13. Pilotaje Rougher'!$F$20:$F$36)</f>
        <v>0.67582352941176471</v>
      </c>
      <c r="D166" s="920">
        <f>+AVERAGE('13. Pilotaje Rougher'!$F$37:$F$52)</f>
        <v>0.68168749999999989</v>
      </c>
    </row>
    <row r="167" spans="2:10">
      <c r="B167" s="849" t="s">
        <v>22</v>
      </c>
      <c r="C167" s="921">
        <f>+AVERAGE('13. Pilotaje Rougher'!$H$20:$H$36)</f>
        <v>5.1583529411764708</v>
      </c>
      <c r="D167" s="922">
        <f>+AVERAGE('13. Pilotaje Rougher'!$H$37:$H$52)</f>
        <v>3.2132499999999999</v>
      </c>
    </row>
    <row r="168" spans="2:10">
      <c r="B168" s="849" t="s">
        <v>23</v>
      </c>
      <c r="C168" s="921">
        <f>+AVERAGE('13. Pilotaje Rougher'!$G$20:$G$36)</f>
        <v>0.15441176470588236</v>
      </c>
      <c r="D168" s="922">
        <f>+AVERAGE('13. Pilotaje Rougher'!$G$37:$G$52)</f>
        <v>0.13150000000000001</v>
      </c>
    </row>
    <row r="169" spans="2:10">
      <c r="B169" s="849" t="s">
        <v>828</v>
      </c>
      <c r="C169" s="644"/>
      <c r="D169" s="922">
        <v>2.6440000000000001</v>
      </c>
    </row>
    <row r="170" spans="2:10" ht="15" thickBot="1">
      <c r="B170" s="849" t="s">
        <v>802</v>
      </c>
      <c r="C170" s="644"/>
      <c r="D170" s="922">
        <v>30.72</v>
      </c>
    </row>
    <row r="171" spans="2:10">
      <c r="B171" s="849" t="s">
        <v>829</v>
      </c>
      <c r="C171" s="875"/>
      <c r="D171" s="922">
        <v>0.9</v>
      </c>
      <c r="E171" s="884">
        <v>2.64</v>
      </c>
    </row>
    <row r="172" spans="2:10" ht="15" thickBot="1">
      <c r="B172" s="849" t="s">
        <v>746</v>
      </c>
      <c r="C172" s="875"/>
      <c r="D172" s="922">
        <v>26.16</v>
      </c>
      <c r="E172" s="1138">
        <v>26.16</v>
      </c>
    </row>
    <row r="173" spans="2:10" ht="15" thickBot="1">
      <c r="B173" s="849" t="s">
        <v>745</v>
      </c>
      <c r="C173" s="875"/>
      <c r="D173" s="926">
        <v>1.266</v>
      </c>
      <c r="E173" s="649">
        <v>1.27</v>
      </c>
      <c r="I173" s="1425" t="str">
        <f>C158</f>
        <v>Caso Base</v>
      </c>
      <c r="J173" s="1426"/>
    </row>
    <row r="174" spans="2:10" ht="15" thickBot="1">
      <c r="B174" s="849" t="s">
        <v>747</v>
      </c>
      <c r="C174" s="875"/>
      <c r="D174" s="926">
        <v>1.8109999999999999</v>
      </c>
      <c r="E174" s="649">
        <v>1.81</v>
      </c>
      <c r="H174" s="95"/>
      <c r="I174" s="909" t="s">
        <v>800</v>
      </c>
      <c r="J174" s="925" t="s">
        <v>801</v>
      </c>
    </row>
    <row r="175" spans="2:10">
      <c r="B175" s="849" t="s">
        <v>748</v>
      </c>
      <c r="C175" s="875"/>
      <c r="D175" s="926">
        <v>2.2679999999999998</v>
      </c>
      <c r="E175" s="649">
        <v>2.27</v>
      </c>
      <c r="H175" s="848" t="str">
        <f t="shared" ref="H175:J179" si="34">B159</f>
        <v>Rec Ro</v>
      </c>
      <c r="I175" s="930">
        <f t="shared" si="34"/>
        <v>79.807493568485683</v>
      </c>
      <c r="J175" s="885">
        <f t="shared" si="34"/>
        <v>84.376281394866425</v>
      </c>
    </row>
    <row r="176" spans="2:10">
      <c r="B176" s="849" t="s">
        <v>749</v>
      </c>
      <c r="C176" s="875"/>
      <c r="D176" s="926">
        <v>25.33</v>
      </c>
      <c r="E176" s="1138">
        <v>25.33</v>
      </c>
      <c r="H176" s="849" t="str">
        <f t="shared" si="34"/>
        <v>RE Cleaner</v>
      </c>
      <c r="I176" s="875">
        <f t="shared" si="34"/>
        <v>4.117232404294545</v>
      </c>
      <c r="J176" s="932">
        <f t="shared" si="34"/>
        <v>9.5663234403391879</v>
      </c>
    </row>
    <row r="177" spans="2:12">
      <c r="B177" s="849" t="s">
        <v>750</v>
      </c>
      <c r="C177" s="875"/>
      <c r="D177" s="926">
        <v>0.11700000000000001</v>
      </c>
      <c r="E177" s="649">
        <v>1.58</v>
      </c>
      <c r="H177" s="849" t="str">
        <f t="shared" si="34"/>
        <v>RP Cleaner</v>
      </c>
      <c r="I177" s="875">
        <f t="shared" si="34"/>
        <v>23.35955205972537</v>
      </c>
      <c r="J177" s="932">
        <f t="shared" si="34"/>
        <v>9.7136217969178933</v>
      </c>
      <c r="L177" s="1013" t="s">
        <v>801</v>
      </c>
    </row>
    <row r="178" spans="2:12" ht="15" thickBot="1">
      <c r="B178" s="850" t="s">
        <v>751</v>
      </c>
      <c r="C178" s="879"/>
      <c r="D178" s="927">
        <v>1.581</v>
      </c>
      <c r="E178" s="877">
        <v>0.12</v>
      </c>
      <c r="H178" s="849" t="str">
        <f t="shared" si="34"/>
        <v>Rec Cleaner</v>
      </c>
      <c r="I178" s="875">
        <f t="shared" si="34"/>
        <v>96.176704690106675</v>
      </c>
      <c r="J178" s="932">
        <f t="shared" si="34"/>
        <v>92.923647886445309</v>
      </c>
      <c r="K178" s="850" t="s">
        <v>907</v>
      </c>
      <c r="L178" s="110">
        <f>+J186-J178</f>
        <v>4.2423214780744729</v>
      </c>
    </row>
    <row r="179" spans="2:12" ht="15" thickBot="1">
      <c r="H179" s="850" t="str">
        <f t="shared" si="34"/>
        <v>Rec Global</v>
      </c>
      <c r="I179" s="931">
        <f t="shared" si="34"/>
        <v>76.756217409938358</v>
      </c>
      <c r="J179" s="878">
        <f t="shared" si="34"/>
        <v>78.405518623041942</v>
      </c>
      <c r="K179" s="850" t="s">
        <v>904</v>
      </c>
      <c r="L179" s="910">
        <f>+J187-J179</f>
        <v>3.5795131080149787</v>
      </c>
    </row>
    <row r="180" spans="2:12" ht="15" thickBot="1">
      <c r="B180" s="95"/>
      <c r="C180" s="1425" t="s">
        <v>807</v>
      </c>
      <c r="D180" s="1426"/>
    </row>
    <row r="181" spans="2:12" ht="15" thickBot="1">
      <c r="B181" s="848" t="s">
        <v>754</v>
      </c>
      <c r="C181" s="886">
        <f>+AVERAGE('13. Pilotaje Rougher'!$K$20:$K$36)</f>
        <v>79.807493568485683</v>
      </c>
      <c r="D181" s="885">
        <f>+AVERAGE('13. Pilotaje Rougher'!$K$37:$K$52)</f>
        <v>84.376281394866425</v>
      </c>
      <c r="I181" s="1425" t="s">
        <v>807</v>
      </c>
      <c r="J181" s="1426"/>
      <c r="K181" s="95"/>
    </row>
    <row r="182" spans="2:12" ht="15" thickBot="1">
      <c r="I182" s="909" t="s">
        <v>800</v>
      </c>
      <c r="J182" s="925" t="s">
        <v>801</v>
      </c>
      <c r="K182" s="848" t="s">
        <v>905</v>
      </c>
      <c r="L182" s="984">
        <f>+AVERAGE(D150,D154)</f>
        <v>19.7425</v>
      </c>
    </row>
    <row r="183" spans="2:12" ht="15" thickBot="1">
      <c r="B183" s="4" t="s">
        <v>885</v>
      </c>
      <c r="H183" s="848" t="str">
        <f t="shared" ref="H183:J187" si="35">B184</f>
        <v>Rec Jameson</v>
      </c>
      <c r="I183" s="930"/>
      <c r="J183" s="885">
        <f t="shared" si="35"/>
        <v>68.722020176809082</v>
      </c>
      <c r="K183" s="850" t="s">
        <v>906</v>
      </c>
      <c r="L183" s="910">
        <f>+'22. Comparación'!L25</f>
        <v>26.691970050092202</v>
      </c>
    </row>
    <row r="184" spans="2:12">
      <c r="B184" s="848" t="s">
        <v>804</v>
      </c>
      <c r="C184" s="930"/>
      <c r="D184" s="885">
        <f>+'23. Balance Pre-Cl'!T33</f>
        <v>68.722020176809082</v>
      </c>
      <c r="H184" s="849" t="str">
        <f t="shared" si="35"/>
        <v>RE Cleaner</v>
      </c>
      <c r="I184" s="875"/>
      <c r="J184" s="932">
        <f t="shared" si="35"/>
        <v>8.4254955966200136</v>
      </c>
      <c r="L184" s="110">
        <f>+L183-L182</f>
        <v>6.9494700500922022</v>
      </c>
    </row>
    <row r="185" spans="2:12">
      <c r="B185" s="849" t="s">
        <v>842</v>
      </c>
      <c r="C185" s="875"/>
      <c r="D185" s="932">
        <f>+'23. Balance Pre-Cl'!T29</f>
        <v>8.4254955966200136</v>
      </c>
      <c r="H185" s="849" t="str">
        <f t="shared" si="35"/>
        <v>RP Cleaner</v>
      </c>
      <c r="I185" s="929"/>
      <c r="J185" s="874">
        <f t="shared" si="35"/>
        <v>11.532374357123759</v>
      </c>
    </row>
    <row r="186" spans="2:12">
      <c r="B186" s="849" t="s">
        <v>843</v>
      </c>
      <c r="C186" s="929"/>
      <c r="D186" s="874">
        <f>+'23. Balance Pre-Cl'!T28</f>
        <v>11.532374357123759</v>
      </c>
      <c r="H186" s="849" t="str">
        <f t="shared" si="35"/>
        <v>Rec Cleaner</v>
      </c>
      <c r="I186" s="875"/>
      <c r="J186" s="874">
        <f t="shared" si="35"/>
        <v>97.165969364519782</v>
      </c>
    </row>
    <row r="187" spans="2:12" ht="15" thickBot="1">
      <c r="B187" s="849" t="s">
        <v>761</v>
      </c>
      <c r="C187" s="875"/>
      <c r="D187" s="874">
        <f>+'23. Balance Pre-Cl'!T27</f>
        <v>97.165969364519782</v>
      </c>
      <c r="E187" s="110">
        <f>+AVERAGE(D170,D172,D176)</f>
        <v>27.403333333333332</v>
      </c>
      <c r="H187" s="850" t="str">
        <f t="shared" si="35"/>
        <v>Rec Global</v>
      </c>
      <c r="I187" s="879"/>
      <c r="J187" s="878">
        <f t="shared" si="35"/>
        <v>81.985031731056921</v>
      </c>
    </row>
    <row r="188" spans="2:12" ht="15" thickBot="1">
      <c r="B188" s="850" t="s">
        <v>755</v>
      </c>
      <c r="C188" s="879"/>
      <c r="D188" s="878">
        <f>+D187*D181/100</f>
        <v>81.985031731056921</v>
      </c>
      <c r="E188" s="110">
        <f>+D188-D163</f>
        <v>3.5795131080149787</v>
      </c>
    </row>
    <row r="191" spans="2:12" ht="15" thickBot="1">
      <c r="E191" s="110"/>
    </row>
    <row r="192" spans="2:12">
      <c r="B192" s="846" t="s">
        <v>802</v>
      </c>
      <c r="C192" s="886"/>
      <c r="D192" s="885">
        <f>+I119</f>
        <v>33.49</v>
      </c>
    </row>
    <row r="193" spans="2:4" ht="15" thickBot="1">
      <c r="B193" s="706" t="s">
        <v>803</v>
      </c>
      <c r="C193" s="879"/>
      <c r="D193" s="878">
        <f>+I120</f>
        <v>1.1479999999999999</v>
      </c>
    </row>
  </sheetData>
  <mergeCells count="23">
    <mergeCell ref="C180:D180"/>
    <mergeCell ref="L116:M116"/>
    <mergeCell ref="N116:O116"/>
    <mergeCell ref="L121:M121"/>
    <mergeCell ref="N121:O121"/>
    <mergeCell ref="C158:D158"/>
    <mergeCell ref="I173:J173"/>
    <mergeCell ref="I181:J181"/>
    <mergeCell ref="B87:P87"/>
    <mergeCell ref="B100:P100"/>
    <mergeCell ref="B32:P32"/>
    <mergeCell ref="B45:P45"/>
    <mergeCell ref="B115:O115"/>
    <mergeCell ref="F116:G116"/>
    <mergeCell ref="F121:G121"/>
    <mergeCell ref="H116:I116"/>
    <mergeCell ref="H121:I121"/>
    <mergeCell ref="J116:K116"/>
    <mergeCell ref="J121:K121"/>
    <mergeCell ref="B116:C116"/>
    <mergeCell ref="B121:C121"/>
    <mergeCell ref="D116:E116"/>
    <mergeCell ref="D121:E121"/>
  </mergeCells>
  <phoneticPr fontId="4" type="noConversion"/>
  <conditionalFormatting sqref="B34:B43">
    <cfRule type="cellIs" dxfId="38" priority="18" operator="equal">
      <formula>0</formula>
    </cfRule>
  </conditionalFormatting>
  <conditionalFormatting sqref="B47:B58">
    <cfRule type="cellIs" dxfId="37" priority="17" operator="equal">
      <formula>0</formula>
    </cfRule>
  </conditionalFormatting>
  <conditionalFormatting sqref="B67:B72">
    <cfRule type="cellIs" dxfId="36" priority="15" operator="equal">
      <formula>0</formula>
    </cfRule>
  </conditionalFormatting>
  <conditionalFormatting sqref="B75:B82">
    <cfRule type="cellIs" dxfId="35" priority="14" operator="equal">
      <formula>0</formula>
    </cfRule>
  </conditionalFormatting>
  <conditionalFormatting sqref="B89:B98">
    <cfRule type="cellIs" dxfId="34" priority="10" operator="equal">
      <formula>0</formula>
    </cfRule>
  </conditionalFormatting>
  <conditionalFormatting sqref="B102:B113">
    <cfRule type="cellIs" dxfId="33" priority="9" operator="equal">
      <formula>0</formula>
    </cfRule>
  </conditionalFormatting>
  <conditionalFormatting sqref="B115">
    <cfRule type="expression" dxfId="32" priority="1">
      <formula>#REF!=0</formula>
    </cfRule>
    <cfRule type="cellIs" dxfId="31" priority="2" operator="equal">
      <formula>0</formula>
    </cfRule>
  </conditionalFormatting>
  <conditionalFormatting sqref="B127:B132">
    <cfRule type="cellIs" dxfId="30" priority="7" operator="equal">
      <formula>0</formula>
    </cfRule>
  </conditionalFormatting>
  <conditionalFormatting sqref="B135:B142">
    <cfRule type="cellIs" dxfId="29" priority="6" operator="equal">
      <formula>0</formula>
    </cfRule>
  </conditionalFormatting>
  <conditionalFormatting sqref="B32:D32">
    <cfRule type="expression" dxfId="28" priority="19">
      <formula>#REF!=0</formula>
    </cfRule>
    <cfRule type="cellIs" dxfId="27" priority="20" operator="equal">
      <formula>0</formula>
    </cfRule>
  </conditionalFormatting>
  <conditionalFormatting sqref="B87:D87">
    <cfRule type="expression" dxfId="26" priority="11">
      <formula>#REF!=0</formula>
    </cfRule>
    <cfRule type="cellIs" dxfId="25" priority="12" operator="equal">
      <formula>0</formula>
    </cfRule>
  </conditionalFormatting>
  <conditionalFormatting sqref="B100:D100">
    <cfRule type="expression" dxfId="24" priority="3">
      <formula>#REF!=0</formula>
    </cfRule>
    <cfRule type="cellIs" dxfId="23" priority="4" operator="equal">
      <formula>0</formula>
    </cfRule>
  </conditionalFormatting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FC31E-3488-4287-9EC0-6DCE4B44CE9F}">
  <sheetPr codeName="Hoja25"/>
  <dimension ref="B2:P202"/>
  <sheetViews>
    <sheetView topLeftCell="E109" zoomScale="70" zoomScaleNormal="70" workbookViewId="0"/>
  </sheetViews>
  <sheetFormatPr baseColWidth="10" defaultColWidth="10.7265625" defaultRowHeight="14.5"/>
  <cols>
    <col min="1" max="1" width="10.7265625" style="4"/>
    <col min="2" max="2" width="23.453125" style="4" bestFit="1" customWidth="1"/>
    <col min="3" max="3" width="12.26953125" style="4" bestFit="1" customWidth="1"/>
    <col min="4" max="4" width="23.453125" style="4" customWidth="1"/>
    <col min="5" max="5" width="24.26953125" style="4" bestFit="1" customWidth="1"/>
    <col min="6" max="6" width="16.54296875" style="4" bestFit="1" customWidth="1"/>
    <col min="7" max="7" width="11.7265625" style="4" bestFit="1" customWidth="1"/>
    <col min="8" max="8" width="20" style="4" bestFit="1" customWidth="1"/>
    <col min="9" max="9" width="9.7265625" style="4" bestFit="1" customWidth="1"/>
    <col min="10" max="10" width="21" style="4" bestFit="1" customWidth="1"/>
    <col min="11" max="11" width="20.26953125" style="4" bestFit="1" customWidth="1"/>
    <col min="12" max="12" width="12.26953125" style="4" bestFit="1" customWidth="1"/>
    <col min="13" max="13" width="23" style="4" bestFit="1" customWidth="1"/>
    <col min="14" max="14" width="9.54296875" style="4" bestFit="1" customWidth="1"/>
    <col min="15" max="15" width="20.7265625" style="4" bestFit="1" customWidth="1"/>
    <col min="16" max="16" width="19.7265625" style="4" bestFit="1" customWidth="1"/>
    <col min="17" max="17" width="10.7265625" style="4"/>
    <col min="18" max="18" width="27.7265625" style="4" bestFit="1" customWidth="1"/>
    <col min="19" max="19" width="19.7265625" style="4" bestFit="1" customWidth="1"/>
    <col min="20" max="20" width="20.26953125" style="4" bestFit="1" customWidth="1"/>
    <col min="21" max="21" width="19.26953125" style="4" bestFit="1" customWidth="1"/>
    <col min="22" max="16384" width="10.7265625" style="4"/>
  </cols>
  <sheetData>
    <row r="2" spans="2:2" ht="18.5">
      <c r="B2" s="112" t="s">
        <v>797</v>
      </c>
    </row>
    <row r="32" spans="2:16">
      <c r="B32" s="1411" t="s">
        <v>789</v>
      </c>
      <c r="C32" s="1411"/>
      <c r="D32" s="1411"/>
      <c r="E32" s="1411"/>
      <c r="F32" s="1411"/>
      <c r="G32" s="1411"/>
      <c r="H32" s="1411"/>
      <c r="I32" s="1411"/>
      <c r="J32" s="1411"/>
      <c r="K32" s="1411"/>
      <c r="L32" s="1411"/>
      <c r="M32" s="1411"/>
      <c r="N32" s="1411"/>
      <c r="O32" s="1411"/>
      <c r="P32" s="1411"/>
    </row>
    <row r="33" spans="2:16">
      <c r="B33" s="121" t="s">
        <v>796</v>
      </c>
      <c r="C33" s="121" t="s">
        <v>308</v>
      </c>
      <c r="D33" s="121" t="s">
        <v>309</v>
      </c>
      <c r="E33" s="121" t="s">
        <v>311</v>
      </c>
      <c r="F33" s="121" t="s">
        <v>312</v>
      </c>
      <c r="G33" s="121" t="s">
        <v>310</v>
      </c>
      <c r="H33" s="121" t="s">
        <v>271</v>
      </c>
      <c r="I33" s="121" t="s">
        <v>272</v>
      </c>
      <c r="J33" s="121" t="s">
        <v>273</v>
      </c>
      <c r="K33" s="121" t="s">
        <v>274</v>
      </c>
      <c r="L33" s="121" t="s">
        <v>316</v>
      </c>
      <c r="M33" s="121" t="s">
        <v>317</v>
      </c>
      <c r="N33" s="121" t="s">
        <v>275</v>
      </c>
      <c r="O33" s="121" t="s">
        <v>276</v>
      </c>
      <c r="P33" s="121" t="s">
        <v>277</v>
      </c>
    </row>
    <row r="34" spans="2:16">
      <c r="B34" s="122" t="s">
        <v>255</v>
      </c>
      <c r="C34" s="98">
        <v>0.5</v>
      </c>
      <c r="D34" s="98">
        <f>+C34</f>
        <v>0.5</v>
      </c>
      <c r="E34" s="116">
        <v>19.7</v>
      </c>
      <c r="F34" s="111">
        <v>200.30000000000007</v>
      </c>
      <c r="G34" s="114">
        <f>+E34/F34*100</f>
        <v>9.8352471293060386</v>
      </c>
      <c r="H34" s="111">
        <f>E34</f>
        <v>19.7</v>
      </c>
      <c r="I34" s="800">
        <v>2.423</v>
      </c>
      <c r="J34" s="115">
        <f>SUMPRODUCT(E34,I34)/H34</f>
        <v>2.423</v>
      </c>
      <c r="K34" s="116">
        <f t="shared" ref="K34:K39" si="0">SUMPRODUCT(H34,J34)/SUMPRODUCT($H$39,$J$39)*100</f>
        <v>4.2891637761095884</v>
      </c>
      <c r="L34" s="125">
        <f>E34/$E$40*100</f>
        <v>4.386550879536852</v>
      </c>
      <c r="M34" s="125">
        <f>+L34</f>
        <v>4.386550879536852</v>
      </c>
      <c r="N34" s="800">
        <v>6.25</v>
      </c>
      <c r="O34" s="115">
        <f>SUMPRODUCT(E34,N34)/H34</f>
        <v>6.25</v>
      </c>
      <c r="P34" s="116">
        <f t="shared" ref="P34:P39" si="1">SUMPRODUCT(H34,O34)/SUMPRODUCT($H$39,$O$39)*100</f>
        <v>5.5858660462820477</v>
      </c>
    </row>
    <row r="35" spans="2:16">
      <c r="B35" s="122" t="s">
        <v>256</v>
      </c>
      <c r="C35" s="98">
        <v>1</v>
      </c>
      <c r="D35" s="98">
        <f>+D34+C35</f>
        <v>1.5</v>
      </c>
      <c r="E35" s="116">
        <v>16.5</v>
      </c>
      <c r="F35" s="111">
        <v>89.800000000000011</v>
      </c>
      <c r="G35" s="114">
        <f t="shared" ref="G35:G40" si="2">+E35/F35*100</f>
        <v>18.37416481069042</v>
      </c>
      <c r="H35" s="116">
        <f>H34+E35</f>
        <v>36.200000000000003</v>
      </c>
      <c r="I35" s="800">
        <v>7.99</v>
      </c>
      <c r="J35" s="115">
        <f>SUMPRODUCT(E34:E35,I34:I35)/H35</f>
        <v>4.9604447513812158</v>
      </c>
      <c r="K35" s="116">
        <f t="shared" si="0"/>
        <v>16.135490673449329</v>
      </c>
      <c r="L35" s="125">
        <f t="shared" ref="L35:L39" si="3">E35/$E$40*100</f>
        <v>3.6740146960587845</v>
      </c>
      <c r="M35" s="125">
        <f>+M34+L35</f>
        <v>8.0605655755956356</v>
      </c>
      <c r="N35" s="800">
        <v>10</v>
      </c>
      <c r="O35" s="115">
        <f>SUMPRODUCT(E34:E35,N34:N35)/H35</f>
        <v>7.9592541436464082</v>
      </c>
      <c r="P35" s="116">
        <f t="shared" si="1"/>
        <v>13.071493641299616</v>
      </c>
    </row>
    <row r="36" spans="2:16">
      <c r="B36" s="122" t="s">
        <v>257</v>
      </c>
      <c r="C36" s="98">
        <v>2</v>
      </c>
      <c r="D36" s="98">
        <f>+D35+C36</f>
        <v>3.5</v>
      </c>
      <c r="E36" s="116">
        <v>29</v>
      </c>
      <c r="F36" s="111">
        <v>187.39999999999998</v>
      </c>
      <c r="G36" s="114">
        <f t="shared" si="2"/>
        <v>15.474919957310568</v>
      </c>
      <c r="H36" s="111">
        <f>H35+E36</f>
        <v>65.2</v>
      </c>
      <c r="I36" s="800">
        <v>7.01</v>
      </c>
      <c r="J36" s="115">
        <f>SUMPRODUCT(E34:E36,I34:I36)/H36</f>
        <v>5.8720567484662576</v>
      </c>
      <c r="K36" s="116">
        <f t="shared" si="0"/>
        <v>34.402565387752787</v>
      </c>
      <c r="L36" s="125">
        <f t="shared" si="3"/>
        <v>6.4573591627699853</v>
      </c>
      <c r="M36" s="125">
        <f>+M35+L36</f>
        <v>14.517924738365622</v>
      </c>
      <c r="N36" s="800">
        <v>9.6</v>
      </c>
      <c r="O36" s="115">
        <f>SUMPRODUCT(E34:E36,N34:N36)/H36</f>
        <v>8.6890337423312882</v>
      </c>
      <c r="P36" s="116">
        <f t="shared" si="1"/>
        <v>25.701788928892892</v>
      </c>
    </row>
    <row r="37" spans="2:16">
      <c r="B37" s="122" t="s">
        <v>259</v>
      </c>
      <c r="C37" s="98">
        <v>8</v>
      </c>
      <c r="D37" s="98">
        <f>+D36+C37</f>
        <v>11.5</v>
      </c>
      <c r="E37" s="116">
        <v>46.9</v>
      </c>
      <c r="F37" s="111">
        <v>644.5</v>
      </c>
      <c r="G37" s="114">
        <f t="shared" si="2"/>
        <v>7.2769588828549265</v>
      </c>
      <c r="H37" s="111">
        <f>H36+E37</f>
        <v>112.1</v>
      </c>
      <c r="I37" s="800">
        <v>5.55</v>
      </c>
      <c r="J37" s="115">
        <f>SUMPRODUCT(E34:E37,I34:I37)/H37</f>
        <v>5.7373157894736844</v>
      </c>
      <c r="K37" s="116">
        <f t="shared" si="0"/>
        <v>57.791951057287029</v>
      </c>
      <c r="L37" s="125">
        <f t="shared" si="3"/>
        <v>10.443108439100424</v>
      </c>
      <c r="M37" s="125">
        <f>+M36+L37</f>
        <v>24.961033177466046</v>
      </c>
      <c r="N37" s="800">
        <v>9.3000000000000007</v>
      </c>
      <c r="O37" s="115">
        <f>SUMPRODUCT(E34:E37,N34:N37)/H37</f>
        <v>8.9446476360392513</v>
      </c>
      <c r="P37" s="116">
        <f t="shared" si="1"/>
        <v>45.489705220522062</v>
      </c>
    </row>
    <row r="38" spans="2:16">
      <c r="B38" s="122" t="s">
        <v>261</v>
      </c>
      <c r="C38" s="98">
        <v>16</v>
      </c>
      <c r="D38" s="98">
        <f>+D37+C38</f>
        <v>27.5</v>
      </c>
      <c r="E38" s="116">
        <v>42.3</v>
      </c>
      <c r="F38" s="111">
        <v>602.29999999999995</v>
      </c>
      <c r="G38" s="114">
        <f t="shared" si="2"/>
        <v>7.0230782002324421</v>
      </c>
      <c r="H38" s="111">
        <f>H37+E38</f>
        <v>154.39999999999998</v>
      </c>
      <c r="I38" s="800">
        <v>8.91</v>
      </c>
      <c r="J38" s="130">
        <f>SUMPRODUCT(E34:E38,I34:I38)/H38</f>
        <v>6.6065161917098454</v>
      </c>
      <c r="K38" s="131">
        <f t="shared" si="0"/>
        <v>91.658509128505344</v>
      </c>
      <c r="L38" s="125">
        <f t="shared" si="3"/>
        <v>9.4188376753507015</v>
      </c>
      <c r="M38" s="125">
        <f>+M37+L38</f>
        <v>34.379870852816751</v>
      </c>
      <c r="N38" s="800">
        <v>10.5</v>
      </c>
      <c r="O38" s="115">
        <f>SUMPRODUCT(E34:E38,N34:N38)/H38</f>
        <v>9.3707577720207258</v>
      </c>
      <c r="P38" s="116">
        <f t="shared" si="1"/>
        <v>65.63965368311024</v>
      </c>
    </row>
    <row r="39" spans="2:16">
      <c r="B39" s="122" t="s">
        <v>278</v>
      </c>
      <c r="E39" s="116">
        <v>294.7</v>
      </c>
      <c r="F39" s="111">
        <v>4494.8</v>
      </c>
      <c r="G39" s="114">
        <f t="shared" si="2"/>
        <v>6.5564652487318673</v>
      </c>
      <c r="H39" s="116">
        <f>H38+E39</f>
        <v>449.09999999999997</v>
      </c>
      <c r="I39" s="801">
        <v>0.315</v>
      </c>
      <c r="J39" s="115">
        <f>SUMPRODUCT(E34:E39,I34:I39)/H39</f>
        <v>2.4780151413938993</v>
      </c>
      <c r="K39" s="116">
        <f t="shared" si="0"/>
        <v>100</v>
      </c>
      <c r="L39" s="125">
        <f t="shared" si="3"/>
        <v>65.620129147183263</v>
      </c>
      <c r="M39" s="125">
        <f>+M38+L39</f>
        <v>100.00000000000001</v>
      </c>
      <c r="N39" s="801">
        <v>2.57</v>
      </c>
      <c r="O39" s="115">
        <f>SUMPRODUCT(E34:E39,N34:N39)/H39</f>
        <v>4.9080917390336225</v>
      </c>
      <c r="P39" s="116">
        <f t="shared" si="1"/>
        <v>100</v>
      </c>
    </row>
    <row r="40" spans="2:16">
      <c r="B40" s="123" t="s">
        <v>32</v>
      </c>
      <c r="E40" s="116">
        <f>+SUM(E34:E39)</f>
        <v>449.09999999999997</v>
      </c>
      <c r="F40" s="116">
        <f>+SUM(F34:F39)</f>
        <v>6219.1</v>
      </c>
      <c r="G40" s="114">
        <f t="shared" si="2"/>
        <v>7.2213021176697589</v>
      </c>
    </row>
    <row r="41" spans="2:16">
      <c r="B41" s="124" t="s">
        <v>292</v>
      </c>
      <c r="J41" s="800">
        <v>2.468</v>
      </c>
      <c r="N41" s="800">
        <v>4.9400000000000004</v>
      </c>
    </row>
    <row r="42" spans="2:16">
      <c r="B42" s="124" t="s">
        <v>53</v>
      </c>
      <c r="J42" s="114">
        <f>+SUMPRODUCT(I34:I39,E34:E39)/SUM(E34:E39)</f>
        <v>2.4780151413938993</v>
      </c>
    </row>
    <row r="43" spans="2:16">
      <c r="B43" s="124" t="s">
        <v>51</v>
      </c>
      <c r="J43" s="118">
        <f>+(J41-J42)/J41</f>
        <v>-4.0579989440435024E-3</v>
      </c>
    </row>
    <row r="45" spans="2:16">
      <c r="B45" s="1411" t="s">
        <v>789</v>
      </c>
      <c r="C45" s="1411"/>
      <c r="D45" s="1411"/>
      <c r="E45" s="1411"/>
      <c r="F45" s="1411"/>
      <c r="G45" s="1411"/>
      <c r="H45" s="1411"/>
      <c r="I45" s="1411"/>
      <c r="J45" s="1411"/>
      <c r="K45" s="1411"/>
      <c r="L45" s="1411"/>
      <c r="M45" s="1411"/>
      <c r="N45" s="1411"/>
      <c r="O45" s="1411"/>
      <c r="P45" s="1411"/>
    </row>
    <row r="46" spans="2:16">
      <c r="B46" s="121" t="s">
        <v>762</v>
      </c>
      <c r="C46" s="121" t="s">
        <v>308</v>
      </c>
      <c r="D46" s="121" t="s">
        <v>309</v>
      </c>
      <c r="E46" s="121" t="s">
        <v>311</v>
      </c>
      <c r="F46" s="121" t="s">
        <v>312</v>
      </c>
      <c r="G46" s="121" t="s">
        <v>310</v>
      </c>
      <c r="H46" s="121" t="s">
        <v>271</v>
      </c>
      <c r="I46" s="121" t="s">
        <v>272</v>
      </c>
      <c r="J46" s="121" t="s">
        <v>273</v>
      </c>
      <c r="K46" s="121" t="s">
        <v>274</v>
      </c>
      <c r="L46" s="121" t="s">
        <v>316</v>
      </c>
      <c r="M46" s="121" t="s">
        <v>317</v>
      </c>
      <c r="N46" s="121" t="s">
        <v>275</v>
      </c>
      <c r="O46" s="121" t="s">
        <v>276</v>
      </c>
      <c r="P46" s="121" t="s">
        <v>277</v>
      </c>
    </row>
    <row r="47" spans="2:16">
      <c r="B47" s="122" t="s">
        <v>255</v>
      </c>
      <c r="C47" s="98">
        <f>+D47</f>
        <v>0.5</v>
      </c>
      <c r="D47" s="98">
        <v>0.5</v>
      </c>
      <c r="E47" s="116">
        <v>36.6</v>
      </c>
      <c r="F47" s="111">
        <v>99.600000000000023</v>
      </c>
      <c r="G47" s="114">
        <f>+E47/F47*100</f>
        <v>36.74698795180722</v>
      </c>
      <c r="H47" s="116">
        <f>E47</f>
        <v>36.6</v>
      </c>
      <c r="I47" s="800">
        <v>10.64</v>
      </c>
      <c r="J47" s="115">
        <f>SUMPRODUCT(E47,I47)/H47</f>
        <v>10.64</v>
      </c>
      <c r="K47" s="116">
        <f>SUMPRODUCT(H47,J47)/SUMPRODUCT($H$54,$J$54)*100</f>
        <v>18.28204012928089</v>
      </c>
      <c r="L47" s="125">
        <f>E47/$E$55*100</f>
        <v>4.1600363719027058</v>
      </c>
      <c r="M47" s="125">
        <f>+L47</f>
        <v>4.1600363719027058</v>
      </c>
      <c r="N47" s="800">
        <v>13.4</v>
      </c>
      <c r="O47" s="115">
        <f>SUMPRODUCT(E47,N47)/H47</f>
        <v>13.4</v>
      </c>
      <c r="P47" s="116">
        <f>SUMPRODUCT(H47,O47)/SUMPRODUCT($H$54,$O$54)*100</f>
        <v>7.3348645957434346</v>
      </c>
    </row>
    <row r="48" spans="2:16">
      <c r="B48" s="122" t="s">
        <v>256</v>
      </c>
      <c r="C48" s="98">
        <f>+D48-D47</f>
        <v>0.5</v>
      </c>
      <c r="D48" s="98">
        <v>1</v>
      </c>
      <c r="E48" s="116">
        <v>30</v>
      </c>
      <c r="F48" s="111">
        <v>82.399999999999977</v>
      </c>
      <c r="G48" s="114">
        <f t="shared" ref="G48:G55" si="4">+E48/F48*100</f>
        <v>36.407766990291272</v>
      </c>
      <c r="H48" s="116">
        <f>H47+E48</f>
        <v>66.599999999999994</v>
      </c>
      <c r="I48" s="800">
        <v>9.9499999999999993</v>
      </c>
      <c r="J48" s="115">
        <f>SUMPRODUCT(E47:E48,I47:I48)/H48</f>
        <v>10.32918918918919</v>
      </c>
      <c r="K48" s="116">
        <f t="shared" ref="K48:K54" si="5">SUMPRODUCT(H48,J48)/SUMPRODUCT($H$54,$J$54)*100</f>
        <v>32.295529227514038</v>
      </c>
      <c r="L48" s="125">
        <f t="shared" ref="L48:L53" si="6">E48/$E$55*100</f>
        <v>3.4098658786087745</v>
      </c>
      <c r="M48" s="125">
        <f t="shared" ref="M48:M54" si="7">+M47+L48</f>
        <v>7.5699022505114808</v>
      </c>
      <c r="N48" s="800">
        <v>12.5</v>
      </c>
      <c r="O48" s="115">
        <f>SUMPRODUCT(E47:E48,N47:N48)/H48</f>
        <v>12.994594594594597</v>
      </c>
      <c r="P48" s="116">
        <f t="shared" ref="P48:P54" si="8">SUMPRODUCT(H48,O48)/SUMPRODUCT($H$54,$O$54)*100</f>
        <v>12.943245281258051</v>
      </c>
    </row>
    <row r="49" spans="2:16">
      <c r="B49" s="122" t="s">
        <v>257</v>
      </c>
      <c r="C49" s="98">
        <f t="shared" ref="C49:C51" si="9">+D49-D48</f>
        <v>1</v>
      </c>
      <c r="D49" s="98">
        <v>2</v>
      </c>
      <c r="E49" s="116">
        <v>40</v>
      </c>
      <c r="F49" s="111">
        <v>106.89999999999998</v>
      </c>
      <c r="G49" s="114">
        <f t="shared" si="4"/>
        <v>37.41814780168383</v>
      </c>
      <c r="H49" s="116">
        <f>H48+E49</f>
        <v>106.6</v>
      </c>
      <c r="I49" s="800">
        <v>9.2899999999999991</v>
      </c>
      <c r="J49" s="115">
        <f>SUMPRODUCT(E47:E49,I47:I49)/H49</f>
        <v>9.9392495309568467</v>
      </c>
      <c r="K49" s="116">
        <f>SUMPRODUCT(H49,J49)/SUMPRODUCT($H$54,$J$54)*100</f>
        <v>49.740797398044812</v>
      </c>
      <c r="L49" s="125">
        <f>E49/$E$55*100</f>
        <v>4.5464878381450333</v>
      </c>
      <c r="M49" s="125">
        <f t="shared" si="7"/>
        <v>12.116390088656514</v>
      </c>
      <c r="N49" s="800">
        <v>11.8</v>
      </c>
      <c r="O49" s="115">
        <f>SUMPRODUCT(E47:E49,N47:N49)/H49</f>
        <v>12.546341463414635</v>
      </c>
      <c r="P49" s="116">
        <f t="shared" si="8"/>
        <v>20.002327104092448</v>
      </c>
    </row>
    <row r="50" spans="2:16">
      <c r="B50" s="122" t="s">
        <v>259</v>
      </c>
      <c r="C50" s="98">
        <f t="shared" si="9"/>
        <v>4</v>
      </c>
      <c r="D50" s="98">
        <v>6</v>
      </c>
      <c r="E50" s="116">
        <v>82.3</v>
      </c>
      <c r="F50" s="111">
        <v>314.79999999999995</v>
      </c>
      <c r="G50" s="114">
        <f t="shared" si="4"/>
        <v>26.143583227445998</v>
      </c>
      <c r="H50" s="116">
        <f t="shared" ref="H50:H54" si="10">H49+E50</f>
        <v>188.89999999999998</v>
      </c>
      <c r="I50" s="801">
        <v>8.26</v>
      </c>
      <c r="J50" s="115">
        <f>SUMPRODUCT(E47:E50,I47:I50)/H50</f>
        <v>9.2076336686077287</v>
      </c>
      <c r="K50" s="116">
        <f t="shared" si="5"/>
        <v>81.654840486824369</v>
      </c>
      <c r="L50" s="125">
        <f t="shared" si="6"/>
        <v>9.3543987269834048</v>
      </c>
      <c r="M50" s="125">
        <f t="shared" si="7"/>
        <v>21.470788815639921</v>
      </c>
      <c r="N50" s="801">
        <v>11.6</v>
      </c>
      <c r="O50" s="115">
        <f>SUMPRODUCT(E47:E50,N47:N50)/H50</f>
        <v>12.134039174166226</v>
      </c>
      <c r="P50" s="116">
        <f t="shared" si="8"/>
        <v>34.28021743168469</v>
      </c>
    </row>
    <row r="51" spans="2:16">
      <c r="B51" s="122" t="s">
        <v>261</v>
      </c>
      <c r="C51" s="98">
        <f t="shared" si="9"/>
        <v>4</v>
      </c>
      <c r="D51" s="98">
        <v>10</v>
      </c>
      <c r="E51" s="116">
        <v>9.6</v>
      </c>
      <c r="F51" s="111">
        <v>272.39999999999998</v>
      </c>
      <c r="G51" s="114">
        <f t="shared" si="4"/>
        <v>3.5242290748898681</v>
      </c>
      <c r="H51" s="116">
        <f t="shared" si="10"/>
        <v>198.49999999999997</v>
      </c>
      <c r="I51" s="801">
        <v>9.65</v>
      </c>
      <c r="J51" s="115">
        <f>SUMPRODUCT(E47:E51,I47:I51)/H51</f>
        <v>9.2290277078085659</v>
      </c>
      <c r="K51" s="116">
        <f t="shared" si="5"/>
        <v>86.00395147530115</v>
      </c>
      <c r="L51" s="125">
        <f t="shared" si="6"/>
        <v>1.0911570811548079</v>
      </c>
      <c r="M51" s="125">
        <f t="shared" si="7"/>
        <v>22.561945896794729</v>
      </c>
      <c r="N51" s="801">
        <v>12.8</v>
      </c>
      <c r="O51" s="115">
        <f>SUMPRODUCT(E47:E51,N47:N51)/H51</f>
        <v>12.166246851385392</v>
      </c>
      <c r="P51" s="116">
        <f t="shared" si="8"/>
        <v>36.117971614714115</v>
      </c>
    </row>
    <row r="52" spans="2:16">
      <c r="B52" s="122" t="s">
        <v>280</v>
      </c>
      <c r="C52" s="98"/>
      <c r="E52" s="116">
        <v>5.9</v>
      </c>
      <c r="F52" s="111">
        <v>2352.6</v>
      </c>
      <c r="G52" s="114">
        <f t="shared" si="4"/>
        <v>0.25078636402278331</v>
      </c>
      <c r="H52" s="116">
        <f>H51+E52</f>
        <v>204.39999999999998</v>
      </c>
      <c r="I52" s="800">
        <v>3.2839999999999998</v>
      </c>
      <c r="J52" s="115">
        <f>SUMPRODUCT(E47:E52,I47:I52)/H52</f>
        <v>9.0574246575342485</v>
      </c>
      <c r="K52" s="116">
        <f t="shared" si="5"/>
        <v>86.913565409544816</v>
      </c>
      <c r="L52" s="125">
        <f t="shared" si="6"/>
        <v>0.67060695612639243</v>
      </c>
      <c r="M52" s="125">
        <f t="shared" si="7"/>
        <v>23.23255285292112</v>
      </c>
      <c r="N52" s="800">
        <v>2.5499999999999998</v>
      </c>
      <c r="O52" s="115">
        <f>SUMPRODUCT(E47:E52,N47:N52)/H52</f>
        <v>11.888674168297458</v>
      </c>
      <c r="P52" s="116">
        <f t="shared" si="8"/>
        <v>36.34297984781697</v>
      </c>
    </row>
    <row r="53" spans="2:16">
      <c r="B53" s="122" t="s">
        <v>281</v>
      </c>
      <c r="C53" s="98">
        <v>14</v>
      </c>
      <c r="E53" s="116">
        <v>75.099999999999994</v>
      </c>
      <c r="F53" s="111">
        <v>2138.3000000000002</v>
      </c>
      <c r="G53" s="114">
        <f t="shared" si="4"/>
        <v>3.5121358088200902</v>
      </c>
      <c r="H53" s="116">
        <f>H52+E53</f>
        <v>279.5</v>
      </c>
      <c r="I53" s="800">
        <v>1.018</v>
      </c>
      <c r="J53" s="115">
        <f>SUMPRODUCT(E47:E53,I47:I53)/H53</f>
        <v>6.8972787119856891</v>
      </c>
      <c r="K53" s="116">
        <f t="shared" si="5"/>
        <v>90.502699298457031</v>
      </c>
      <c r="L53" s="125">
        <f t="shared" si="6"/>
        <v>8.5360309161172978</v>
      </c>
      <c r="M53" s="125">
        <f t="shared" si="7"/>
        <v>31.768583769038418</v>
      </c>
      <c r="N53" s="800">
        <v>4</v>
      </c>
      <c r="O53" s="115">
        <f>SUMPRODUCT(E47:E53,N47:N53)/H53</f>
        <v>9.7690339892665481</v>
      </c>
      <c r="P53" s="116">
        <f t="shared" si="8"/>
        <v>40.835666668959874</v>
      </c>
    </row>
    <row r="54" spans="2:16">
      <c r="B54" s="122" t="s">
        <v>282</v>
      </c>
      <c r="C54" s="98">
        <v>16</v>
      </c>
      <c r="E54" s="116">
        <v>600.29999999999995</v>
      </c>
      <c r="F54" s="111">
        <v>5693.7999999999993</v>
      </c>
      <c r="G54" s="114">
        <f t="shared" si="4"/>
        <v>10.543046822859955</v>
      </c>
      <c r="H54" s="116">
        <f t="shared" si="10"/>
        <v>879.8</v>
      </c>
      <c r="I54" s="800">
        <v>0.33700000000000002</v>
      </c>
      <c r="J54" s="115">
        <f>SUMPRODUCT(E47:E54,I47:I54)/H54</f>
        <v>2.4211076380995684</v>
      </c>
      <c r="K54" s="116">
        <f t="shared" si="5"/>
        <v>100</v>
      </c>
      <c r="L54" s="125">
        <f>E54/$E$55*100</f>
        <v>68.231416230961585</v>
      </c>
      <c r="M54" s="125">
        <f t="shared" si="7"/>
        <v>100</v>
      </c>
      <c r="N54" s="800">
        <v>6.59</v>
      </c>
      <c r="O54" s="115">
        <f>SUMPRODUCT(E47:E54,N47:N54)/H54</f>
        <v>7.5999340759263472</v>
      </c>
      <c r="P54" s="116">
        <f t="shared" si="8"/>
        <v>100</v>
      </c>
    </row>
    <row r="55" spans="2:16">
      <c r="B55" s="123" t="s">
        <v>32</v>
      </c>
      <c r="E55" s="116">
        <f>+SUM(E47:E54)</f>
        <v>879.8</v>
      </c>
      <c r="F55" s="116">
        <f>+SUM(F47:F54)</f>
        <v>11060.8</v>
      </c>
      <c r="G55" s="114">
        <f t="shared" si="4"/>
        <v>7.9542166931867495</v>
      </c>
      <c r="I55" s="800"/>
    </row>
    <row r="56" spans="2:16">
      <c r="B56" s="124" t="s">
        <v>292</v>
      </c>
      <c r="J56" s="114">
        <f>+J41</f>
        <v>2.468</v>
      </c>
    </row>
    <row r="57" spans="2:16">
      <c r="B57" s="124" t="s">
        <v>53</v>
      </c>
      <c r="J57" s="114">
        <v>2.468</v>
      </c>
    </row>
    <row r="58" spans="2:16">
      <c r="B58" s="124" t="s">
        <v>51</v>
      </c>
      <c r="J58" s="118">
        <f>+(J56-J57)/J56</f>
        <v>0</v>
      </c>
    </row>
    <row r="59" spans="2:16">
      <c r="J59" s="117"/>
    </row>
    <row r="61" spans="2:16">
      <c r="B61" s="121" t="s">
        <v>270</v>
      </c>
      <c r="C61" s="121" t="s">
        <v>310</v>
      </c>
      <c r="D61" s="121" t="s">
        <v>273</v>
      </c>
      <c r="E61" s="121" t="s">
        <v>274</v>
      </c>
      <c r="F61" s="121" t="s">
        <v>317</v>
      </c>
    </row>
    <row r="62" spans="2:16">
      <c r="B62" s="122" t="s">
        <v>255</v>
      </c>
      <c r="C62" s="110">
        <f t="shared" ref="C62:C67" si="11">+G34</f>
        <v>9.8352471293060386</v>
      </c>
      <c r="D62" s="110">
        <f t="shared" ref="D62:E67" si="12">+J34</f>
        <v>2.423</v>
      </c>
      <c r="E62" s="132">
        <f>+K34</f>
        <v>4.2891637761095884</v>
      </c>
      <c r="F62" s="132">
        <f t="shared" ref="F62:F67" si="13">+M34</f>
        <v>4.386550879536852</v>
      </c>
    </row>
    <row r="63" spans="2:16">
      <c r="B63" s="122" t="s">
        <v>256</v>
      </c>
      <c r="C63" s="110">
        <f t="shared" si="11"/>
        <v>18.37416481069042</v>
      </c>
      <c r="D63" s="110">
        <f t="shared" si="12"/>
        <v>4.9604447513812158</v>
      </c>
      <c r="E63" s="132">
        <f t="shared" si="12"/>
        <v>16.135490673449329</v>
      </c>
      <c r="F63" s="132">
        <f>+M35</f>
        <v>8.0605655755956356</v>
      </c>
    </row>
    <row r="64" spans="2:16">
      <c r="B64" s="122" t="s">
        <v>257</v>
      </c>
      <c r="C64" s="110">
        <f t="shared" si="11"/>
        <v>15.474919957310568</v>
      </c>
      <c r="D64" s="110">
        <f t="shared" si="12"/>
        <v>5.8720567484662576</v>
      </c>
      <c r="E64" s="132">
        <f t="shared" si="12"/>
        <v>34.402565387752787</v>
      </c>
      <c r="F64" s="132">
        <f t="shared" si="13"/>
        <v>14.517924738365622</v>
      </c>
    </row>
    <row r="65" spans="2:6">
      <c r="B65" s="122" t="s">
        <v>259</v>
      </c>
      <c r="C65" s="110">
        <f t="shared" si="11"/>
        <v>7.2769588828549265</v>
      </c>
      <c r="D65" s="110">
        <f t="shared" si="12"/>
        <v>5.7373157894736844</v>
      </c>
      <c r="E65" s="132">
        <f t="shared" si="12"/>
        <v>57.791951057287029</v>
      </c>
      <c r="F65" s="132">
        <f t="shared" si="13"/>
        <v>24.961033177466046</v>
      </c>
    </row>
    <row r="66" spans="2:6">
      <c r="B66" s="122" t="s">
        <v>261</v>
      </c>
      <c r="C66" s="110">
        <f t="shared" si="11"/>
        <v>7.0230782002324421</v>
      </c>
      <c r="D66" s="110">
        <f t="shared" si="12"/>
        <v>6.6065161917098454</v>
      </c>
      <c r="E66" s="132">
        <f t="shared" si="12"/>
        <v>91.658509128505344</v>
      </c>
      <c r="F66" s="132">
        <f t="shared" si="13"/>
        <v>34.379870852816751</v>
      </c>
    </row>
    <row r="67" spans="2:6">
      <c r="B67" s="122" t="s">
        <v>278</v>
      </c>
      <c r="C67" s="110">
        <f t="shared" si="11"/>
        <v>6.5564652487318673</v>
      </c>
      <c r="D67" s="110">
        <f t="shared" si="12"/>
        <v>2.4780151413938993</v>
      </c>
      <c r="E67" s="132">
        <f t="shared" si="12"/>
        <v>100</v>
      </c>
      <c r="F67" s="132">
        <f t="shared" si="13"/>
        <v>100.00000000000001</v>
      </c>
    </row>
    <row r="69" spans="2:6">
      <c r="B69" s="121" t="s">
        <v>279</v>
      </c>
      <c r="C69" s="121" t="s">
        <v>310</v>
      </c>
      <c r="D69" s="121" t="s">
        <v>273</v>
      </c>
      <c r="E69" s="121" t="s">
        <v>274</v>
      </c>
      <c r="F69" s="121" t="s">
        <v>317</v>
      </c>
    </row>
    <row r="70" spans="2:6">
      <c r="B70" s="122" t="s">
        <v>255</v>
      </c>
      <c r="C70" s="110">
        <f t="shared" ref="C70:C77" si="14">+G47</f>
        <v>36.74698795180722</v>
      </c>
      <c r="D70" s="110">
        <f t="shared" ref="D70:E77" si="15">+J47</f>
        <v>10.64</v>
      </c>
      <c r="E70" s="132">
        <f>+K47</f>
        <v>18.28204012928089</v>
      </c>
      <c r="F70" s="132">
        <f t="shared" ref="F70:F77" si="16">+M47</f>
        <v>4.1600363719027058</v>
      </c>
    </row>
    <row r="71" spans="2:6">
      <c r="B71" s="122" t="s">
        <v>256</v>
      </c>
      <c r="C71" s="110">
        <f t="shared" si="14"/>
        <v>36.407766990291272</v>
      </c>
      <c r="D71" s="110">
        <f t="shared" si="15"/>
        <v>10.32918918918919</v>
      </c>
      <c r="E71" s="132">
        <f t="shared" si="15"/>
        <v>32.295529227514038</v>
      </c>
      <c r="F71" s="132">
        <f t="shared" si="16"/>
        <v>7.5699022505114808</v>
      </c>
    </row>
    <row r="72" spans="2:6">
      <c r="B72" s="122" t="s">
        <v>257</v>
      </c>
      <c r="C72" s="110">
        <f t="shared" si="14"/>
        <v>37.41814780168383</v>
      </c>
      <c r="D72" s="110">
        <f t="shared" si="15"/>
        <v>9.9392495309568467</v>
      </c>
      <c r="E72" s="132">
        <f t="shared" si="15"/>
        <v>49.740797398044812</v>
      </c>
      <c r="F72" s="132">
        <f t="shared" si="16"/>
        <v>12.116390088656514</v>
      </c>
    </row>
    <row r="73" spans="2:6">
      <c r="B73" s="122" t="s">
        <v>259</v>
      </c>
      <c r="C73" s="110">
        <f t="shared" si="14"/>
        <v>26.143583227445998</v>
      </c>
      <c r="D73" s="110">
        <f t="shared" si="15"/>
        <v>9.2076336686077287</v>
      </c>
      <c r="E73" s="132">
        <f t="shared" si="15"/>
        <v>81.654840486824369</v>
      </c>
      <c r="F73" s="132">
        <f t="shared" si="16"/>
        <v>21.470788815639921</v>
      </c>
    </row>
    <row r="74" spans="2:6">
      <c r="B74" s="122" t="s">
        <v>261</v>
      </c>
      <c r="C74" s="110">
        <f t="shared" si="14"/>
        <v>3.5242290748898681</v>
      </c>
      <c r="D74" s="110">
        <f t="shared" si="15"/>
        <v>9.2290277078085659</v>
      </c>
      <c r="E74" s="132">
        <f t="shared" si="15"/>
        <v>86.00395147530115</v>
      </c>
      <c r="F74" s="132">
        <f t="shared" si="16"/>
        <v>22.561945896794729</v>
      </c>
    </row>
    <row r="75" spans="2:6">
      <c r="B75" s="122" t="s">
        <v>280</v>
      </c>
      <c r="C75" s="110">
        <f t="shared" si="14"/>
        <v>0.25078636402278331</v>
      </c>
      <c r="D75" s="110">
        <f t="shared" si="15"/>
        <v>9.0574246575342485</v>
      </c>
      <c r="E75" s="132">
        <f t="shared" si="15"/>
        <v>86.913565409544816</v>
      </c>
      <c r="F75" s="132">
        <f t="shared" si="16"/>
        <v>23.23255285292112</v>
      </c>
    </row>
    <row r="76" spans="2:6">
      <c r="B76" s="122" t="s">
        <v>281</v>
      </c>
      <c r="C76" s="110">
        <f t="shared" si="14"/>
        <v>3.5121358088200902</v>
      </c>
      <c r="D76" s="110">
        <f t="shared" si="15"/>
        <v>6.8972787119856891</v>
      </c>
      <c r="E76" s="132">
        <f t="shared" si="15"/>
        <v>90.502699298457031</v>
      </c>
      <c r="F76" s="132">
        <f t="shared" si="16"/>
        <v>31.768583769038418</v>
      </c>
    </row>
    <row r="77" spans="2:6">
      <c r="B77" s="122" t="s">
        <v>282</v>
      </c>
      <c r="C77" s="110">
        <f t="shared" si="14"/>
        <v>10.543046822859955</v>
      </c>
      <c r="D77" s="110">
        <f t="shared" si="15"/>
        <v>2.4211076380995684</v>
      </c>
      <c r="E77" s="132">
        <f t="shared" si="15"/>
        <v>100</v>
      </c>
      <c r="F77" s="132">
        <f t="shared" si="16"/>
        <v>100</v>
      </c>
    </row>
    <row r="79" spans="2:6">
      <c r="B79" s="121" t="s">
        <v>288</v>
      </c>
      <c r="C79" s="121" t="s">
        <v>310</v>
      </c>
      <c r="D79" s="121" t="s">
        <v>273</v>
      </c>
      <c r="E79" s="121" t="s">
        <v>274</v>
      </c>
      <c r="F79" s="121" t="s">
        <v>317</v>
      </c>
    </row>
    <row r="80" spans="2:6">
      <c r="B80" s="122" t="s">
        <v>255</v>
      </c>
      <c r="C80" s="110" t="e">
        <f>+#REF!</f>
        <v>#REF!</v>
      </c>
      <c r="D80" s="110" t="e">
        <f>+#REF!</f>
        <v>#REF!</v>
      </c>
      <c r="E80" s="132" t="e">
        <f>+#REF!</f>
        <v>#REF!</v>
      </c>
      <c r="F80" s="132" t="e">
        <f>+#REF!</f>
        <v>#REF!</v>
      </c>
    </row>
    <row r="81" spans="2:6">
      <c r="B81" s="122" t="s">
        <v>256</v>
      </c>
      <c r="C81" s="110" t="e">
        <f>+#REF!</f>
        <v>#REF!</v>
      </c>
      <c r="D81" s="110" t="e">
        <f>+#REF!</f>
        <v>#REF!</v>
      </c>
      <c r="E81" s="132" t="e">
        <f>+#REF!</f>
        <v>#REF!</v>
      </c>
      <c r="F81" s="132" t="e">
        <f>+#REF!</f>
        <v>#REF!</v>
      </c>
    </row>
    <row r="82" spans="2:6">
      <c r="B82" s="122" t="s">
        <v>257</v>
      </c>
      <c r="C82" s="110" t="e">
        <f>+#REF!</f>
        <v>#REF!</v>
      </c>
      <c r="D82" s="110" t="e">
        <f>+#REF!</f>
        <v>#REF!</v>
      </c>
      <c r="E82" s="132" t="e">
        <f>+#REF!</f>
        <v>#REF!</v>
      </c>
      <c r="F82" s="132" t="e">
        <f>+#REF!</f>
        <v>#REF!</v>
      </c>
    </row>
    <row r="83" spans="2:6">
      <c r="B83" s="122" t="s">
        <v>259</v>
      </c>
      <c r="C83" s="110" t="e">
        <f>+#REF!</f>
        <v>#REF!</v>
      </c>
      <c r="D83" s="110" t="e">
        <f>+#REF!</f>
        <v>#REF!</v>
      </c>
      <c r="E83" s="132" t="e">
        <f>+#REF!</f>
        <v>#REF!</v>
      </c>
      <c r="F83" s="132" t="e">
        <f>+#REF!</f>
        <v>#REF!</v>
      </c>
    </row>
    <row r="84" spans="2:6">
      <c r="B84" s="122" t="s">
        <v>261</v>
      </c>
      <c r="C84" s="110" t="e">
        <f>+#REF!</f>
        <v>#REF!</v>
      </c>
      <c r="D84" s="110" t="e">
        <f>+#REF!</f>
        <v>#REF!</v>
      </c>
      <c r="E84" s="132" t="e">
        <f>+#REF!</f>
        <v>#REF!</v>
      </c>
      <c r="F84" s="132" t="e">
        <f>+#REF!</f>
        <v>#REF!</v>
      </c>
    </row>
    <row r="85" spans="2:6">
      <c r="B85" s="122" t="s">
        <v>283</v>
      </c>
      <c r="C85" s="110" t="e">
        <f>+#REF!</f>
        <v>#REF!</v>
      </c>
      <c r="D85" s="110" t="e">
        <f>+#REF!</f>
        <v>#REF!</v>
      </c>
      <c r="E85" s="132" t="e">
        <f>+#REF!</f>
        <v>#REF!</v>
      </c>
      <c r="F85" s="132" t="e">
        <f>+#REF!</f>
        <v>#REF!</v>
      </c>
    </row>
    <row r="86" spans="2:6">
      <c r="B86" s="122" t="s">
        <v>284</v>
      </c>
      <c r="C86" s="110" t="e">
        <f>+#REF!</f>
        <v>#REF!</v>
      </c>
      <c r="D86" s="110" t="e">
        <f>+#REF!</f>
        <v>#REF!</v>
      </c>
      <c r="E86" s="132" t="e">
        <f>+#REF!</f>
        <v>#REF!</v>
      </c>
      <c r="F86" s="132" t="e">
        <f>+#REF!</f>
        <v>#REF!</v>
      </c>
    </row>
    <row r="87" spans="2:6">
      <c r="B87" s="122" t="s">
        <v>285</v>
      </c>
      <c r="C87" s="110" t="e">
        <f>+#REF!</f>
        <v>#REF!</v>
      </c>
      <c r="D87" s="110" t="e">
        <f>+#REF!</f>
        <v>#REF!</v>
      </c>
      <c r="E87" s="132" t="e">
        <f>+#REF!</f>
        <v>#REF!</v>
      </c>
      <c r="F87" s="132" t="e">
        <f>+#REF!</f>
        <v>#REF!</v>
      </c>
    </row>
    <row r="88" spans="2:6">
      <c r="B88" s="122" t="s">
        <v>278</v>
      </c>
      <c r="C88" s="110" t="e">
        <f>+#REF!</f>
        <v>#REF!</v>
      </c>
      <c r="D88" s="110" t="e">
        <f>+#REF!</f>
        <v>#REF!</v>
      </c>
      <c r="E88" s="132" t="e">
        <f>+#REF!</f>
        <v>#REF!</v>
      </c>
      <c r="F88" s="132" t="e">
        <f>+#REF!</f>
        <v>#REF!</v>
      </c>
    </row>
    <row r="95" spans="2:6" ht="18.5">
      <c r="B95" s="112" t="s">
        <v>428</v>
      </c>
    </row>
    <row r="97" spans="2:16">
      <c r="B97" s="1411" t="s">
        <v>286</v>
      </c>
      <c r="C97" s="1411"/>
      <c r="D97" s="1411"/>
      <c r="E97" s="1411"/>
      <c r="F97" s="1411"/>
      <c r="G97" s="1411"/>
      <c r="H97" s="1411"/>
      <c r="I97" s="1411"/>
      <c r="J97" s="1411"/>
      <c r="K97" s="1411"/>
      <c r="L97" s="1411"/>
      <c r="M97" s="1411"/>
      <c r="N97" s="1411"/>
      <c r="O97" s="1411"/>
      <c r="P97" s="1411"/>
    </row>
    <row r="98" spans="2:16">
      <c r="B98" s="121" t="s">
        <v>786</v>
      </c>
      <c r="C98" s="121" t="s">
        <v>308</v>
      </c>
      <c r="D98" s="121" t="s">
        <v>309</v>
      </c>
      <c r="E98" s="121" t="s">
        <v>311</v>
      </c>
      <c r="F98" s="121" t="s">
        <v>312</v>
      </c>
      <c r="G98" s="121" t="s">
        <v>310</v>
      </c>
      <c r="H98" s="121" t="s">
        <v>271</v>
      </c>
      <c r="I98" s="121" t="s">
        <v>272</v>
      </c>
      <c r="J98" s="121" t="s">
        <v>273</v>
      </c>
      <c r="K98" s="121" t="s">
        <v>274</v>
      </c>
      <c r="L98" s="121" t="s">
        <v>316</v>
      </c>
      <c r="M98" s="121" t="s">
        <v>317</v>
      </c>
      <c r="N98" s="121" t="s">
        <v>275</v>
      </c>
      <c r="O98" s="121" t="s">
        <v>276</v>
      </c>
      <c r="P98" s="121" t="s">
        <v>277</v>
      </c>
    </row>
    <row r="99" spans="2:16">
      <c r="B99" s="122" t="s">
        <v>255</v>
      </c>
      <c r="C99" s="98">
        <v>0.5</v>
      </c>
      <c r="D99" s="98">
        <f>+C99</f>
        <v>0.5</v>
      </c>
      <c r="E99" s="98">
        <v>40.5</v>
      </c>
      <c r="F99" s="98">
        <v>115</v>
      </c>
      <c r="G99" s="114">
        <f>+E99/F99*100</f>
        <v>35.217391304347828</v>
      </c>
      <c r="H99" s="111">
        <f>E99</f>
        <v>40.5</v>
      </c>
      <c r="I99" s="908">
        <v>11.71</v>
      </c>
      <c r="J99" s="115">
        <v>11.71</v>
      </c>
      <c r="K99" s="116">
        <f>SUMPRODUCT(H99,J99)/SUMPRODUCT($H$104,$J$104)*100</f>
        <v>39.676630297014817</v>
      </c>
      <c r="L99" s="125">
        <f>E99/$E$105*100</f>
        <v>5.6754484304932733</v>
      </c>
      <c r="M99" s="125">
        <f>+L99</f>
        <v>5.6754484304932733</v>
      </c>
      <c r="N99" s="907">
        <v>22</v>
      </c>
      <c r="O99" s="115">
        <f>SUMPRODUCT(E99,N99)/H99</f>
        <v>22</v>
      </c>
      <c r="P99" s="116">
        <f>SUMPRODUCT(H99,O99)/SUMPRODUCT($H$104,$O$104)*100</f>
        <v>19.788505077272891</v>
      </c>
    </row>
    <row r="100" spans="2:16">
      <c r="B100" s="122" t="s">
        <v>256</v>
      </c>
      <c r="C100" s="98">
        <v>1</v>
      </c>
      <c r="D100" s="98">
        <f>+D99+C100</f>
        <v>1.5</v>
      </c>
      <c r="E100" s="98">
        <v>15.7</v>
      </c>
      <c r="F100" s="98">
        <v>67.5</v>
      </c>
      <c r="G100" s="114">
        <f t="shared" ref="G100:G105" si="17">+E100/F100*100</f>
        <v>23.259259259259256</v>
      </c>
      <c r="H100" s="111">
        <f>H99+E100</f>
        <v>56.2</v>
      </c>
      <c r="I100" s="908">
        <v>11.27</v>
      </c>
      <c r="J100" s="115">
        <v>11.587081850533808</v>
      </c>
      <c r="K100" s="116">
        <f t="shared" ref="K100:K104" si="18">SUMPRODUCT(H100,J100)/SUMPRODUCT($H$104,$J$104)*100</f>
        <v>54.479517537262169</v>
      </c>
      <c r="L100" s="125">
        <f t="shared" ref="L100:L104" si="19">E100/$E$105*100</f>
        <v>2.2001121076233181</v>
      </c>
      <c r="M100" s="125">
        <f>+M99+L100</f>
        <v>7.8755605381165914</v>
      </c>
      <c r="N100" s="907">
        <v>20.8</v>
      </c>
      <c r="O100" s="115">
        <f>SUMPRODUCT(E99:E100,N99:N100)/H100</f>
        <v>21.664768683274019</v>
      </c>
      <c r="P100" s="116">
        <f t="shared" ref="P100:P104" si="20">SUMPRODUCT(H100,O100)/SUMPRODUCT($H$104,$O$104)*100</f>
        <v>27.041180967322536</v>
      </c>
    </row>
    <row r="101" spans="2:16">
      <c r="B101" s="122" t="s">
        <v>257</v>
      </c>
      <c r="C101" s="98">
        <v>2</v>
      </c>
      <c r="D101" s="98">
        <f>+D100+C101</f>
        <v>3.5</v>
      </c>
      <c r="E101" s="98">
        <v>16.399999999999999</v>
      </c>
      <c r="F101" s="98">
        <v>103.19999999999993</v>
      </c>
      <c r="G101" s="114">
        <f t="shared" si="17"/>
        <v>15.891472868217063</v>
      </c>
      <c r="H101" s="111">
        <f>H100+E101</f>
        <v>72.599999999999994</v>
      </c>
      <c r="I101" s="908">
        <v>9.8800000000000008</v>
      </c>
      <c r="J101" s="115">
        <v>11.201460055096421</v>
      </c>
      <c r="K101" s="116">
        <f t="shared" si="18"/>
        <v>68.035270792970408</v>
      </c>
      <c r="L101" s="125">
        <f t="shared" si="19"/>
        <v>2.2982062780269055</v>
      </c>
      <c r="M101" s="125">
        <f>+M100+L101</f>
        <v>10.173766816143496</v>
      </c>
      <c r="N101" s="907">
        <v>20.3</v>
      </c>
      <c r="O101" s="115">
        <f>SUMPRODUCT(E99:E101,N99:N101)/H101</f>
        <v>21.356473829201104</v>
      </c>
      <c r="P101" s="116">
        <f t="shared" si="20"/>
        <v>34.435108139405244</v>
      </c>
    </row>
    <row r="102" spans="2:16">
      <c r="B102" s="122" t="s">
        <v>259</v>
      </c>
      <c r="C102" s="98">
        <v>8</v>
      </c>
      <c r="D102" s="98">
        <f>+D101+C102</f>
        <v>11.5</v>
      </c>
      <c r="E102" s="98">
        <v>45.7</v>
      </c>
      <c r="F102" s="98">
        <v>566.79999999999995</v>
      </c>
      <c r="G102" s="114">
        <f t="shared" si="17"/>
        <v>8.062808750882148</v>
      </c>
      <c r="H102" s="111">
        <f>H101+E102</f>
        <v>118.3</v>
      </c>
      <c r="I102" s="907">
        <v>4.6470000000000002</v>
      </c>
      <c r="J102" s="115">
        <v>8.6694327979712611</v>
      </c>
      <c r="K102" s="116">
        <f t="shared" si="18"/>
        <v>85.802173946871591</v>
      </c>
      <c r="L102" s="125">
        <f t="shared" si="19"/>
        <v>6.4041479820627796</v>
      </c>
      <c r="M102" s="125">
        <f>+M101+L102</f>
        <v>16.577914798206276</v>
      </c>
      <c r="N102" s="907">
        <v>14.7</v>
      </c>
      <c r="O102" s="115">
        <f>SUMPRODUCT(E99:E102,N99:N102)/H102</f>
        <v>18.785038038884192</v>
      </c>
      <c r="P102" s="116">
        <f t="shared" si="20"/>
        <v>49.355107943963219</v>
      </c>
    </row>
    <row r="103" spans="2:16">
      <c r="B103" s="122" t="s">
        <v>261</v>
      </c>
      <c r="C103" s="98">
        <v>16</v>
      </c>
      <c r="D103" s="98">
        <f>+D102+C103</f>
        <v>27.5</v>
      </c>
      <c r="E103" s="98">
        <v>25.1</v>
      </c>
      <c r="F103" s="98">
        <v>504.09999999999991</v>
      </c>
      <c r="G103" s="114">
        <f t="shared" si="17"/>
        <v>4.9791707994445558</v>
      </c>
      <c r="H103" s="111">
        <f>H102+E103</f>
        <v>143.4</v>
      </c>
      <c r="I103" s="907">
        <v>1.5589999999999999</v>
      </c>
      <c r="J103" s="130">
        <v>7.4248591352859146</v>
      </c>
      <c r="K103" s="116">
        <f t="shared" si="18"/>
        <v>89.075902747810886</v>
      </c>
      <c r="L103" s="125">
        <f t="shared" si="19"/>
        <v>3.5173766816143495</v>
      </c>
      <c r="M103" s="125">
        <f>+M102+L103</f>
        <v>20.095291479820624</v>
      </c>
      <c r="N103" s="907">
        <v>8.16</v>
      </c>
      <c r="O103" s="115">
        <f>SUMPRODUCT(E99:E103,N99:N103)/H103</f>
        <v>16.92528591352859</v>
      </c>
      <c r="P103" s="116">
        <f t="shared" si="20"/>
        <v>53.903932249133504</v>
      </c>
    </row>
    <row r="104" spans="2:16">
      <c r="B104" s="122" t="s">
        <v>278</v>
      </c>
      <c r="E104" s="98">
        <v>570.20000000000005</v>
      </c>
      <c r="F104" s="98">
        <v>4972.8</v>
      </c>
      <c r="G104" s="114">
        <f t="shared" si="17"/>
        <v>11.466377091377092</v>
      </c>
      <c r="H104" s="111">
        <f>H103+E104</f>
        <v>713.6</v>
      </c>
      <c r="I104" s="907">
        <v>0.22900000000000001</v>
      </c>
      <c r="J104" s="115">
        <v>1.6750288677130047</v>
      </c>
      <c r="K104" s="116">
        <f t="shared" si="18"/>
        <v>100</v>
      </c>
      <c r="L104" s="125">
        <f t="shared" si="19"/>
        <v>79.904708520179383</v>
      </c>
      <c r="M104" s="125">
        <f>+M103+L104</f>
        <v>100</v>
      </c>
      <c r="N104" s="907">
        <v>3.64</v>
      </c>
      <c r="O104" s="115">
        <f>SUMPRODUCT(E99:E104,N99:N104)/H104</f>
        <v>6.3097169282511203</v>
      </c>
      <c r="P104" s="116">
        <f t="shared" si="20"/>
        <v>100</v>
      </c>
    </row>
    <row r="105" spans="2:16">
      <c r="B105" s="123" t="s">
        <v>32</v>
      </c>
      <c r="E105" s="98">
        <f>+SUM(E99:E104)</f>
        <v>713.6</v>
      </c>
      <c r="F105" s="98">
        <f>+SUM(F99:F104)</f>
        <v>6329.4</v>
      </c>
      <c r="G105" s="114">
        <f t="shared" si="17"/>
        <v>11.274370398457991</v>
      </c>
    </row>
    <row r="106" spans="2:16">
      <c r="B106" s="124" t="s">
        <v>292</v>
      </c>
      <c r="J106" s="114">
        <v>1.698</v>
      </c>
    </row>
    <row r="107" spans="2:16">
      <c r="B107" s="124" t="s">
        <v>53</v>
      </c>
      <c r="J107" s="114">
        <f>+SUMPRODUCT(I99:I104,E99:E104)/SUM(E99:E104)</f>
        <v>1.6750288677130047</v>
      </c>
    </row>
    <row r="108" spans="2:16">
      <c r="B108" s="124" t="s">
        <v>51</v>
      </c>
      <c r="J108" s="118">
        <f>+(J106-J107)/J106</f>
        <v>1.352834645877221E-2</v>
      </c>
    </row>
    <row r="110" spans="2:16">
      <c r="B110" s="1411" t="s">
        <v>286</v>
      </c>
      <c r="C110" s="1411"/>
      <c r="D110" s="1411"/>
      <c r="E110" s="1411"/>
      <c r="F110" s="1411"/>
      <c r="G110" s="1411"/>
      <c r="H110" s="1411"/>
      <c r="I110" s="1411"/>
      <c r="J110" s="1411"/>
      <c r="K110" s="1411"/>
      <c r="L110" s="1411"/>
      <c r="M110" s="1411"/>
      <c r="N110" s="1411"/>
      <c r="O110" s="1411"/>
      <c r="P110" s="1411"/>
    </row>
    <row r="111" spans="2:16">
      <c r="B111" s="121" t="s">
        <v>762</v>
      </c>
      <c r="C111" s="121" t="s">
        <v>308</v>
      </c>
      <c r="D111" s="121" t="s">
        <v>309</v>
      </c>
      <c r="E111" s="121" t="s">
        <v>311</v>
      </c>
      <c r="F111" s="121" t="s">
        <v>312</v>
      </c>
      <c r="G111" s="121" t="s">
        <v>310</v>
      </c>
      <c r="H111" s="121" t="s">
        <v>271</v>
      </c>
      <c r="I111" s="121" t="s">
        <v>272</v>
      </c>
      <c r="J111" s="121" t="s">
        <v>273</v>
      </c>
      <c r="K111" s="121" t="s">
        <v>274</v>
      </c>
      <c r="L111" s="121" t="s">
        <v>316</v>
      </c>
      <c r="M111" s="121" t="s">
        <v>317</v>
      </c>
      <c r="N111" s="121" t="s">
        <v>275</v>
      </c>
      <c r="O111" s="121" t="s">
        <v>276</v>
      </c>
      <c r="P111" s="121" t="s">
        <v>277</v>
      </c>
    </row>
    <row r="112" spans="2:16">
      <c r="B112" s="122" t="s">
        <v>255</v>
      </c>
      <c r="C112" s="98">
        <f>+D112</f>
        <v>0.5</v>
      </c>
      <c r="D112" s="98">
        <v>0.5</v>
      </c>
      <c r="E112" s="111">
        <v>58.6</v>
      </c>
      <c r="F112" s="111">
        <v>133.10000000000002</v>
      </c>
      <c r="G112" s="114">
        <f>+E112/F112*100</f>
        <v>44.027047332832453</v>
      </c>
      <c r="H112" s="111">
        <f>E112</f>
        <v>58.6</v>
      </c>
      <c r="I112" s="907">
        <v>11.83</v>
      </c>
      <c r="J112" s="115">
        <f>SUMPRODUCT(E112,I112)/H112</f>
        <v>11.83</v>
      </c>
      <c r="K112" s="116">
        <f t="shared" ref="K112:K119" si="21">SUMPRODUCT(H112,J112)/SUMPRODUCT($H$119,$J$119)*100</f>
        <v>28.993914455743962</v>
      </c>
      <c r="L112" s="125">
        <f>E112/$E$120*100</f>
        <v>4.1863123303329051</v>
      </c>
      <c r="M112" s="125">
        <f>+L112</f>
        <v>4.1863123303329051</v>
      </c>
      <c r="N112" s="907">
        <v>22.8</v>
      </c>
      <c r="O112" s="115">
        <f>SUMPRODUCT(E112,N112)/H112</f>
        <v>22.8</v>
      </c>
      <c r="P112" s="116">
        <f>SUMPRODUCT(H112,O112)/SUMPRODUCT($H$119,$O$119)*100</f>
        <v>8.6254079231506697</v>
      </c>
    </row>
    <row r="113" spans="2:16">
      <c r="B113" s="122" t="s">
        <v>256</v>
      </c>
      <c r="C113" s="98">
        <f>+D113-D112</f>
        <v>0.5</v>
      </c>
      <c r="D113" s="98">
        <v>1</v>
      </c>
      <c r="E113" s="111">
        <v>27.3</v>
      </c>
      <c r="F113" s="111">
        <v>73.100000000000023</v>
      </c>
      <c r="G113" s="114">
        <f t="shared" ref="G113:G120" si="22">+E113/F113*100</f>
        <v>37.34610123119014</v>
      </c>
      <c r="H113" s="111">
        <f>H112+E113</f>
        <v>85.9</v>
      </c>
      <c r="I113" s="907">
        <v>11.57</v>
      </c>
      <c r="J113" s="115">
        <f>SUMPRODUCT(E112:E113,I112:I113)/H113</f>
        <v>11.747369033760187</v>
      </c>
      <c r="K113" s="116">
        <f t="shared" si="21"/>
        <v>42.204452270903744</v>
      </c>
      <c r="L113" s="125">
        <f t="shared" ref="L113:L119" si="23">E113/$E$120*100</f>
        <v>1.950278611230176</v>
      </c>
      <c r="M113" s="125">
        <f t="shared" ref="M113:M119" si="24">+M112+L113</f>
        <v>6.1365909415630808</v>
      </c>
      <c r="N113" s="907">
        <v>22.3</v>
      </c>
      <c r="O113" s="115">
        <f>SUMPRODUCT(E112:E113,N112:N113)/H113</f>
        <v>22.641094295692668</v>
      </c>
      <c r="P113" s="116">
        <f t="shared" ref="P113:P119" si="25">SUMPRODUCT(H113,O113)/SUMPRODUCT($H$119,$O$119)*100</f>
        <v>12.555608277571736</v>
      </c>
    </row>
    <row r="114" spans="2:16">
      <c r="B114" s="122" t="s">
        <v>257</v>
      </c>
      <c r="C114" s="98">
        <f t="shared" ref="C114:C116" si="26">+D114-D113</f>
        <v>1</v>
      </c>
      <c r="D114" s="98">
        <v>2</v>
      </c>
      <c r="E114" s="111">
        <v>45</v>
      </c>
      <c r="F114" s="111">
        <v>127.60000000000002</v>
      </c>
      <c r="G114" s="114">
        <f t="shared" si="22"/>
        <v>35.266457680250781</v>
      </c>
      <c r="H114" s="111">
        <f>H113+E114</f>
        <v>130.9</v>
      </c>
      <c r="I114" s="907">
        <v>10.65</v>
      </c>
      <c r="J114" s="115">
        <f>SUMPRODUCT(E112:E114,I112:I114)/H114</f>
        <v>11.370122230710466</v>
      </c>
      <c r="K114" s="116">
        <f t="shared" si="21"/>
        <v>62.248554733427873</v>
      </c>
      <c r="L114" s="125">
        <f t="shared" si="23"/>
        <v>3.2147449635662237</v>
      </c>
      <c r="M114" s="125">
        <f t="shared" si="24"/>
        <v>9.3513359051293037</v>
      </c>
      <c r="N114" s="907">
        <v>22.1</v>
      </c>
      <c r="O114" s="115">
        <f>SUMPRODUCT(E112:E114,N112:N114)/H114</f>
        <v>22.455080213903745</v>
      </c>
      <c r="P114" s="116">
        <f t="shared" si="25"/>
        <v>18.975858696388979</v>
      </c>
    </row>
    <row r="115" spans="2:16">
      <c r="B115" s="122" t="s">
        <v>259</v>
      </c>
      <c r="C115" s="98">
        <f t="shared" si="26"/>
        <v>4</v>
      </c>
      <c r="D115" s="98">
        <v>6</v>
      </c>
      <c r="E115" s="111">
        <v>43.4</v>
      </c>
      <c r="F115" s="111">
        <v>304.80000000000007</v>
      </c>
      <c r="G115" s="114">
        <f t="shared" si="22"/>
        <v>14.238845144356951</v>
      </c>
      <c r="H115" s="111">
        <f>H114+E115</f>
        <v>174.3</v>
      </c>
      <c r="I115" s="907">
        <v>9.48</v>
      </c>
      <c r="J115" s="115">
        <f>SUMPRODUCT(E112:E115,I112:I115)/H115</f>
        <v>10.899489386115892</v>
      </c>
      <c r="K115" s="116">
        <f t="shared" si="21"/>
        <v>79.456244173931196</v>
      </c>
      <c r="L115" s="125">
        <f t="shared" si="23"/>
        <v>3.1004429204172022</v>
      </c>
      <c r="M115" s="125">
        <f t="shared" si="24"/>
        <v>12.451778825546505</v>
      </c>
      <c r="N115" s="907">
        <v>20.6</v>
      </c>
      <c r="O115" s="115">
        <f>SUMPRODUCT(E112:E115,N112:N115)/H115</f>
        <v>21.993172690763053</v>
      </c>
      <c r="P115" s="116">
        <f t="shared" si="25"/>
        <v>24.747563758670896</v>
      </c>
    </row>
    <row r="116" spans="2:16">
      <c r="B116" s="122" t="s">
        <v>261</v>
      </c>
      <c r="C116" s="98">
        <f t="shared" si="26"/>
        <v>4</v>
      </c>
      <c r="D116" s="98">
        <v>10</v>
      </c>
      <c r="E116" s="111">
        <v>2.2000000000000002</v>
      </c>
      <c r="F116" s="111">
        <v>278.89999999999998</v>
      </c>
      <c r="G116" s="114">
        <f>+E116/F116*100</f>
        <v>0.78881319469343869</v>
      </c>
      <c r="H116" s="111">
        <f t="shared" ref="H116:H119" si="27">H115+E116</f>
        <v>176.5</v>
      </c>
      <c r="I116" s="907">
        <v>11.11</v>
      </c>
      <c r="J116" s="115">
        <f>SUMPRODUCT(E112:E116,I112:I116)/H116</f>
        <v>10.902113314447593</v>
      </c>
      <c r="K116" s="116">
        <f t="shared" si="21"/>
        <v>80.478503855494083</v>
      </c>
      <c r="L116" s="125">
        <f t="shared" si="23"/>
        <v>0.15716530932990427</v>
      </c>
      <c r="M116" s="125">
        <f t="shared" si="24"/>
        <v>12.60894413487641</v>
      </c>
      <c r="N116" s="907">
        <v>17</v>
      </c>
      <c r="O116" s="115">
        <f>SUMPRODUCT(E112:E116,N112:N116)/H116</f>
        <v>21.930934844192638</v>
      </c>
      <c r="P116" s="116">
        <f t="shared" si="25"/>
        <v>24.989009073566589</v>
      </c>
    </row>
    <row r="117" spans="2:16">
      <c r="B117" s="122" t="s">
        <v>280</v>
      </c>
      <c r="C117" s="98"/>
      <c r="E117" s="111">
        <v>15.9</v>
      </c>
      <c r="F117" s="111">
        <v>2820.2</v>
      </c>
      <c r="G117" s="114">
        <f t="shared" si="22"/>
        <v>0.56378980214169205</v>
      </c>
      <c r="H117" s="111">
        <f t="shared" si="27"/>
        <v>192.4</v>
      </c>
      <c r="I117" s="908">
        <v>6.43</v>
      </c>
      <c r="J117" s="115">
        <f>SUMPRODUCT(E112:E117,I112:I117)/H117</f>
        <v>10.532536382536383</v>
      </c>
      <c r="K117" s="116">
        <f t="shared" si="21"/>
        <v>84.754453575809336</v>
      </c>
      <c r="L117" s="125">
        <f t="shared" si="23"/>
        <v>1.135876553793399</v>
      </c>
      <c r="M117" s="125">
        <f t="shared" si="24"/>
        <v>13.744820688669808</v>
      </c>
      <c r="N117" s="907">
        <v>3.28</v>
      </c>
      <c r="O117" s="115">
        <f>SUMPRODUCT(E112:E117,N112:N117)/H117</f>
        <v>20.389615384615386</v>
      </c>
      <c r="P117" s="116">
        <f t="shared" si="25"/>
        <v>25.325689716947338</v>
      </c>
    </row>
    <row r="118" spans="2:16">
      <c r="B118" s="122" t="s">
        <v>281</v>
      </c>
      <c r="C118" s="98">
        <v>14</v>
      </c>
      <c r="E118" s="111">
        <v>86.8</v>
      </c>
      <c r="F118" s="111">
        <v>3175</v>
      </c>
      <c r="G118" s="114">
        <f t="shared" si="22"/>
        <v>2.7338582677165353</v>
      </c>
      <c r="H118" s="111">
        <f t="shared" si="27"/>
        <v>279.2</v>
      </c>
      <c r="I118" s="908">
        <v>1.256</v>
      </c>
      <c r="J118" s="115">
        <f>SUMPRODUCT(E112:E118,I112:I118)/H118</f>
        <v>7.6485702005730669</v>
      </c>
      <c r="K118" s="116">
        <f t="shared" si="21"/>
        <v>89.314128246119921</v>
      </c>
      <c r="L118" s="125">
        <f t="shared" si="23"/>
        <v>6.2008858408344043</v>
      </c>
      <c r="M118" s="125">
        <f t="shared" si="24"/>
        <v>19.945706529504214</v>
      </c>
      <c r="N118" s="907">
        <v>4.16</v>
      </c>
      <c r="O118" s="115">
        <f>SUMPRODUCT(E112:E118,N112:N118)/H118</f>
        <v>15.344018624641835</v>
      </c>
      <c r="P118" s="116">
        <f t="shared" si="25"/>
        <v>27.65678613045149</v>
      </c>
    </row>
    <row r="119" spans="2:16">
      <c r="B119" s="122" t="s">
        <v>282</v>
      </c>
      <c r="C119" s="98">
        <v>16</v>
      </c>
      <c r="E119" s="111">
        <v>1120.5999999999999</v>
      </c>
      <c r="F119" s="111">
        <v>10113.1</v>
      </c>
      <c r="G119" s="114">
        <f t="shared" si="22"/>
        <v>11.080677537055896</v>
      </c>
      <c r="H119" s="111">
        <f t="shared" si="27"/>
        <v>1399.8</v>
      </c>
      <c r="I119" s="907">
        <v>0.22800000000000001</v>
      </c>
      <c r="J119" s="115">
        <f>SUMPRODUCT(E112:E119,I112:I119)/H119</f>
        <v>1.7080851550221461</v>
      </c>
      <c r="K119" s="116">
        <f t="shared" si="21"/>
        <v>100</v>
      </c>
      <c r="L119" s="125">
        <f t="shared" si="23"/>
        <v>80.054293470495779</v>
      </c>
      <c r="M119" s="125">
        <f t="shared" si="24"/>
        <v>100</v>
      </c>
      <c r="N119" s="907">
        <v>10</v>
      </c>
      <c r="O119" s="115">
        <f>SUMPRODUCT(E112:E119,N112:N119)/H119</f>
        <v>11.065902271753107</v>
      </c>
      <c r="P119" s="116">
        <f t="shared" si="25"/>
        <v>100</v>
      </c>
    </row>
    <row r="120" spans="2:16">
      <c r="B120" s="123" t="s">
        <v>32</v>
      </c>
      <c r="E120" s="111">
        <f>+SUM(E112:E119)</f>
        <v>1399.8</v>
      </c>
      <c r="F120" s="111">
        <f>+SUM(F112:F119)</f>
        <v>17025.8</v>
      </c>
      <c r="G120" s="114">
        <f t="shared" si="22"/>
        <v>8.2216400991436522</v>
      </c>
    </row>
    <row r="121" spans="2:16">
      <c r="B121" s="124" t="s">
        <v>292</v>
      </c>
      <c r="J121" s="908">
        <v>1.698</v>
      </c>
      <c r="N121" s="907">
        <v>4.97</v>
      </c>
    </row>
    <row r="122" spans="2:16">
      <c r="B122" s="124" t="s">
        <v>53</v>
      </c>
      <c r="J122" s="114">
        <f>+SUMPRODUCT(I112:I119,E112:E119)/SUM(E112:E119)</f>
        <v>1.7080851550221461</v>
      </c>
    </row>
    <row r="123" spans="2:16">
      <c r="B123" s="124" t="s">
        <v>51</v>
      </c>
      <c r="J123" s="118">
        <f>+(J121-J122)/J121</f>
        <v>-5.9394316973769914E-3</v>
      </c>
    </row>
    <row r="124" spans="2:16">
      <c r="J124" s="117"/>
    </row>
    <row r="125" spans="2:16">
      <c r="B125" s="1427" t="s">
        <v>799</v>
      </c>
      <c r="C125" s="1428"/>
      <c r="D125" s="1428"/>
      <c r="E125" s="1428"/>
      <c r="F125" s="1428"/>
      <c r="G125" s="1428"/>
      <c r="H125" s="1428"/>
      <c r="I125" s="1428"/>
      <c r="J125" s="1428"/>
      <c r="K125" s="1428"/>
    </row>
    <row r="126" spans="2:16" ht="14.65" customHeight="1">
      <c r="B126" s="1430" t="s">
        <v>814</v>
      </c>
      <c r="C126" s="1431"/>
      <c r="D126" s="1430" t="s">
        <v>815</v>
      </c>
      <c r="E126" s="1431"/>
      <c r="F126" s="1430" t="s">
        <v>826</v>
      </c>
      <c r="G126" s="1431"/>
      <c r="H126" s="1430" t="s">
        <v>818</v>
      </c>
      <c r="I126" s="1431"/>
      <c r="J126" s="1430" t="s">
        <v>820</v>
      </c>
      <c r="K126" s="1431"/>
    </row>
    <row r="127" spans="2:16">
      <c r="B127" s="866" t="s">
        <v>809</v>
      </c>
      <c r="C127" s="866" t="s">
        <v>28</v>
      </c>
      <c r="D127" s="866" t="s">
        <v>809</v>
      </c>
      <c r="E127" s="866" t="s">
        <v>28</v>
      </c>
      <c r="F127" s="866" t="s">
        <v>809</v>
      </c>
      <c r="G127" s="866" t="s">
        <v>28</v>
      </c>
      <c r="H127" s="866" t="s">
        <v>809</v>
      </c>
      <c r="I127" s="866" t="s">
        <v>28</v>
      </c>
      <c r="J127" s="866" t="s">
        <v>809</v>
      </c>
      <c r="K127" s="866" t="s">
        <v>28</v>
      </c>
    </row>
    <row r="128" spans="2:16">
      <c r="B128" s="757" t="s">
        <v>659</v>
      </c>
      <c r="C128" s="757">
        <v>0.504</v>
      </c>
      <c r="D128" s="757" t="s">
        <v>659</v>
      </c>
      <c r="E128" s="757">
        <v>0.504</v>
      </c>
      <c r="F128" s="757" t="s">
        <v>659</v>
      </c>
      <c r="G128" s="757">
        <v>0.504</v>
      </c>
      <c r="H128" s="757" t="s">
        <v>659</v>
      </c>
      <c r="I128" s="757">
        <v>0.504</v>
      </c>
      <c r="J128" s="757" t="s">
        <v>659</v>
      </c>
      <c r="K128" s="757">
        <v>0.504</v>
      </c>
    </row>
    <row r="129" spans="2:11">
      <c r="B129" s="757" t="s">
        <v>810</v>
      </c>
      <c r="C129" s="757">
        <v>12.76</v>
      </c>
      <c r="D129" s="757" t="s">
        <v>816</v>
      </c>
      <c r="E129" s="757">
        <v>10.44</v>
      </c>
      <c r="F129" s="757" t="s">
        <v>817</v>
      </c>
      <c r="G129" s="757">
        <v>11.39</v>
      </c>
      <c r="H129" s="757" t="s">
        <v>819</v>
      </c>
      <c r="I129" s="757">
        <v>10.55</v>
      </c>
      <c r="J129" s="757" t="s">
        <v>821</v>
      </c>
      <c r="K129" s="757">
        <v>14.74</v>
      </c>
    </row>
    <row r="130" spans="2:11">
      <c r="B130" s="757" t="s">
        <v>811</v>
      </c>
      <c r="C130" s="757">
        <v>0.80300000000000005</v>
      </c>
      <c r="D130" s="757" t="s">
        <v>811</v>
      </c>
      <c r="E130" s="757">
        <v>0.53900000000000003</v>
      </c>
      <c r="F130" s="757" t="s">
        <v>811</v>
      </c>
      <c r="G130" s="757">
        <v>0.41699999999999998</v>
      </c>
      <c r="H130" s="757" t="s">
        <v>811</v>
      </c>
      <c r="I130" s="757">
        <v>0.441</v>
      </c>
      <c r="J130" s="757" t="s">
        <v>811</v>
      </c>
      <c r="K130" s="757">
        <v>0.39100000000000001</v>
      </c>
    </row>
    <row r="131" spans="2:11">
      <c r="B131" s="757" t="s">
        <v>751</v>
      </c>
      <c r="C131" s="757"/>
      <c r="D131" s="757" t="s">
        <v>751</v>
      </c>
      <c r="E131" s="903">
        <v>0.80800000000000005</v>
      </c>
      <c r="F131" s="757" t="s">
        <v>751</v>
      </c>
      <c r="G131" s="903">
        <v>0.44700000000000001</v>
      </c>
      <c r="H131" s="757" t="s">
        <v>751</v>
      </c>
      <c r="I131" s="903">
        <v>0.41099999999999998</v>
      </c>
      <c r="J131" s="757" t="s">
        <v>751</v>
      </c>
      <c r="K131" s="903">
        <v>0.34799999999999998</v>
      </c>
    </row>
    <row r="132" spans="2:11" ht="14.65" customHeight="1">
      <c r="B132" s="1430" t="s">
        <v>812</v>
      </c>
      <c r="C132" s="1431"/>
      <c r="D132" s="1430" t="s">
        <v>812</v>
      </c>
      <c r="E132" s="1431"/>
      <c r="F132" s="1430" t="s">
        <v>812</v>
      </c>
      <c r="G132" s="1431"/>
      <c r="H132" s="1430" t="s">
        <v>812</v>
      </c>
      <c r="I132" s="1431"/>
      <c r="J132" s="1430" t="s">
        <v>812</v>
      </c>
      <c r="K132" s="1431"/>
    </row>
    <row r="133" spans="2:11">
      <c r="B133" s="923" t="s">
        <v>752</v>
      </c>
      <c r="C133" s="924"/>
      <c r="D133" s="923" t="s">
        <v>752</v>
      </c>
      <c r="E133" s="924"/>
      <c r="F133" s="923" t="s">
        <v>752</v>
      </c>
      <c r="G133" s="924">
        <f>(G128-G130)/(G129-G130)*100</f>
        <v>0.79285519001184734</v>
      </c>
      <c r="H133" s="923" t="s">
        <v>752</v>
      </c>
      <c r="I133" s="924">
        <f>(I128-I130)/(I129-I130)*100</f>
        <v>0.62320704322880605</v>
      </c>
      <c r="J133" s="923" t="s">
        <v>752</v>
      </c>
      <c r="K133" s="924">
        <f>(K128-K130)/(K129-K130)*100</f>
        <v>0.78751132483099862</v>
      </c>
    </row>
    <row r="134" spans="2:11">
      <c r="B134" s="923" t="s">
        <v>813</v>
      </c>
      <c r="C134" s="924"/>
      <c r="D134" s="923" t="s">
        <v>813</v>
      </c>
      <c r="E134" s="924"/>
      <c r="F134" s="923" t="s">
        <v>813</v>
      </c>
      <c r="G134" s="924">
        <f>G133*G129/G128</f>
        <v>17.917898044116946</v>
      </c>
      <c r="H134" s="923" t="s">
        <v>813</v>
      </c>
      <c r="I134" s="924">
        <f>I133*I129/I128</f>
        <v>13.045306162825206</v>
      </c>
      <c r="J134" s="923" t="s">
        <v>813</v>
      </c>
      <c r="K134" s="924">
        <f>K133*K129/K128</f>
        <v>23.031581206366901</v>
      </c>
    </row>
    <row r="136" spans="2:11">
      <c r="B136" s="121" t="s">
        <v>270</v>
      </c>
      <c r="C136" s="121" t="s">
        <v>310</v>
      </c>
      <c r="D136" s="121" t="s">
        <v>273</v>
      </c>
      <c r="E136" s="121" t="s">
        <v>274</v>
      </c>
      <c r="F136" s="121" t="s">
        <v>317</v>
      </c>
    </row>
    <row r="137" spans="2:11">
      <c r="B137" s="122" t="s">
        <v>255</v>
      </c>
      <c r="C137" s="110">
        <f t="shared" ref="C137:C142" si="28">+G99</f>
        <v>35.217391304347828</v>
      </c>
      <c r="D137" s="110">
        <f t="shared" ref="D137:E142" si="29">+J99</f>
        <v>11.71</v>
      </c>
      <c r="E137" s="132">
        <f t="shared" si="29"/>
        <v>39.676630297014817</v>
      </c>
      <c r="F137" s="132">
        <f t="shared" ref="F137:F142" si="30">+M99</f>
        <v>5.6754484304932733</v>
      </c>
    </row>
    <row r="138" spans="2:11">
      <c r="B138" s="122" t="s">
        <v>256</v>
      </c>
      <c r="C138" s="110">
        <f t="shared" si="28"/>
        <v>23.259259259259256</v>
      </c>
      <c r="D138" s="110">
        <f t="shared" si="29"/>
        <v>11.587081850533808</v>
      </c>
      <c r="E138" s="132">
        <f t="shared" si="29"/>
        <v>54.479517537262169</v>
      </c>
      <c r="F138" s="132">
        <f t="shared" si="30"/>
        <v>7.8755605381165914</v>
      </c>
    </row>
    <row r="139" spans="2:11">
      <c r="B139" s="122" t="s">
        <v>257</v>
      </c>
      <c r="C139" s="110">
        <f t="shared" si="28"/>
        <v>15.891472868217063</v>
      </c>
      <c r="D139" s="110">
        <f t="shared" si="29"/>
        <v>11.201460055096421</v>
      </c>
      <c r="E139" s="132">
        <f t="shared" si="29"/>
        <v>68.035270792970408</v>
      </c>
      <c r="F139" s="132">
        <f t="shared" si="30"/>
        <v>10.173766816143496</v>
      </c>
    </row>
    <row r="140" spans="2:11">
      <c r="B140" s="122" t="s">
        <v>259</v>
      </c>
      <c r="C140" s="110">
        <f t="shared" si="28"/>
        <v>8.062808750882148</v>
      </c>
      <c r="D140" s="110">
        <f t="shared" si="29"/>
        <v>8.6694327979712611</v>
      </c>
      <c r="E140" s="132">
        <f t="shared" si="29"/>
        <v>85.802173946871591</v>
      </c>
      <c r="F140" s="132">
        <f t="shared" si="30"/>
        <v>16.577914798206276</v>
      </c>
    </row>
    <row r="141" spans="2:11">
      <c r="B141" s="122" t="s">
        <v>261</v>
      </c>
      <c r="C141" s="110">
        <f t="shared" si="28"/>
        <v>4.9791707994445558</v>
      </c>
      <c r="D141" s="110">
        <f t="shared" si="29"/>
        <v>7.4248591352859146</v>
      </c>
      <c r="E141" s="132">
        <f t="shared" si="29"/>
        <v>89.075902747810886</v>
      </c>
      <c r="F141" s="132">
        <f t="shared" si="30"/>
        <v>20.095291479820624</v>
      </c>
    </row>
    <row r="142" spans="2:11">
      <c r="B142" s="122" t="s">
        <v>278</v>
      </c>
      <c r="C142" s="110">
        <f t="shared" si="28"/>
        <v>11.466377091377092</v>
      </c>
      <c r="D142" s="110">
        <f t="shared" si="29"/>
        <v>1.6750288677130047</v>
      </c>
      <c r="E142" s="132">
        <f t="shared" si="29"/>
        <v>100</v>
      </c>
      <c r="F142" s="132">
        <f t="shared" si="30"/>
        <v>100</v>
      </c>
    </row>
    <row r="144" spans="2:11">
      <c r="B144" s="121" t="s">
        <v>279</v>
      </c>
      <c r="C144" s="121" t="s">
        <v>310</v>
      </c>
      <c r="D144" s="121" t="s">
        <v>273</v>
      </c>
      <c r="E144" s="121" t="s">
        <v>274</v>
      </c>
      <c r="F144" s="121" t="s">
        <v>317</v>
      </c>
    </row>
    <row r="145" spans="2:6">
      <c r="B145" s="122" t="s">
        <v>255</v>
      </c>
      <c r="C145" s="110">
        <f t="shared" ref="C145:C152" si="31">+G112</f>
        <v>44.027047332832453</v>
      </c>
      <c r="D145" s="110">
        <f>+J112</f>
        <v>11.83</v>
      </c>
      <c r="E145" s="132">
        <f t="shared" ref="D145:E152" si="32">+K112</f>
        <v>28.993914455743962</v>
      </c>
      <c r="F145" s="132">
        <f t="shared" ref="F145:F152" si="33">+M112</f>
        <v>4.1863123303329051</v>
      </c>
    </row>
    <row r="146" spans="2:6">
      <c r="B146" s="122" t="s">
        <v>256</v>
      </c>
      <c r="C146" s="110">
        <f>+G113</f>
        <v>37.34610123119014</v>
      </c>
      <c r="D146" s="110">
        <f t="shared" si="32"/>
        <v>11.747369033760187</v>
      </c>
      <c r="E146" s="132">
        <f t="shared" si="32"/>
        <v>42.204452270903744</v>
      </c>
      <c r="F146" s="132">
        <f t="shared" si="33"/>
        <v>6.1365909415630808</v>
      </c>
    </row>
    <row r="147" spans="2:6">
      <c r="B147" s="122" t="s">
        <v>257</v>
      </c>
      <c r="C147" s="110">
        <f t="shared" si="31"/>
        <v>35.266457680250781</v>
      </c>
      <c r="D147" s="110">
        <f t="shared" si="32"/>
        <v>11.370122230710466</v>
      </c>
      <c r="E147" s="132">
        <f t="shared" si="32"/>
        <v>62.248554733427873</v>
      </c>
      <c r="F147" s="132">
        <f t="shared" si="33"/>
        <v>9.3513359051293037</v>
      </c>
    </row>
    <row r="148" spans="2:6">
      <c r="B148" s="122" t="s">
        <v>259</v>
      </c>
      <c r="C148" s="110">
        <f t="shared" si="31"/>
        <v>14.238845144356951</v>
      </c>
      <c r="D148" s="110">
        <f t="shared" si="32"/>
        <v>10.899489386115892</v>
      </c>
      <c r="E148" s="132">
        <f t="shared" si="32"/>
        <v>79.456244173931196</v>
      </c>
      <c r="F148" s="132">
        <f t="shared" si="33"/>
        <v>12.451778825546505</v>
      </c>
    </row>
    <row r="149" spans="2:6">
      <c r="B149" s="122" t="s">
        <v>261</v>
      </c>
      <c r="C149" s="110">
        <f t="shared" si="31"/>
        <v>0.78881319469343869</v>
      </c>
      <c r="D149" s="110">
        <f t="shared" si="32"/>
        <v>10.902113314447593</v>
      </c>
      <c r="E149" s="132">
        <f t="shared" si="32"/>
        <v>80.478503855494083</v>
      </c>
      <c r="F149" s="132">
        <f t="shared" si="33"/>
        <v>12.60894413487641</v>
      </c>
    </row>
    <row r="150" spans="2:6">
      <c r="B150" s="122" t="s">
        <v>280</v>
      </c>
      <c r="C150" s="110">
        <f t="shared" si="31"/>
        <v>0.56378980214169205</v>
      </c>
      <c r="D150" s="110">
        <f t="shared" si="32"/>
        <v>10.532536382536383</v>
      </c>
      <c r="E150" s="132">
        <f t="shared" si="32"/>
        <v>84.754453575809336</v>
      </c>
      <c r="F150" s="132">
        <f t="shared" si="33"/>
        <v>13.744820688669808</v>
      </c>
    </row>
    <row r="151" spans="2:6">
      <c r="B151" s="122" t="s">
        <v>281</v>
      </c>
      <c r="C151" s="110">
        <f t="shared" si="31"/>
        <v>2.7338582677165353</v>
      </c>
      <c r="D151" s="110">
        <f t="shared" si="32"/>
        <v>7.6485702005730669</v>
      </c>
      <c r="E151" s="132">
        <f t="shared" si="32"/>
        <v>89.314128246119921</v>
      </c>
      <c r="F151" s="132">
        <f t="shared" si="33"/>
        <v>19.945706529504214</v>
      </c>
    </row>
    <row r="152" spans="2:6">
      <c r="B152" s="122" t="s">
        <v>282</v>
      </c>
      <c r="C152" s="110">
        <f t="shared" si="31"/>
        <v>11.080677537055896</v>
      </c>
      <c r="D152" s="110">
        <f>+J119</f>
        <v>1.7080851550221461</v>
      </c>
      <c r="E152" s="132">
        <f t="shared" si="32"/>
        <v>100</v>
      </c>
      <c r="F152" s="132">
        <f t="shared" si="33"/>
        <v>100</v>
      </c>
    </row>
    <row r="154" spans="2:6" ht="15" thickBot="1"/>
    <row r="155" spans="2:6" ht="15" thickBot="1">
      <c r="B155" s="95"/>
      <c r="C155" s="909" t="s">
        <v>800</v>
      </c>
      <c r="D155" s="918" t="s">
        <v>801</v>
      </c>
    </row>
    <row r="156" spans="2:6">
      <c r="B156" s="848" t="s">
        <v>21</v>
      </c>
      <c r="C156" s="919">
        <f>+AVERAGE('13. Pilotaje Rougher'!$F$20:$F$36)</f>
        <v>0.67582352941176471</v>
      </c>
      <c r="D156" s="920">
        <f>+AVERAGE('13. Pilotaje Rougher'!$F$37:$F$52)</f>
        <v>0.68168749999999989</v>
      </c>
    </row>
    <row r="157" spans="2:6">
      <c r="B157" s="849" t="s">
        <v>22</v>
      </c>
      <c r="C157" s="921">
        <f>+AVERAGE('13. Pilotaje Rougher'!$H$20:$H$36)</f>
        <v>5.1583529411764708</v>
      </c>
      <c r="D157" s="922">
        <f>+AVERAGE('13. Pilotaje Rougher'!$H$37:$H$52)</f>
        <v>3.2132499999999999</v>
      </c>
    </row>
    <row r="158" spans="2:6">
      <c r="B158" s="849" t="s">
        <v>23</v>
      </c>
      <c r="C158" s="921">
        <f>+AVERAGE('13. Pilotaje Rougher'!$G$20:$G$36)</f>
        <v>0.15441176470588236</v>
      </c>
      <c r="D158" s="922">
        <f>+AVERAGE('13. Pilotaje Rougher'!$G$37:$G$52)</f>
        <v>0.13150000000000001</v>
      </c>
    </row>
    <row r="159" spans="2:6">
      <c r="B159" s="849" t="s">
        <v>744</v>
      </c>
      <c r="C159" s="875">
        <f>+'16. Pilotaje Cleaner'!$C$96</f>
        <v>4.6105</v>
      </c>
      <c r="D159" s="874">
        <f>+'16. Pilotaje Cleaner'!$D$96</f>
        <v>2.0637500000000002</v>
      </c>
    </row>
    <row r="160" spans="2:6">
      <c r="B160" s="849" t="s">
        <v>746</v>
      </c>
      <c r="C160" s="875">
        <f>+'16. Pilotaje Cleaner'!$C$97</f>
        <v>21.674999999999997</v>
      </c>
      <c r="D160" s="874">
        <f>+'16. Pilotaje Cleaner'!$D$97</f>
        <v>23.02</v>
      </c>
    </row>
    <row r="161" spans="2:4">
      <c r="B161" s="849" t="s">
        <v>745</v>
      </c>
      <c r="C161" s="875">
        <f>+'16. Pilotaje Cleaner'!$C$98</f>
        <v>2.9889999999999999</v>
      </c>
      <c r="D161" s="874">
        <f>+'16. Pilotaje Cleaner'!$D$98</f>
        <v>1.0582499999999999</v>
      </c>
    </row>
    <row r="162" spans="2:4">
      <c r="B162" s="849" t="s">
        <v>747</v>
      </c>
      <c r="C162" s="875">
        <f>+'16. Pilotaje Cleaner'!$C$99</f>
        <v>3.3</v>
      </c>
      <c r="D162" s="874">
        <f>+'16. Pilotaje Cleaner'!$D$99</f>
        <v>1.72725</v>
      </c>
    </row>
    <row r="163" spans="2:4">
      <c r="B163" s="849" t="s">
        <v>748</v>
      </c>
      <c r="C163" s="875">
        <f>+'16. Pilotaje Cleaner'!$C$100</f>
        <v>5.1739999999999995</v>
      </c>
      <c r="D163" s="874">
        <f>+'16. Pilotaje Cleaner'!$D$100</f>
        <v>4.3807499999999999</v>
      </c>
    </row>
    <row r="164" spans="2:4">
      <c r="B164" s="849" t="s">
        <v>749</v>
      </c>
      <c r="C164" s="875">
        <f>+'16. Pilotaje Cleaner'!$C$101</f>
        <v>16.29</v>
      </c>
      <c r="D164" s="874">
        <f>+'16. Pilotaje Cleaner'!$D$101</f>
        <v>16.465</v>
      </c>
    </row>
    <row r="165" spans="2:4">
      <c r="B165" s="849" t="s">
        <v>750</v>
      </c>
      <c r="C165" s="875">
        <f>+'16. Pilotaje Cleaner'!$C$102</f>
        <v>4.7590000000000003</v>
      </c>
      <c r="D165" s="874">
        <f>+'16. Pilotaje Cleaner'!$D$102</f>
        <v>2.5452500000000002</v>
      </c>
    </row>
    <row r="166" spans="2:4" ht="15" thickBot="1">
      <c r="B166" s="850" t="s">
        <v>751</v>
      </c>
      <c r="C166" s="879">
        <f>+'16. Pilotaje Cleaner'!$C$103</f>
        <v>0.23</v>
      </c>
      <c r="D166" s="878">
        <f>+'16. Pilotaje Cleaner'!$D$103</f>
        <v>0.16175</v>
      </c>
    </row>
    <row r="167" spans="2:4" ht="15" thickBot="1">
      <c r="B167" s="95"/>
      <c r="C167" s="95"/>
      <c r="D167" s="95"/>
    </row>
    <row r="168" spans="2:4" ht="15" thickBot="1">
      <c r="B168" s="95"/>
      <c r="C168" s="1423" t="s">
        <v>808</v>
      </c>
      <c r="D168" s="1424"/>
    </row>
    <row r="169" spans="2:4">
      <c r="B169" s="848" t="s">
        <v>754</v>
      </c>
      <c r="C169" s="930">
        <f>+AVERAGE('13. Pilotaje Rougher'!$K$20:$K$36)</f>
        <v>79.807493568485683</v>
      </c>
      <c r="D169" s="885">
        <f>+AVERAGE('13. Pilotaje Rougher'!$K$37:$K$52)</f>
        <v>84.376281394866425</v>
      </c>
    </row>
    <row r="170" spans="2:4">
      <c r="B170" s="849" t="s">
        <v>842</v>
      </c>
      <c r="C170" s="875">
        <f>+(AVERAGE(C160,C164)/C159)</f>
        <v>4.117232404294545</v>
      </c>
      <c r="D170" s="932">
        <f>+(AVERAGE(D160,D164)/D159)</f>
        <v>9.5663234403391879</v>
      </c>
    </row>
    <row r="171" spans="2:4">
      <c r="B171" s="849" t="s">
        <v>843</v>
      </c>
      <c r="C171" s="875">
        <f>+((C159-C166)/(AVERAGE(C160,C164)-C166)*100)</f>
        <v>23.35955205972537</v>
      </c>
      <c r="D171" s="932">
        <f>+((D159-D166)/(AVERAGE(D160,D164)-D166)*100)</f>
        <v>9.7136217969178933</v>
      </c>
    </row>
    <row r="172" spans="2:4">
      <c r="B172" s="849" t="s">
        <v>761</v>
      </c>
      <c r="C172" s="875">
        <f>+C170*C171</f>
        <v>96.176704690106675</v>
      </c>
      <c r="D172" s="932">
        <f>+D170*D171</f>
        <v>92.923647886445309</v>
      </c>
    </row>
    <row r="173" spans="2:4" ht="15" thickBot="1">
      <c r="B173" s="850" t="s">
        <v>755</v>
      </c>
      <c r="C173" s="931">
        <f>+C172*C169/100</f>
        <v>76.756217409938358</v>
      </c>
      <c r="D173" s="878">
        <f>+D172*D169/100</f>
        <v>78.405518623041942</v>
      </c>
    </row>
    <row r="174" spans="2:4" ht="15" thickBot="1"/>
    <row r="175" spans="2:4" ht="15" thickBot="1">
      <c r="B175" s="95"/>
      <c r="C175" s="909" t="s">
        <v>800</v>
      </c>
      <c r="D175" s="925" t="s">
        <v>801</v>
      </c>
    </row>
    <row r="176" spans="2:4">
      <c r="B176" s="848" t="s">
        <v>21</v>
      </c>
      <c r="C176" s="886">
        <f>+AVERAGE('13. Pilotaje Rougher'!$F$20:$F$36)</f>
        <v>0.67582352941176471</v>
      </c>
      <c r="D176" s="874">
        <f>+AVERAGE('13. Pilotaje Rougher'!$F$37:$F$52)</f>
        <v>0.68168749999999989</v>
      </c>
    </row>
    <row r="177" spans="2:4">
      <c r="B177" s="849" t="s">
        <v>22</v>
      </c>
      <c r="C177" s="875">
        <f>+AVERAGE('13. Pilotaje Rougher'!$H$20:$H$36)</f>
        <v>5.1583529411764708</v>
      </c>
      <c r="D177" s="874">
        <f>+AVERAGE('13. Pilotaje Rougher'!$H$37:$H$52)</f>
        <v>3.2132499999999999</v>
      </c>
    </row>
    <row r="178" spans="2:4">
      <c r="B178" s="849" t="s">
        <v>23</v>
      </c>
      <c r="C178" s="875">
        <f>+AVERAGE('13. Pilotaje Rougher'!$G$20:$G$36)</f>
        <v>0.15441176470588236</v>
      </c>
      <c r="D178" s="874">
        <f>+AVERAGE('13. Pilotaje Rougher'!$G$37:$G$52)</f>
        <v>0.13150000000000001</v>
      </c>
    </row>
    <row r="179" spans="2:4">
      <c r="B179" s="849" t="s">
        <v>744</v>
      </c>
      <c r="C179" s="875"/>
      <c r="D179" s="874">
        <v>2.8570000000000002</v>
      </c>
    </row>
    <row r="180" spans="2:4">
      <c r="B180" s="849" t="s">
        <v>746</v>
      </c>
      <c r="C180" s="875"/>
      <c r="D180" s="874">
        <v>19.13</v>
      </c>
    </row>
    <row r="181" spans="2:4">
      <c r="B181" s="849" t="s">
        <v>745</v>
      </c>
      <c r="C181" s="875"/>
      <c r="D181" s="874">
        <v>0.86</v>
      </c>
    </row>
    <row r="182" spans="2:4">
      <c r="B182" s="849" t="s">
        <v>747</v>
      </c>
      <c r="C182" s="875"/>
      <c r="D182" s="1137">
        <v>2.1280000000000001</v>
      </c>
    </row>
    <row r="183" spans="2:4">
      <c r="B183" s="849" t="s">
        <v>748</v>
      </c>
      <c r="C183" s="875"/>
      <c r="D183" s="874">
        <v>1.984</v>
      </c>
    </row>
    <row r="184" spans="2:4">
      <c r="B184" s="849" t="s">
        <v>749</v>
      </c>
      <c r="C184" s="875"/>
      <c r="D184" s="1137">
        <v>17.79</v>
      </c>
    </row>
    <row r="185" spans="2:4">
      <c r="B185" s="849" t="s">
        <v>750</v>
      </c>
      <c r="C185" s="875"/>
      <c r="D185" s="874">
        <v>1.8160000000000001</v>
      </c>
    </row>
    <row r="186" spans="2:4" ht="15" thickBot="1">
      <c r="B186" s="850" t="s">
        <v>751</v>
      </c>
      <c r="C186" s="875"/>
      <c r="D186" s="874">
        <v>0.25800000000000001</v>
      </c>
    </row>
    <row r="187" spans="2:4">
      <c r="B187" s="849" t="s">
        <v>840</v>
      </c>
      <c r="C187" s="875"/>
      <c r="D187" s="874">
        <v>12.08</v>
      </c>
    </row>
    <row r="188" spans="2:4" ht="15" thickBot="1">
      <c r="B188" s="850" t="s">
        <v>841</v>
      </c>
      <c r="C188" s="879"/>
      <c r="D188" s="878">
        <v>0.91700000000000004</v>
      </c>
    </row>
    <row r="189" spans="2:4" ht="15" thickBot="1"/>
    <row r="190" spans="2:4" ht="15" thickBot="1">
      <c r="B190" s="95"/>
      <c r="C190" s="1425" t="s">
        <v>807</v>
      </c>
      <c r="D190" s="1426"/>
    </row>
    <row r="191" spans="2:4">
      <c r="B191" s="848" t="s">
        <v>754</v>
      </c>
      <c r="C191" s="886">
        <f>+AVERAGE('13. Pilotaje Rougher'!$K$20:$K$36)</f>
        <v>79.807493568485683</v>
      </c>
      <c r="D191" s="885">
        <f>+AVERAGE('13. Pilotaje Rougher'!$K$37:$K$52)</f>
        <v>84.376281394866425</v>
      </c>
    </row>
    <row r="193" spans="2:6" ht="15" thickBot="1">
      <c r="B193" s="4" t="s">
        <v>885</v>
      </c>
    </row>
    <row r="194" spans="2:6" ht="15" thickBot="1">
      <c r="B194" s="848" t="s">
        <v>804</v>
      </c>
      <c r="C194" s="875"/>
      <c r="D194" s="874">
        <f>+'24. Balance Pre-Cl-SCV'!W33</f>
        <v>27.461544501891687</v>
      </c>
    </row>
    <row r="195" spans="2:6">
      <c r="B195" s="849" t="s">
        <v>842</v>
      </c>
      <c r="C195" s="151"/>
      <c r="D195" s="885">
        <f>+'24. Balance Pre-Cl-SCV'!W31</f>
        <v>6.2918234802048438</v>
      </c>
      <c r="F195" s="110">
        <f>+D197-D172</f>
        <v>-0.62485278870113348</v>
      </c>
    </row>
    <row r="196" spans="2:6">
      <c r="B196" s="849" t="s">
        <v>843</v>
      </c>
      <c r="C196" s="929"/>
      <c r="D196" s="874">
        <f>+'24. Balance Pre-Cl-SCV'!W28</f>
        <v>14.66964154161858</v>
      </c>
      <c r="F196" s="110">
        <f>+D198-D173</f>
        <v>-0.52722754729813914</v>
      </c>
    </row>
    <row r="197" spans="2:6">
      <c r="B197" s="849" t="s">
        <v>761</v>
      </c>
      <c r="C197" s="875">
        <f>+((C159-C166)/(C164-C166)*100)*(C164/C159)</f>
        <v>96.37207316722359</v>
      </c>
      <c r="D197" s="874">
        <f>+'24. Balance Pre-Cl-SCV'!W27</f>
        <v>92.298795097744176</v>
      </c>
    </row>
    <row r="198" spans="2:6" ht="15" thickBot="1">
      <c r="B198" s="850" t="s">
        <v>755</v>
      </c>
      <c r="C198" s="879">
        <f>+C197*C193/100</f>
        <v>0</v>
      </c>
      <c r="D198" s="878">
        <f>+D197*D191/100</f>
        <v>77.878291075743803</v>
      </c>
    </row>
    <row r="199" spans="2:6" ht="15" thickBot="1"/>
    <row r="200" spans="2:6" ht="15" thickBot="1">
      <c r="B200" s="846" t="s">
        <v>913</v>
      </c>
      <c r="D200" s="885">
        <f>+'24. Balance Pre-Cl-SCV'!X28</f>
        <v>3.0784705516268711</v>
      </c>
    </row>
    <row r="201" spans="2:6">
      <c r="B201" s="846" t="s">
        <v>802</v>
      </c>
      <c r="C201" s="886"/>
      <c r="D201" s="885">
        <f>+I129</f>
        <v>10.55</v>
      </c>
    </row>
    <row r="202" spans="2:6" ht="15" thickBot="1">
      <c r="B202" s="706" t="s">
        <v>803</v>
      </c>
      <c r="C202" s="879"/>
      <c r="D202" s="878">
        <f>+I130</f>
        <v>0.441</v>
      </c>
    </row>
  </sheetData>
  <mergeCells count="17">
    <mergeCell ref="C190:D190"/>
    <mergeCell ref="B125:K125"/>
    <mergeCell ref="B126:C126"/>
    <mergeCell ref="D126:E126"/>
    <mergeCell ref="F126:G126"/>
    <mergeCell ref="H126:I126"/>
    <mergeCell ref="J126:K126"/>
    <mergeCell ref="B132:C132"/>
    <mergeCell ref="D132:E132"/>
    <mergeCell ref="F132:G132"/>
    <mergeCell ref="H132:I132"/>
    <mergeCell ref="J132:K132"/>
    <mergeCell ref="B32:P32"/>
    <mergeCell ref="B45:P45"/>
    <mergeCell ref="B97:P97"/>
    <mergeCell ref="B110:P110"/>
    <mergeCell ref="C168:D168"/>
  </mergeCells>
  <conditionalFormatting sqref="B34:B43">
    <cfRule type="cellIs" dxfId="22" priority="22" operator="equal">
      <formula>0</formula>
    </cfRule>
  </conditionalFormatting>
  <conditionalFormatting sqref="B47:B58">
    <cfRule type="cellIs" dxfId="21" priority="21" operator="equal">
      <formula>0</formula>
    </cfRule>
  </conditionalFormatting>
  <conditionalFormatting sqref="B62:B67">
    <cfRule type="cellIs" dxfId="20" priority="19" operator="equal">
      <formula>0</formula>
    </cfRule>
  </conditionalFormatting>
  <conditionalFormatting sqref="B70:B77">
    <cfRule type="cellIs" dxfId="19" priority="18" operator="equal">
      <formula>0</formula>
    </cfRule>
  </conditionalFormatting>
  <conditionalFormatting sqref="B80:B88">
    <cfRule type="cellIs" dxfId="18" priority="17" operator="equal">
      <formula>0</formula>
    </cfRule>
  </conditionalFormatting>
  <conditionalFormatting sqref="B99:B108">
    <cfRule type="cellIs" dxfId="17" priority="10" operator="equal">
      <formula>0</formula>
    </cfRule>
  </conditionalFormatting>
  <conditionalFormatting sqref="B112:B123">
    <cfRule type="cellIs" dxfId="16" priority="9" operator="equal">
      <formula>0</formula>
    </cfRule>
  </conditionalFormatting>
  <conditionalFormatting sqref="B125">
    <cfRule type="expression" dxfId="15" priority="1">
      <formula>#REF!=0</formula>
    </cfRule>
    <cfRule type="cellIs" dxfId="14" priority="2" operator="equal">
      <formula>0</formula>
    </cfRule>
  </conditionalFormatting>
  <conditionalFormatting sqref="B137:B142">
    <cfRule type="cellIs" dxfId="13" priority="4" operator="equal">
      <formula>0</formula>
    </cfRule>
  </conditionalFormatting>
  <conditionalFormatting sqref="B145:B152">
    <cfRule type="cellIs" dxfId="12" priority="3" operator="equal">
      <formula>0</formula>
    </cfRule>
  </conditionalFormatting>
  <conditionalFormatting sqref="B32:D32">
    <cfRule type="expression" dxfId="11" priority="23">
      <formula>#REF!=0</formula>
    </cfRule>
    <cfRule type="cellIs" dxfId="10" priority="24" operator="equal">
      <formula>0</formula>
    </cfRule>
  </conditionalFormatting>
  <conditionalFormatting sqref="B45:D45">
    <cfRule type="expression" dxfId="9" priority="15">
      <formula>#REF!=0</formula>
    </cfRule>
    <cfRule type="cellIs" dxfId="8" priority="16" operator="equal">
      <formula>0</formula>
    </cfRule>
  </conditionalFormatting>
  <conditionalFormatting sqref="B97:D97">
    <cfRule type="expression" dxfId="7" priority="11">
      <formula>#REF!=0</formula>
    </cfRule>
    <cfRule type="cellIs" dxfId="6" priority="12" operator="equal">
      <formula>0</formula>
    </cfRule>
  </conditionalFormatting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5E783-799D-4F58-9E0D-1130228AFDB8}">
  <sheetPr codeName="Hoja26"/>
  <dimension ref="B2:BA18"/>
  <sheetViews>
    <sheetView workbookViewId="0"/>
  </sheetViews>
  <sheetFormatPr baseColWidth="10" defaultColWidth="10.7265625" defaultRowHeight="14.5"/>
  <cols>
    <col min="1" max="1" width="10.7265625" style="4"/>
    <col min="2" max="2" width="11.26953125" style="4" bestFit="1" customWidth="1"/>
    <col min="3" max="3" width="17.26953125" style="4" bestFit="1" customWidth="1"/>
    <col min="4" max="5" width="10" style="4" customWidth="1"/>
    <col min="6" max="6" width="11.7265625" style="4" bestFit="1" customWidth="1"/>
    <col min="7" max="7" width="7.7265625" style="4" bestFit="1" customWidth="1"/>
    <col min="8" max="8" width="12.7265625" style="4" bestFit="1" customWidth="1"/>
    <col min="9" max="9" width="13.26953125" style="4" bestFit="1" customWidth="1"/>
    <col min="10" max="10" width="12.453125" style="4" bestFit="1" customWidth="1"/>
    <col min="11" max="14" width="10" style="4" bestFit="1" customWidth="1"/>
    <col min="15" max="15" width="10" style="4" customWidth="1"/>
    <col min="16" max="16" width="7.54296875" style="4" bestFit="1" customWidth="1"/>
    <col min="17" max="17" width="8.453125" style="4" bestFit="1" customWidth="1"/>
    <col min="18" max="18" width="10.26953125" style="4" customWidth="1"/>
    <col min="19" max="19" width="10.26953125" style="4" bestFit="1" customWidth="1"/>
    <col min="20" max="23" width="10" style="4" bestFit="1" customWidth="1"/>
    <col min="24" max="24" width="10" style="4" customWidth="1"/>
    <col min="25" max="26" width="7.54296875" style="4" bestFit="1" customWidth="1"/>
    <col min="27" max="27" width="8.7265625" style="4" bestFit="1" customWidth="1"/>
    <col min="28" max="28" width="10.26953125" style="4" bestFit="1" customWidth="1"/>
    <col min="29" max="37" width="10.7265625" style="4"/>
    <col min="38" max="38" width="18.26953125" style="4" bestFit="1" customWidth="1"/>
    <col min="39" max="39" width="13.54296875" style="4" customWidth="1"/>
    <col min="40" max="40" width="14.453125" style="4" customWidth="1"/>
    <col min="41" max="41" width="17.26953125" style="113" bestFit="1" customWidth="1"/>
    <col min="42" max="42" width="12.7265625" style="747" customWidth="1"/>
    <col min="43" max="43" width="13.54296875" style="747" customWidth="1"/>
    <col min="44" max="44" width="11.7265625" style="113" bestFit="1" customWidth="1"/>
    <col min="45" max="45" width="11.54296875" style="748"/>
    <col min="46" max="51" width="10.7265625" style="4"/>
    <col min="52" max="53" width="11.54296875" style="747" customWidth="1"/>
    <col min="54" max="16384" width="10.7265625" style="4"/>
  </cols>
  <sheetData>
    <row r="2" spans="2:53" s="734" customFormat="1" ht="18.5">
      <c r="B2" s="112" t="s">
        <v>66</v>
      </c>
      <c r="C2" s="112"/>
      <c r="D2" s="112"/>
      <c r="E2" s="112"/>
      <c r="F2" s="112"/>
      <c r="AO2" s="735"/>
      <c r="AP2" s="736"/>
      <c r="AQ2" s="736"/>
      <c r="AR2" s="735"/>
      <c r="AS2" s="737"/>
      <c r="AZ2" s="736"/>
      <c r="BA2" s="736"/>
    </row>
    <row r="3" spans="2:53" s="734" customFormat="1" ht="29.15" customHeight="1">
      <c r="K3" s="1437" t="s">
        <v>67</v>
      </c>
      <c r="L3" s="1436"/>
      <c r="M3" s="1436"/>
      <c r="N3" s="1436"/>
      <c r="O3" s="1435"/>
      <c r="P3" s="1434" t="s">
        <v>68</v>
      </c>
      <c r="Q3" s="1436"/>
      <c r="R3" s="1435"/>
      <c r="S3" s="1432" t="s">
        <v>69</v>
      </c>
      <c r="T3" s="1434" t="s">
        <v>70</v>
      </c>
      <c r="U3" s="1436"/>
      <c r="V3" s="1436"/>
      <c r="W3" s="1436"/>
      <c r="X3" s="1435"/>
      <c r="Y3" s="1434" t="s">
        <v>71</v>
      </c>
      <c r="Z3" s="1436"/>
      <c r="AA3" s="1435"/>
      <c r="AB3" s="1432" t="s">
        <v>72</v>
      </c>
      <c r="AC3" s="1434" t="s">
        <v>73</v>
      </c>
      <c r="AD3" s="1436"/>
      <c r="AE3" s="1436"/>
      <c r="AF3" s="1436"/>
      <c r="AG3" s="1435"/>
      <c r="AH3" s="1434" t="s">
        <v>74</v>
      </c>
      <c r="AI3" s="1436"/>
      <c r="AJ3" s="1435"/>
      <c r="AK3" s="1432" t="s">
        <v>75</v>
      </c>
      <c r="AL3" s="752" t="s">
        <v>76</v>
      </c>
      <c r="AM3" s="1434" t="s">
        <v>77</v>
      </c>
      <c r="AN3" s="1435"/>
      <c r="AO3" s="735"/>
      <c r="AP3" s="736"/>
      <c r="AQ3" s="736"/>
      <c r="AR3" s="735"/>
      <c r="AS3" s="737"/>
      <c r="AZ3" s="736"/>
      <c r="BA3" s="736"/>
    </row>
    <row r="4" spans="2:53" s="734" customFormat="1">
      <c r="B4" s="752" t="s">
        <v>38</v>
      </c>
      <c r="C4" s="752" t="s">
        <v>410</v>
      </c>
      <c r="D4" s="752" t="s">
        <v>20</v>
      </c>
      <c r="E4" s="866" t="s">
        <v>791</v>
      </c>
      <c r="F4" s="752" t="s">
        <v>78</v>
      </c>
      <c r="G4" s="752" t="s">
        <v>79</v>
      </c>
      <c r="H4" s="752" t="s">
        <v>80</v>
      </c>
      <c r="I4" s="752" t="s">
        <v>408</v>
      </c>
      <c r="J4" s="752" t="s">
        <v>81</v>
      </c>
      <c r="K4" s="752" t="s">
        <v>82</v>
      </c>
      <c r="L4" s="752" t="s">
        <v>83</v>
      </c>
      <c r="M4" s="752" t="s">
        <v>84</v>
      </c>
      <c r="N4" s="752" t="s">
        <v>85</v>
      </c>
      <c r="O4" s="244" t="s">
        <v>409</v>
      </c>
      <c r="P4" s="752" t="s">
        <v>86</v>
      </c>
      <c r="Q4" s="752" t="s">
        <v>87</v>
      </c>
      <c r="R4" s="752" t="s">
        <v>88</v>
      </c>
      <c r="S4" s="1433"/>
      <c r="T4" s="752" t="s">
        <v>82</v>
      </c>
      <c r="U4" s="752" t="s">
        <v>83</v>
      </c>
      <c r="V4" s="752" t="s">
        <v>84</v>
      </c>
      <c r="W4" s="752" t="s">
        <v>85</v>
      </c>
      <c r="X4" s="244" t="s">
        <v>409</v>
      </c>
      <c r="Y4" s="752" t="s">
        <v>86</v>
      </c>
      <c r="Z4" s="752" t="s">
        <v>87</v>
      </c>
      <c r="AA4" s="752" t="s">
        <v>88</v>
      </c>
      <c r="AB4" s="1433"/>
      <c r="AC4" s="752" t="s">
        <v>82</v>
      </c>
      <c r="AD4" s="752" t="s">
        <v>83</v>
      </c>
      <c r="AE4" s="752" t="s">
        <v>84</v>
      </c>
      <c r="AF4" s="752" t="s">
        <v>85</v>
      </c>
      <c r="AG4" s="244" t="s">
        <v>409</v>
      </c>
      <c r="AH4" s="752" t="s">
        <v>86</v>
      </c>
      <c r="AI4" s="752" t="s">
        <v>87</v>
      </c>
      <c r="AJ4" s="752" t="s">
        <v>88</v>
      </c>
      <c r="AK4" s="1433"/>
      <c r="AL4" s="752" t="s">
        <v>25</v>
      </c>
      <c r="AM4" s="752" t="s">
        <v>36</v>
      </c>
      <c r="AN4" s="752" t="s">
        <v>37</v>
      </c>
      <c r="AO4" s="735"/>
      <c r="AP4" s="736" t="s">
        <v>64</v>
      </c>
      <c r="AQ4" s="736" t="s">
        <v>89</v>
      </c>
      <c r="AR4" s="735" t="s">
        <v>39</v>
      </c>
      <c r="AS4" s="737"/>
      <c r="AZ4" s="736" t="s">
        <v>64</v>
      </c>
      <c r="BA4" s="736" t="s">
        <v>90</v>
      </c>
    </row>
    <row r="5" spans="2:53" ht="29">
      <c r="B5" s="738" t="s">
        <v>407</v>
      </c>
      <c r="C5" s="739" t="s">
        <v>411</v>
      </c>
      <c r="D5" s="739">
        <v>165</v>
      </c>
      <c r="E5" s="739">
        <v>1</v>
      </c>
      <c r="F5" s="739"/>
      <c r="G5" s="740" t="s">
        <v>91</v>
      </c>
      <c r="H5" s="741">
        <v>0.64800000000000002</v>
      </c>
      <c r="I5" s="741"/>
      <c r="J5" s="741">
        <v>2.04</v>
      </c>
      <c r="K5" s="738">
        <v>7.2</v>
      </c>
      <c r="L5" s="738">
        <v>2.6</v>
      </c>
      <c r="M5" s="738">
        <v>4.8</v>
      </c>
      <c r="N5" s="738">
        <v>8.1999999999999993</v>
      </c>
      <c r="O5" s="738">
        <v>4.8</v>
      </c>
      <c r="P5" s="738">
        <v>29.7</v>
      </c>
      <c r="Q5" s="738">
        <v>115.2</v>
      </c>
      <c r="R5" s="738">
        <v>1225.2</v>
      </c>
      <c r="S5" s="742">
        <f t="shared" ref="S5:S15" si="0">SUM(K5:R5)</f>
        <v>1397.7</v>
      </c>
      <c r="T5" s="738">
        <v>23.22</v>
      </c>
      <c r="U5" s="738">
        <v>21.53</v>
      </c>
      <c r="V5" s="738">
        <v>20.5</v>
      </c>
      <c r="W5" s="738">
        <v>15.37</v>
      </c>
      <c r="X5" s="738">
        <v>11.03</v>
      </c>
      <c r="Y5" s="738">
        <v>6.22</v>
      </c>
      <c r="Z5" s="738">
        <v>0.29099999999999998</v>
      </c>
      <c r="AA5" s="738">
        <v>0.112</v>
      </c>
      <c r="AB5" s="743">
        <f>SUMPRODUCT(K5:R5,T5:AA5)/S5</f>
        <v>0.61244873721113258</v>
      </c>
      <c r="AC5" s="738">
        <v>20.2</v>
      </c>
      <c r="AD5" s="738">
        <v>20.9</v>
      </c>
      <c r="AE5" s="738">
        <v>20.6</v>
      </c>
      <c r="AF5" s="738">
        <v>18.600000000000001</v>
      </c>
      <c r="AG5" s="738">
        <v>20.7</v>
      </c>
      <c r="AH5" s="738">
        <v>16.2</v>
      </c>
      <c r="AI5" s="738">
        <v>2.04</v>
      </c>
      <c r="AJ5" s="738">
        <v>1.32</v>
      </c>
      <c r="AK5" s="743">
        <f>SUMPRODUCT(K5:R5,AC5:AJ5)/S5</f>
        <v>2.0633555126278886</v>
      </c>
      <c r="AL5" s="744" t="e">
        <f>+(S5-F5)/F5*100</f>
        <v>#DIV/0!</v>
      </c>
      <c r="AM5" s="745">
        <f>+(AB5-H5)/H5*100</f>
        <v>-5.4863059859363332</v>
      </c>
      <c r="AN5" s="743">
        <f>+(AK5-J5)/J5*100</f>
        <v>1.1448780699945391</v>
      </c>
      <c r="AO5" s="746" t="s">
        <v>92</v>
      </c>
      <c r="AP5" s="747">
        <f>+-5</f>
        <v>-5</v>
      </c>
      <c r="AQ5" s="747">
        <v>5</v>
      </c>
      <c r="AR5" s="113">
        <v>0</v>
      </c>
      <c r="AZ5" s="747">
        <v>35</v>
      </c>
      <c r="BA5" s="747">
        <v>-35</v>
      </c>
    </row>
    <row r="6" spans="2:53" ht="16">
      <c r="B6" s="738" t="s">
        <v>407</v>
      </c>
      <c r="C6" s="739" t="s">
        <v>412</v>
      </c>
      <c r="D6" s="739">
        <v>165</v>
      </c>
      <c r="E6" s="739">
        <v>1</v>
      </c>
      <c r="F6" s="739"/>
      <c r="G6" s="740" t="s">
        <v>91</v>
      </c>
      <c r="H6" s="738">
        <v>0.13300000000000001</v>
      </c>
      <c r="I6" s="738"/>
      <c r="J6" s="738">
        <v>1.38</v>
      </c>
      <c r="K6" s="738">
        <v>20.3</v>
      </c>
      <c r="L6" s="738">
        <v>5.3</v>
      </c>
      <c r="M6" s="738">
        <v>6.6</v>
      </c>
      <c r="N6" s="738">
        <v>16</v>
      </c>
      <c r="O6" s="738">
        <v>9.4</v>
      </c>
      <c r="P6" s="738">
        <v>36.200000000000003</v>
      </c>
      <c r="Q6" s="738">
        <v>300.10000000000002</v>
      </c>
      <c r="R6" s="738">
        <v>3482.2</v>
      </c>
      <c r="S6" s="742">
        <f t="shared" si="0"/>
        <v>3876.1</v>
      </c>
      <c r="T6" s="738">
        <v>1.512</v>
      </c>
      <c r="U6" s="738">
        <v>1.3169999999999999</v>
      </c>
      <c r="V6" s="738">
        <v>1.4319999999999999</v>
      </c>
      <c r="W6" s="738">
        <v>1.544</v>
      </c>
      <c r="X6" s="738">
        <v>1.972</v>
      </c>
      <c r="Y6" s="738">
        <v>0.98799999999999999</v>
      </c>
      <c r="Z6" s="738">
        <v>0.157</v>
      </c>
      <c r="AA6" s="738">
        <v>0.105</v>
      </c>
      <c r="AB6" s="743">
        <f>SUMPRODUCT(K6:R6,T6:AA6)/S6</f>
        <v>0.13902582492711746</v>
      </c>
      <c r="AC6" s="738">
        <v>35.799999999999997</v>
      </c>
      <c r="AD6" s="738">
        <v>37.299999999999997</v>
      </c>
      <c r="AE6" s="738">
        <v>36.5</v>
      </c>
      <c r="AF6" s="738">
        <v>32.700000000000003</v>
      </c>
      <c r="AG6" s="738">
        <v>23.5</v>
      </c>
      <c r="AH6" s="738">
        <v>6.29</v>
      </c>
      <c r="AI6" s="738">
        <v>1.17</v>
      </c>
      <c r="AJ6" s="738">
        <v>0.81</v>
      </c>
      <c r="AK6" s="743">
        <f>SUMPRODUCT(K6:R6,AC6:AJ6)/S6</f>
        <v>1.3696310724697507</v>
      </c>
      <c r="AL6" s="744" t="e">
        <f>+(S6-F6)/F6*100</f>
        <v>#DIV/0!</v>
      </c>
      <c r="AM6" s="745">
        <f>+(AB6-H6)/H6*100</f>
        <v>4.5306954339228955</v>
      </c>
      <c r="AN6" s="743">
        <f>+(AK6-J6)/J6*100</f>
        <v>-0.7513715601629859</v>
      </c>
      <c r="AO6" s="746"/>
      <c r="AP6" s="747">
        <f>+-5</f>
        <v>-5</v>
      </c>
      <c r="AQ6" s="747">
        <v>5</v>
      </c>
      <c r="AR6" s="113">
        <v>0</v>
      </c>
      <c r="AZ6" s="747">
        <v>35</v>
      </c>
      <c r="BA6" s="747">
        <v>-35</v>
      </c>
    </row>
    <row r="7" spans="2:53" ht="16">
      <c r="B7" s="738" t="s">
        <v>407</v>
      </c>
      <c r="C7" s="739" t="s">
        <v>412</v>
      </c>
      <c r="D7" s="739">
        <v>180</v>
      </c>
      <c r="E7" s="739"/>
      <c r="F7" s="739"/>
      <c r="G7" s="740"/>
      <c r="H7" s="749"/>
      <c r="I7" s="749"/>
      <c r="J7" s="749"/>
      <c r="K7" s="738"/>
      <c r="L7" s="738"/>
      <c r="M7" s="738"/>
      <c r="N7" s="738"/>
      <c r="O7" s="738"/>
      <c r="P7" s="738"/>
      <c r="Q7" s="738"/>
      <c r="R7" s="738"/>
      <c r="S7" s="742">
        <f t="shared" si="0"/>
        <v>0</v>
      </c>
      <c r="T7" s="738"/>
      <c r="U7" s="738"/>
      <c r="V7" s="738"/>
      <c r="W7" s="738"/>
      <c r="X7" s="738"/>
      <c r="Y7" s="738"/>
      <c r="Z7" s="738"/>
      <c r="AA7" s="738"/>
      <c r="AB7" s="743" t="e">
        <f>SUMPRODUCT(K7:R7,T7:AA7)/S7</f>
        <v>#DIV/0!</v>
      </c>
      <c r="AC7" s="738"/>
      <c r="AD7" s="738"/>
      <c r="AE7" s="738"/>
      <c r="AF7" s="738"/>
      <c r="AG7" s="738"/>
      <c r="AH7" s="738"/>
      <c r="AI7" s="738"/>
      <c r="AJ7" s="738"/>
      <c r="AK7" s="743" t="e">
        <f>SUMPRODUCT(K7:R7,AC7:AJ7)/S7</f>
        <v>#DIV/0!</v>
      </c>
      <c r="AL7" s="744" t="e">
        <f>+(S7-F7)/F7*100</f>
        <v>#DIV/0!</v>
      </c>
      <c r="AM7" s="745" t="e">
        <f>+(AB7-H7)/H7*100</f>
        <v>#DIV/0!</v>
      </c>
      <c r="AN7" s="743" t="e">
        <f>+(AK7-J7)/J7*100</f>
        <v>#DIV/0!</v>
      </c>
      <c r="AP7" s="747">
        <f t="shared" ref="AP7:AP17" si="1">+-5</f>
        <v>-5</v>
      </c>
      <c r="AQ7" s="747">
        <v>5</v>
      </c>
      <c r="AR7" s="113">
        <v>0</v>
      </c>
      <c r="AZ7" s="747">
        <v>35</v>
      </c>
      <c r="BA7" s="747">
        <v>-35</v>
      </c>
    </row>
    <row r="8" spans="2:53" ht="16">
      <c r="B8" s="738" t="s">
        <v>407</v>
      </c>
      <c r="C8" s="739" t="s">
        <v>414</v>
      </c>
      <c r="D8" s="739">
        <v>165</v>
      </c>
      <c r="E8" s="739">
        <v>1</v>
      </c>
      <c r="F8" s="739"/>
      <c r="G8" s="740"/>
      <c r="H8" s="741">
        <f>+'19. Jms - Pre-Cle'!J41</f>
        <v>4.7359999999999998</v>
      </c>
      <c r="I8" s="738"/>
      <c r="J8" s="741">
        <f>+'19. Jms - Pre-Cle'!N41</f>
        <v>6.64</v>
      </c>
      <c r="K8" s="741">
        <f>+'19. Jms - Pre-Cle'!E47</f>
        <v>40.4</v>
      </c>
      <c r="L8" s="741">
        <f>+'19. Jms - Pre-Cle'!E48</f>
        <v>21.1</v>
      </c>
      <c r="M8" s="741">
        <f>+'19. Jms - Pre-Cle'!E49</f>
        <v>44.7</v>
      </c>
      <c r="N8" s="741">
        <f>+'19. Jms - Pre-Cle'!E50</f>
        <v>57.3</v>
      </c>
      <c r="O8" s="741">
        <f>+'19. Jms - Pre-Cle'!E51</f>
        <v>12.8</v>
      </c>
      <c r="P8" s="741">
        <f>+'19. Jms - Pre-Cle'!E52</f>
        <v>14.4</v>
      </c>
      <c r="Q8" s="741">
        <f>+'19. Jms - Pre-Cle'!E53</f>
        <v>100</v>
      </c>
      <c r="R8" s="741">
        <f>+'19. Jms - Pre-Cle'!E54</f>
        <v>749.4</v>
      </c>
      <c r="S8" s="742">
        <f t="shared" si="0"/>
        <v>1040.0999999999999</v>
      </c>
      <c r="T8" s="741">
        <f>+'19. Jms - Pre-Cle'!I47</f>
        <v>25.82</v>
      </c>
      <c r="U8" s="741">
        <f>+'19. Jms - Pre-Cle'!I48</f>
        <v>25.61</v>
      </c>
      <c r="V8" s="741">
        <f>+'19. Jms - Pre-Cle'!I49</f>
        <v>24.4</v>
      </c>
      <c r="W8" s="741">
        <f>+'19. Jms - Pre-Cle'!I50</f>
        <v>22.92</v>
      </c>
      <c r="X8" s="741">
        <f>+'19. Jms - Pre-Cle'!I51</f>
        <v>18.440000000000001</v>
      </c>
      <c r="Y8" s="741">
        <f>+'19. Jms - Pre-Cle'!I52</f>
        <v>7.75</v>
      </c>
      <c r="Z8" s="741">
        <f>+'19. Jms - Pre-Cle'!I53</f>
        <v>1.6579999999999999</v>
      </c>
      <c r="AA8" s="741">
        <f>+'19. Jms - Pre-Cle'!I54</f>
        <v>0.39400000000000002</v>
      </c>
      <c r="AB8" s="743">
        <f>SUMPRODUCT(K8:R8,T8:AA8)/S8</f>
        <v>4.6112783386212879</v>
      </c>
      <c r="AC8" s="741">
        <f>+'19. Jms - Pre-Cle'!N47</f>
        <v>24.7</v>
      </c>
      <c r="AD8" s="741">
        <f>+'19. Jms - Pre-Cle'!N48</f>
        <v>23.6</v>
      </c>
      <c r="AE8" s="741">
        <f>+'19. Jms - Pre-Cle'!N49</f>
        <v>24.2</v>
      </c>
      <c r="AF8" s="741">
        <f>+'19. Jms - Pre-Cle'!N50</f>
        <v>22.9</v>
      </c>
      <c r="AG8" s="741">
        <f>+'19. Jms - Pre-Cle'!N51</f>
        <v>18.3</v>
      </c>
      <c r="AH8" s="741">
        <f>+'19. Jms - Pre-Cle'!N52</f>
        <v>3.9</v>
      </c>
      <c r="AI8" s="741">
        <f>+'19. Jms - Pre-Cle'!N53</f>
        <v>3.95</v>
      </c>
      <c r="AJ8" s="741">
        <f>+'19. Jms - Pre-Cle'!N54</f>
        <v>8.1999999999999993</v>
      </c>
      <c r="AK8" s="743">
        <f>SUMPRODUCT(K8:R8,AC8:AJ8)/S8</f>
        <v>10.306922411306605</v>
      </c>
      <c r="AL8" s="744" t="e">
        <f>+(N8-F8)/F8*100</f>
        <v>#DIV/0!</v>
      </c>
      <c r="AM8" s="745">
        <f>+(AB8-H8)/H8*100</f>
        <v>-2.6334810257329364</v>
      </c>
      <c r="AN8" s="743">
        <f>+(AK8-J8)/J8*100</f>
        <v>55.224735110039234</v>
      </c>
      <c r="AP8" s="747">
        <f t="shared" si="1"/>
        <v>-5</v>
      </c>
      <c r="AQ8" s="747">
        <v>5</v>
      </c>
      <c r="AR8" s="113">
        <v>0</v>
      </c>
      <c r="AZ8" s="747">
        <v>35</v>
      </c>
      <c r="BA8" s="747">
        <v>-35</v>
      </c>
    </row>
    <row r="9" spans="2:53" ht="16">
      <c r="B9" s="738" t="s">
        <v>407</v>
      </c>
      <c r="C9" s="739" t="s">
        <v>413</v>
      </c>
      <c r="D9" s="739">
        <v>165</v>
      </c>
      <c r="E9" s="739">
        <v>1</v>
      </c>
      <c r="F9" s="739"/>
      <c r="G9" s="740"/>
      <c r="H9" s="741">
        <f>+'20. Jms - Pre-Cle-SCV'!J41</f>
        <v>2.468</v>
      </c>
      <c r="I9" s="738"/>
      <c r="J9" s="741">
        <f>+'20. Jms - Pre-Cle-SCV'!N41</f>
        <v>4.9400000000000004</v>
      </c>
      <c r="K9" s="741">
        <f>+'20. Jms - Pre-Cle-SCV'!E47</f>
        <v>36.6</v>
      </c>
      <c r="L9" s="741">
        <f>+'20. Jms - Pre-Cle-SCV'!E48</f>
        <v>30</v>
      </c>
      <c r="M9" s="741">
        <f>+'20. Jms - Pre-Cle-SCV'!E49</f>
        <v>40</v>
      </c>
      <c r="N9" s="741">
        <f>+'20. Jms - Pre-Cle-SCV'!E50</f>
        <v>82.3</v>
      </c>
      <c r="O9" s="741">
        <f>+'20. Jms - Pre-Cle-SCV'!E51</f>
        <v>9.6</v>
      </c>
      <c r="P9" s="741">
        <f>+'20. Jms - Pre-Cle-SCV'!E52</f>
        <v>5.9</v>
      </c>
      <c r="Q9" s="741">
        <f>+'20. Jms - Pre-Cle-SCV'!E53</f>
        <v>75.099999999999994</v>
      </c>
      <c r="R9" s="741">
        <f>+'20. Jms - Pre-Cle-SCV'!E54</f>
        <v>600.29999999999995</v>
      </c>
      <c r="S9" s="742">
        <f t="shared" si="0"/>
        <v>879.8</v>
      </c>
      <c r="T9" s="741">
        <f>+'20. Jms - Pre-Cle-SCV'!I47</f>
        <v>10.64</v>
      </c>
      <c r="U9" s="741">
        <f>+'20. Jms - Pre-Cle-SCV'!I48</f>
        <v>9.9499999999999993</v>
      </c>
      <c r="V9" s="741">
        <f>+'20. Jms - Pre-Cle-SCV'!I49</f>
        <v>9.2899999999999991</v>
      </c>
      <c r="W9" s="741">
        <f>+'20. Jms - Pre-Cle-SCV'!I50</f>
        <v>8.26</v>
      </c>
      <c r="X9" s="741">
        <f>+'20. Jms - Pre-Cle-SCV'!I51</f>
        <v>9.65</v>
      </c>
      <c r="Y9" s="741">
        <f>+'20. Jms - Pre-Cle-SCV'!I52</f>
        <v>3.2839999999999998</v>
      </c>
      <c r="Z9" s="741">
        <f>+'20. Jms - Pre-Cle-SCV'!I53</f>
        <v>1.018</v>
      </c>
      <c r="AA9" s="741">
        <f>+'20. Jms - Pre-Cle-SCV'!I54</f>
        <v>0.33700000000000002</v>
      </c>
      <c r="AB9" s="743">
        <f>SUMPRODUCT(K9:R9,T9:AA9)/S9</f>
        <v>2.4211076380995684</v>
      </c>
      <c r="AC9" s="741">
        <f>+'20. Jms - Pre-Cle-SCV'!N47</f>
        <v>13.4</v>
      </c>
      <c r="AD9" s="741">
        <f>+'20. Jms - Pre-Cle-SCV'!N48</f>
        <v>12.5</v>
      </c>
      <c r="AE9" s="741">
        <f>+'20. Jms - Pre-Cle-SCV'!N49</f>
        <v>11.8</v>
      </c>
      <c r="AF9" s="741">
        <f>+'20. Jms - Pre-Cle-SCV'!N50</f>
        <v>11.6</v>
      </c>
      <c r="AG9" s="741">
        <f>+'20. Jms - Pre-Cle-SCV'!N51</f>
        <v>12.8</v>
      </c>
      <c r="AH9" s="741">
        <f>+'20. Jms - Pre-Cle-SCV'!N52</f>
        <v>2.5499999999999998</v>
      </c>
      <c r="AI9" s="741">
        <f>+'20. Jms - Pre-Cle-SCV'!N53</f>
        <v>4</v>
      </c>
      <c r="AJ9" s="741">
        <f>+'20. Jms - Pre-Cle-SCV'!N54</f>
        <v>6.59</v>
      </c>
      <c r="AK9" s="743">
        <f>SUMPRODUCT(K9:R9,AC9:AJ9)/S9</f>
        <v>7.5999340759263472</v>
      </c>
      <c r="AL9" s="744" t="e">
        <f>+(N9-F9)/F9*100</f>
        <v>#DIV/0!</v>
      </c>
      <c r="AM9" s="745">
        <f>+(AB9-H9)/H9*100</f>
        <v>-1.9000146637127859</v>
      </c>
      <c r="AN9" s="743">
        <f>+(AK9-J9)/J9*100</f>
        <v>53.844819350735762</v>
      </c>
      <c r="AP9" s="747">
        <f t="shared" si="1"/>
        <v>-5</v>
      </c>
      <c r="AQ9" s="747">
        <v>5</v>
      </c>
      <c r="AR9" s="750"/>
      <c r="AZ9" s="747">
        <v>35</v>
      </c>
      <c r="BA9" s="747">
        <v>-35</v>
      </c>
    </row>
    <row r="10" spans="2:53" ht="16">
      <c r="B10" s="738" t="s">
        <v>407</v>
      </c>
      <c r="C10" s="739" t="s">
        <v>411</v>
      </c>
      <c r="D10" s="739">
        <v>165</v>
      </c>
      <c r="E10" s="739">
        <v>2</v>
      </c>
      <c r="F10" s="739"/>
      <c r="G10" s="740"/>
      <c r="H10" s="741"/>
      <c r="I10" s="738"/>
      <c r="J10" s="741"/>
      <c r="K10" s="741"/>
      <c r="L10" s="741"/>
      <c r="M10" s="741"/>
      <c r="N10" s="741"/>
      <c r="O10" s="741"/>
      <c r="P10" s="741"/>
      <c r="Q10" s="741"/>
      <c r="R10" s="741"/>
      <c r="S10" s="742">
        <f t="shared" si="0"/>
        <v>0</v>
      </c>
      <c r="T10" s="741"/>
      <c r="U10" s="741"/>
      <c r="V10" s="741"/>
      <c r="W10" s="741"/>
      <c r="X10" s="741"/>
      <c r="Y10" s="741"/>
      <c r="Z10" s="741"/>
      <c r="AA10" s="741"/>
      <c r="AB10" s="743" t="e">
        <f t="shared" ref="AB10:AB14" si="2">SUMPRODUCT(K10:R10,T10:AA10)/S10</f>
        <v>#DIV/0!</v>
      </c>
      <c r="AC10" s="741"/>
      <c r="AD10" s="741"/>
      <c r="AE10" s="741"/>
      <c r="AF10" s="741"/>
      <c r="AG10" s="741"/>
      <c r="AH10" s="741"/>
      <c r="AI10" s="741"/>
      <c r="AJ10" s="741"/>
      <c r="AK10" s="743" t="e">
        <f t="shared" ref="AK10:AK14" si="3">SUMPRODUCT(K10:R10,AC10:AJ10)/S10</f>
        <v>#DIV/0!</v>
      </c>
      <c r="AL10" s="744" t="e">
        <f t="shared" ref="AL10:AL14" si="4">+(N10-F10)/F10*100</f>
        <v>#DIV/0!</v>
      </c>
      <c r="AM10" s="745" t="e">
        <f t="shared" ref="AM10:AM14" si="5">+(AB10-H10)/H10*100</f>
        <v>#DIV/0!</v>
      </c>
      <c r="AN10" s="743" t="e">
        <f t="shared" ref="AN10:AN14" si="6">+(AK10-J10)/J10*100</f>
        <v>#DIV/0!</v>
      </c>
      <c r="AP10" s="747">
        <f t="shared" si="1"/>
        <v>-5</v>
      </c>
      <c r="AQ10" s="747">
        <v>5</v>
      </c>
      <c r="AR10" s="747">
        <v>5</v>
      </c>
    </row>
    <row r="11" spans="2:53" ht="16">
      <c r="B11" s="738" t="s">
        <v>407</v>
      </c>
      <c r="C11" s="739" t="s">
        <v>412</v>
      </c>
      <c r="D11" s="739">
        <v>165</v>
      </c>
      <c r="E11" s="739">
        <v>2</v>
      </c>
      <c r="F11" s="739"/>
      <c r="G11" s="740"/>
      <c r="H11" s="741">
        <f>+'18. Jms - Ro-SCV'!J141</f>
        <v>0.14499999999999999</v>
      </c>
      <c r="I11" s="738"/>
      <c r="J11" s="741">
        <f>+'18. Jms - Ro-SCV'!N141</f>
        <v>1.04</v>
      </c>
      <c r="K11" s="741">
        <f>+'18. Jms - Ro-SCV'!$E132</f>
        <v>20.3</v>
      </c>
      <c r="L11" s="741">
        <f>+'18. Jms - Ro-SCV'!$E133</f>
        <v>10.5</v>
      </c>
      <c r="M11" s="741">
        <f>+'18. Jms - Ro-SCV'!$E134</f>
        <v>9.6</v>
      </c>
      <c r="N11" s="741">
        <f>+'18. Jms - Ro-SCV'!$E135</f>
        <v>14.6</v>
      </c>
      <c r="O11" s="741">
        <f>+'18. Jms - Ro-SCV'!$E136</f>
        <v>4.5</v>
      </c>
      <c r="P11" s="741">
        <f>+'18. Jms - Ro-SCV'!$E137</f>
        <v>18.3</v>
      </c>
      <c r="Q11" s="741">
        <f>+'18. Jms - Ro-SCV'!$E138</f>
        <v>215.2</v>
      </c>
      <c r="R11" s="741">
        <f>+'18. Jms - Ro-SCV'!$E139</f>
        <v>3633.9</v>
      </c>
      <c r="S11" s="742">
        <f t="shared" si="0"/>
        <v>3926.9</v>
      </c>
      <c r="T11" s="741">
        <f>+'18. Jms - Ro-SCV'!$I132</f>
        <v>3.2149999999999999</v>
      </c>
      <c r="U11" s="741">
        <f>+'18. Jms - Ro-SCV'!$I133</f>
        <v>3.3220000000000001</v>
      </c>
      <c r="V11" s="741">
        <f>+'18. Jms - Ro-SCV'!$I134</f>
        <v>3.274</v>
      </c>
      <c r="W11" s="741">
        <f>+'18. Jms - Ro-SCV'!$I135</f>
        <v>2.0817999999999999</v>
      </c>
      <c r="X11" s="741">
        <f>+'18. Jms - Ro-SCV'!$I136</f>
        <v>0.774532</v>
      </c>
      <c r="Y11" s="741">
        <f>+'18. Jms - Ro-SCV'!$I137</f>
        <v>0.38300000000000001</v>
      </c>
      <c r="Z11" s="741">
        <f>+'18. Jms - Ro-SCV'!$I138</f>
        <v>0.10299999999999999</v>
      </c>
      <c r="AA11" s="741">
        <f>+'18. Jms - Ro-SCV'!$I139</f>
        <v>8.4000000000000005E-2</v>
      </c>
      <c r="AB11" s="743">
        <f t="shared" si="2"/>
        <v>0.12729574830018592</v>
      </c>
      <c r="AC11" s="741">
        <f>+'18. Jms - Ro-SCV'!$N132</f>
        <v>25.8</v>
      </c>
      <c r="AD11" s="741">
        <f>+'18. Jms - Ro-SCV'!$N133</f>
        <v>23.6</v>
      </c>
      <c r="AE11" s="741">
        <f>+'18. Jms - Ro-SCV'!$N134</f>
        <v>22.8</v>
      </c>
      <c r="AF11" s="741">
        <f>+'18. Jms - Ro-SCV'!$N135</f>
        <v>13.6</v>
      </c>
      <c r="AG11" s="741">
        <f>+'18. Jms - Ro-SCV'!$N136</f>
        <v>5.26</v>
      </c>
      <c r="AH11" s="741">
        <f>+'18. Jms - Ro-SCV'!$N137</f>
        <v>1.78</v>
      </c>
      <c r="AI11" s="741">
        <f>+'18. Jms - Ro-SCV'!$N138</f>
        <v>0.9</v>
      </c>
      <c r="AJ11" s="741">
        <f>+'18. Jms - Ro-SCV'!$N139</f>
        <v>0.74</v>
      </c>
      <c r="AK11" s="743">
        <f t="shared" si="3"/>
        <v>1.0512083322722761</v>
      </c>
      <c r="AL11" s="744" t="e">
        <f t="shared" si="4"/>
        <v>#DIV/0!</v>
      </c>
      <c r="AM11" s="745">
        <f t="shared" si="5"/>
        <v>-12.209828758492463</v>
      </c>
      <c r="AN11" s="743">
        <f t="shared" si="6"/>
        <v>1.0777242569496175</v>
      </c>
      <c r="AP11" s="747">
        <f t="shared" si="1"/>
        <v>-5</v>
      </c>
      <c r="AQ11" s="747">
        <v>5</v>
      </c>
      <c r="AR11" s="747">
        <v>5</v>
      </c>
    </row>
    <row r="12" spans="2:53" ht="16">
      <c r="B12" s="738" t="s">
        <v>407</v>
      </c>
      <c r="C12" s="739" t="s">
        <v>412</v>
      </c>
      <c r="D12" s="739">
        <v>180</v>
      </c>
      <c r="E12" s="739">
        <v>2</v>
      </c>
      <c r="F12" s="739"/>
      <c r="G12" s="740"/>
      <c r="H12" s="741"/>
      <c r="I12" s="738"/>
      <c r="J12" s="741"/>
      <c r="K12" s="741"/>
      <c r="L12" s="741"/>
      <c r="M12" s="741"/>
      <c r="N12" s="741"/>
      <c r="O12" s="741"/>
      <c r="P12" s="741"/>
      <c r="Q12" s="741"/>
      <c r="R12" s="741"/>
      <c r="S12" s="742">
        <f t="shared" si="0"/>
        <v>0</v>
      </c>
      <c r="T12" s="741"/>
      <c r="U12" s="741"/>
      <c r="V12" s="741"/>
      <c r="W12" s="741"/>
      <c r="X12" s="741"/>
      <c r="Y12" s="741"/>
      <c r="Z12" s="741"/>
      <c r="AA12" s="741"/>
      <c r="AB12" s="743" t="e">
        <f t="shared" si="2"/>
        <v>#DIV/0!</v>
      </c>
      <c r="AC12" s="741"/>
      <c r="AD12" s="741"/>
      <c r="AE12" s="741"/>
      <c r="AF12" s="741"/>
      <c r="AG12" s="741"/>
      <c r="AH12" s="741"/>
      <c r="AI12" s="741"/>
      <c r="AJ12" s="741"/>
      <c r="AK12" s="743" t="e">
        <f t="shared" si="3"/>
        <v>#DIV/0!</v>
      </c>
      <c r="AL12" s="744" t="e">
        <f t="shared" si="4"/>
        <v>#DIV/0!</v>
      </c>
      <c r="AM12" s="745" t="e">
        <f t="shared" si="5"/>
        <v>#DIV/0!</v>
      </c>
      <c r="AN12" s="743" t="e">
        <f t="shared" si="6"/>
        <v>#DIV/0!</v>
      </c>
      <c r="AP12" s="747">
        <f t="shared" si="1"/>
        <v>-5</v>
      </c>
      <c r="AQ12" s="747">
        <v>5</v>
      </c>
      <c r="AR12" s="747">
        <v>5</v>
      </c>
    </row>
    <row r="13" spans="2:53" ht="16">
      <c r="B13" s="738" t="s">
        <v>407</v>
      </c>
      <c r="C13" s="739" t="s">
        <v>414</v>
      </c>
      <c r="D13" s="739">
        <v>165</v>
      </c>
      <c r="E13" s="739">
        <v>2</v>
      </c>
      <c r="F13" s="739"/>
      <c r="G13" s="740"/>
      <c r="H13" s="741">
        <f>+'19. Jms - Pre-Cle'!J111</f>
        <v>2.254</v>
      </c>
      <c r="I13" s="738"/>
      <c r="J13" s="741">
        <f>+'19. Jms - Pre-Cle'!N111</f>
        <v>4.97</v>
      </c>
      <c r="K13" s="741">
        <f>+'19. Jms - Pre-Cle'!$E102</f>
        <v>29.6</v>
      </c>
      <c r="L13" s="741">
        <f>+'19. Jms - Pre-Cle'!$E103</f>
        <v>12.5</v>
      </c>
      <c r="M13" s="741">
        <f>+'19. Jms - Pre-Cle'!$E104</f>
        <v>11.8</v>
      </c>
      <c r="N13" s="741">
        <f>+'19. Jms - Pre-Cle'!$E105</f>
        <v>8.1</v>
      </c>
      <c r="O13" s="741">
        <f>+'19. Jms - Pre-Cle'!$E106</f>
        <v>1.5</v>
      </c>
      <c r="P13" s="741">
        <f>+'19. Jms - Pre-Cle'!$E107</f>
        <v>9.5</v>
      </c>
      <c r="Q13" s="741">
        <f>+'19. Jms - Pre-Cle'!$E108</f>
        <v>80.2</v>
      </c>
      <c r="R13" s="741">
        <f>+'19. Jms - Pre-Cle'!$E109</f>
        <v>685.4</v>
      </c>
      <c r="S13" s="742">
        <f t="shared" si="0"/>
        <v>838.59999999999991</v>
      </c>
      <c r="T13" s="741">
        <f>+'19. Jms - Pre-Cle'!$I102</f>
        <v>25.28</v>
      </c>
      <c r="U13" s="741">
        <f>+'19. Jms - Pre-Cle'!$I103</f>
        <v>24.75</v>
      </c>
      <c r="V13" s="741">
        <f>+'19. Jms - Pre-Cle'!$I104</f>
        <v>23.85</v>
      </c>
      <c r="W13" s="741">
        <f>+'19. Jms - Pre-Cle'!$I105</f>
        <v>23.25</v>
      </c>
      <c r="X13" s="741">
        <f>+'19. Jms - Pre-Cle'!$I106</f>
        <v>19.79</v>
      </c>
      <c r="Y13" s="741">
        <f>+'19. Jms - Pre-Cle'!$I107</f>
        <v>6.97</v>
      </c>
      <c r="Z13" s="741">
        <f>+'19. Jms - Pre-Cle'!$I108</f>
        <v>1.127</v>
      </c>
      <c r="AA13" s="741">
        <f>+'19. Jms - Pre-Cle'!$I109</f>
        <v>0.154</v>
      </c>
      <c r="AB13" s="743">
        <f t="shared" si="2"/>
        <v>2.1693954209396615</v>
      </c>
      <c r="AC13" s="741">
        <f>+'19. Jms - Pre-Cle'!$N102</f>
        <v>22.8</v>
      </c>
      <c r="AD13" s="741">
        <f>+'19. Jms - Pre-Cle'!$N103</f>
        <v>22.3</v>
      </c>
      <c r="AE13" s="741">
        <f>+'19. Jms - Pre-Cle'!$N104</f>
        <v>22.1</v>
      </c>
      <c r="AF13" s="741">
        <f>+'19. Jms - Pre-Cle'!$N105</f>
        <v>20.6</v>
      </c>
      <c r="AG13" s="741">
        <f>+'19. Jms - Pre-Cle'!$N106</f>
        <v>17</v>
      </c>
      <c r="AH13" s="741">
        <f>+'19. Jms - Pre-Cle'!$N107</f>
        <v>10</v>
      </c>
      <c r="AI13" s="741">
        <f>+'19. Jms - Pre-Cle'!$N108</f>
        <v>4.16</v>
      </c>
      <c r="AJ13" s="741">
        <f>+'19. Jms - Pre-Cle'!$N109</f>
        <v>3.28</v>
      </c>
      <c r="AK13" s="743">
        <f t="shared" si="3"/>
        <v>4.8694419270212261</v>
      </c>
      <c r="AL13" s="744" t="e">
        <f t="shared" si="4"/>
        <v>#DIV/0!</v>
      </c>
      <c r="AM13" s="745">
        <f t="shared" si="5"/>
        <v>-3.7535305705562765</v>
      </c>
      <c r="AN13" s="743">
        <f t="shared" si="6"/>
        <v>-2.0233012671785437</v>
      </c>
      <c r="AP13" s="747">
        <f t="shared" si="1"/>
        <v>-5</v>
      </c>
      <c r="AQ13" s="747">
        <v>5</v>
      </c>
      <c r="AR13" s="747">
        <v>5</v>
      </c>
    </row>
    <row r="14" spans="2:53" ht="16">
      <c r="B14" s="738" t="s">
        <v>407</v>
      </c>
      <c r="C14" s="739" t="s">
        <v>413</v>
      </c>
      <c r="D14" s="739">
        <v>165</v>
      </c>
      <c r="E14" s="739">
        <v>2</v>
      </c>
      <c r="F14" s="739"/>
      <c r="G14" s="740"/>
      <c r="H14" s="741">
        <f>+'20. Jms - Pre-Cle-SCV'!J121</f>
        <v>1.698</v>
      </c>
      <c r="I14" s="738"/>
      <c r="J14" s="741">
        <f>+'20. Jms - Pre-Cle-SCV'!N121</f>
        <v>4.97</v>
      </c>
      <c r="K14" s="741">
        <f>+'20. Jms - Pre-Cle-SCV'!$E112</f>
        <v>58.6</v>
      </c>
      <c r="L14" s="741">
        <f>+'20. Jms - Pre-Cle-SCV'!$E113</f>
        <v>27.3</v>
      </c>
      <c r="M14" s="741">
        <f>+'20. Jms - Pre-Cle-SCV'!$E114</f>
        <v>45</v>
      </c>
      <c r="N14" s="741">
        <f>+'20. Jms - Pre-Cle-SCV'!$E115</f>
        <v>43.4</v>
      </c>
      <c r="O14" s="741">
        <f>+'20. Jms - Pre-Cle-SCV'!$E116</f>
        <v>2.2000000000000002</v>
      </c>
      <c r="P14" s="741">
        <f>+'20. Jms - Pre-Cle-SCV'!$E117</f>
        <v>15.9</v>
      </c>
      <c r="Q14" s="741">
        <f>+'20. Jms - Pre-Cle-SCV'!$E118</f>
        <v>86.8</v>
      </c>
      <c r="R14" s="741">
        <f>+'20. Jms - Pre-Cle-SCV'!$E119</f>
        <v>1120.5999999999999</v>
      </c>
      <c r="S14" s="742">
        <f t="shared" si="0"/>
        <v>1399.8</v>
      </c>
      <c r="T14" s="741">
        <f>+'20. Jms - Pre-Cle-SCV'!$I112</f>
        <v>11.83</v>
      </c>
      <c r="U14" s="741">
        <f>+'20. Jms - Pre-Cle-SCV'!$I113</f>
        <v>11.57</v>
      </c>
      <c r="V14" s="741">
        <f>+'20. Jms - Pre-Cle-SCV'!$I114</f>
        <v>10.65</v>
      </c>
      <c r="W14" s="741">
        <f>+'20. Jms - Pre-Cle-SCV'!$I115</f>
        <v>9.48</v>
      </c>
      <c r="X14" s="741">
        <f>+'20. Jms - Pre-Cle-SCV'!$I116</f>
        <v>11.11</v>
      </c>
      <c r="Y14" s="741">
        <f>+'20. Jms - Pre-Cle-SCV'!$I117</f>
        <v>6.43</v>
      </c>
      <c r="Z14" s="741">
        <f>+'20. Jms - Pre-Cle-SCV'!$I118</f>
        <v>1.256</v>
      </c>
      <c r="AA14" s="741">
        <f>+'20. Jms - Pre-Cle-SCV'!$I119</f>
        <v>0.22800000000000001</v>
      </c>
      <c r="AB14" s="743">
        <f t="shared" si="2"/>
        <v>1.7080851550221461</v>
      </c>
      <c r="AC14" s="741">
        <f>+'20. Jms - Pre-Cle-SCV'!$N112</f>
        <v>22.8</v>
      </c>
      <c r="AD14" s="741">
        <f>+'20. Jms - Pre-Cle-SCV'!$N113</f>
        <v>22.3</v>
      </c>
      <c r="AE14" s="741">
        <f>+'20. Jms - Pre-Cle-SCV'!$N114</f>
        <v>22.1</v>
      </c>
      <c r="AF14" s="741">
        <f>+'20. Jms - Pre-Cle-SCV'!$N115</f>
        <v>20.6</v>
      </c>
      <c r="AG14" s="741">
        <f>+'20. Jms - Pre-Cle-SCV'!$N116</f>
        <v>17</v>
      </c>
      <c r="AH14" s="741">
        <f>+'20. Jms - Pre-Cle-SCV'!$N117</f>
        <v>3.28</v>
      </c>
      <c r="AI14" s="741">
        <f>+'20. Jms - Pre-Cle-SCV'!$N118</f>
        <v>4.16</v>
      </c>
      <c r="AJ14" s="741">
        <f>+'20. Jms - Pre-Cle-SCV'!$N119</f>
        <v>10</v>
      </c>
      <c r="AK14" s="743">
        <f t="shared" si="3"/>
        <v>11.065902271753107</v>
      </c>
      <c r="AL14" s="744" t="e">
        <f t="shared" si="4"/>
        <v>#DIV/0!</v>
      </c>
      <c r="AM14" s="745">
        <f t="shared" si="5"/>
        <v>0.59394316973769912</v>
      </c>
      <c r="AN14" s="743">
        <f t="shared" si="6"/>
        <v>122.65396925056552</v>
      </c>
      <c r="AP14" s="747">
        <f t="shared" si="1"/>
        <v>-5</v>
      </c>
      <c r="AQ14" s="747">
        <v>5</v>
      </c>
      <c r="AR14" s="747">
        <v>5</v>
      </c>
    </row>
    <row r="15" spans="2:53" ht="16">
      <c r="B15" s="738"/>
      <c r="C15" s="739"/>
      <c r="D15" s="739"/>
      <c r="E15" s="739"/>
      <c r="F15" s="739"/>
      <c r="G15" s="740"/>
      <c r="H15" s="738"/>
      <c r="I15" s="749"/>
      <c r="J15" s="749"/>
      <c r="K15" s="738"/>
      <c r="L15" s="738"/>
      <c r="M15" s="738"/>
      <c r="N15" s="738"/>
      <c r="O15" s="738"/>
      <c r="P15" s="738"/>
      <c r="Q15" s="738"/>
      <c r="R15" s="738"/>
      <c r="S15" s="742">
        <f t="shared" si="0"/>
        <v>0</v>
      </c>
      <c r="T15" s="738"/>
      <c r="U15" s="738"/>
      <c r="V15" s="738"/>
      <c r="W15" s="738"/>
      <c r="X15" s="738"/>
      <c r="Y15" s="738"/>
      <c r="Z15" s="738"/>
      <c r="AA15" s="738"/>
      <c r="AB15" s="743"/>
      <c r="AC15" s="741"/>
      <c r="AD15" s="738"/>
      <c r="AE15" s="738"/>
      <c r="AF15" s="738"/>
      <c r="AG15" s="738"/>
      <c r="AH15" s="738"/>
      <c r="AI15" s="751"/>
      <c r="AJ15" s="738"/>
      <c r="AK15" s="743"/>
      <c r="AL15" s="744"/>
      <c r="AM15" s="745"/>
      <c r="AN15" s="743"/>
      <c r="AP15" s="747">
        <f t="shared" si="1"/>
        <v>-5</v>
      </c>
      <c r="AQ15" s="747">
        <v>5</v>
      </c>
      <c r="AR15" s="747">
        <v>5</v>
      </c>
      <c r="AZ15" s="747">
        <v>35</v>
      </c>
      <c r="BA15" s="747">
        <v>-35</v>
      </c>
    </row>
    <row r="16" spans="2:53" ht="16">
      <c r="B16" s="738"/>
      <c r="C16" s="739"/>
      <c r="D16" s="739"/>
      <c r="E16" s="739"/>
      <c r="F16" s="739"/>
      <c r="G16" s="740"/>
      <c r="H16" s="738"/>
      <c r="I16" s="749"/>
      <c r="J16" s="749"/>
      <c r="K16" s="738"/>
      <c r="L16" s="738"/>
      <c r="M16" s="738"/>
      <c r="N16" s="738"/>
      <c r="O16" s="738"/>
      <c r="P16" s="738"/>
      <c r="Q16" s="738"/>
      <c r="R16" s="738"/>
      <c r="S16" s="742"/>
      <c r="T16" s="738"/>
      <c r="U16" s="738"/>
      <c r="V16" s="738"/>
      <c r="W16" s="738"/>
      <c r="X16" s="738"/>
      <c r="Y16" s="738"/>
      <c r="Z16" s="738"/>
      <c r="AA16" s="738"/>
      <c r="AB16" s="743"/>
      <c r="AC16" s="738"/>
      <c r="AD16" s="738"/>
      <c r="AE16" s="738"/>
      <c r="AF16" s="738"/>
      <c r="AG16" s="738"/>
      <c r="AH16" s="738"/>
      <c r="AI16" s="738"/>
      <c r="AJ16" s="738"/>
      <c r="AK16" s="743"/>
      <c r="AL16" s="744"/>
      <c r="AM16" s="745"/>
      <c r="AN16" s="743"/>
      <c r="AP16" s="747">
        <f t="shared" si="1"/>
        <v>-5</v>
      </c>
      <c r="AQ16" s="747">
        <v>5</v>
      </c>
      <c r="AR16" s="113">
        <v>0</v>
      </c>
      <c r="AZ16" s="747">
        <v>35</v>
      </c>
      <c r="BA16" s="747">
        <v>-35</v>
      </c>
    </row>
    <row r="17" spans="2:53" ht="16">
      <c r="B17" s="738"/>
      <c r="C17" s="739"/>
      <c r="D17" s="739"/>
      <c r="E17" s="739"/>
      <c r="F17" s="739"/>
      <c r="G17" s="740"/>
      <c r="H17" s="749"/>
      <c r="I17" s="749"/>
      <c r="J17" s="749"/>
      <c r="K17" s="738"/>
      <c r="L17" s="738"/>
      <c r="M17" s="738"/>
      <c r="N17" s="738"/>
      <c r="O17" s="738"/>
      <c r="P17" s="738"/>
      <c r="Q17" s="738"/>
      <c r="R17" s="738"/>
      <c r="S17" s="742"/>
      <c r="T17" s="738"/>
      <c r="U17" s="738"/>
      <c r="V17" s="738"/>
      <c r="W17" s="738"/>
      <c r="X17" s="738"/>
      <c r="Y17" s="738"/>
      <c r="Z17" s="738"/>
      <c r="AA17" s="738"/>
      <c r="AB17" s="743"/>
      <c r="AC17" s="738"/>
      <c r="AD17" s="738"/>
      <c r="AE17" s="738"/>
      <c r="AF17" s="738"/>
      <c r="AG17" s="738"/>
      <c r="AH17" s="738"/>
      <c r="AI17" s="738"/>
      <c r="AJ17" s="738"/>
      <c r="AK17" s="743"/>
      <c r="AL17" s="744"/>
      <c r="AM17" s="745"/>
      <c r="AN17" s="743"/>
      <c r="AP17" s="747">
        <f t="shared" si="1"/>
        <v>-5</v>
      </c>
      <c r="AQ17" s="747">
        <v>5</v>
      </c>
      <c r="AR17" s="113">
        <v>0</v>
      </c>
      <c r="AZ17" s="747">
        <v>35</v>
      </c>
      <c r="BA17" s="747">
        <v>-35</v>
      </c>
    </row>
    <row r="18" spans="2:53">
      <c r="AZ18" s="747">
        <v>35</v>
      </c>
      <c r="BA18" s="747">
        <v>-35</v>
      </c>
    </row>
  </sheetData>
  <mergeCells count="10">
    <mergeCell ref="Y3:AA3"/>
    <mergeCell ref="P3:R3"/>
    <mergeCell ref="S3:S4"/>
    <mergeCell ref="K3:O3"/>
    <mergeCell ref="T3:X3"/>
    <mergeCell ref="AK3:AK4"/>
    <mergeCell ref="AM3:AN3"/>
    <mergeCell ref="AB3:AB4"/>
    <mergeCell ref="AH3:AJ3"/>
    <mergeCell ref="AC3:AG3"/>
  </mergeCells>
  <conditionalFormatting sqref="AM5:AM17">
    <cfRule type="cellIs" dxfId="5" priority="6" operator="lessThan">
      <formula>-5</formula>
    </cfRule>
    <cfRule type="cellIs" dxfId="4" priority="7" operator="greaterThan">
      <formula>5</formula>
    </cfRule>
    <cfRule type="cellIs" dxfId="3" priority="8" operator="between">
      <formula>5</formula>
      <formula>-5</formula>
    </cfRule>
  </conditionalFormatting>
  <conditionalFormatting sqref="AN5:AN17">
    <cfRule type="cellIs" dxfId="2" priority="3" operator="lessThan">
      <formula>-15</formula>
    </cfRule>
    <cfRule type="cellIs" dxfId="1" priority="4" operator="greaterThan">
      <formula>15</formula>
    </cfRule>
    <cfRule type="cellIs" dxfId="0" priority="5" operator="between">
      <formula>15</formula>
      <formula>-15</formula>
    </cfRule>
  </conditionalFormatting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9963B-563E-47C6-8E3D-044942E956BD}">
  <dimension ref="B2:P73"/>
  <sheetViews>
    <sheetView workbookViewId="0"/>
  </sheetViews>
  <sheetFormatPr baseColWidth="10" defaultColWidth="10.7265625" defaultRowHeight="14.5"/>
  <cols>
    <col min="1" max="1" width="16.453125" style="68" customWidth="1"/>
    <col min="2" max="2" width="23.7265625" style="68" customWidth="1"/>
    <col min="3" max="3" width="12.54296875" style="68" customWidth="1"/>
    <col min="4" max="4" width="12.54296875" style="68" bestFit="1" customWidth="1"/>
    <col min="5" max="10" width="10.7265625" style="68"/>
    <col min="11" max="11" width="11.54296875" style="68" customWidth="1"/>
    <col min="12" max="12" width="13.54296875" style="68" customWidth="1"/>
    <col min="13" max="13" width="10.7265625" style="68"/>
    <col min="14" max="14" width="12.7265625" style="68" customWidth="1"/>
    <col min="15" max="16384" width="10.7265625" style="68"/>
  </cols>
  <sheetData>
    <row r="2" spans="2:14" ht="18.5">
      <c r="B2" s="210" t="s">
        <v>890</v>
      </c>
    </row>
    <row r="3" spans="2:14" ht="15" thickBot="1"/>
    <row r="4" spans="2:14" ht="15" thickBot="1">
      <c r="C4" s="239" t="s">
        <v>427</v>
      </c>
      <c r="D4" s="241" t="s">
        <v>428</v>
      </c>
    </row>
    <row r="5" spans="2:14" ht="15" thickBot="1">
      <c r="B5" s="969" t="s">
        <v>754</v>
      </c>
      <c r="C5" s="970">
        <f>+AVERAGE('13. Pilotaje Rougher'!$K$20:$K$36)</f>
        <v>79.807493568485683</v>
      </c>
      <c r="D5" s="971">
        <f>+AVERAGE('13. Pilotaje Rougher'!$K$37:$K$52)</f>
        <v>84.376281394866425</v>
      </c>
    </row>
    <row r="6" spans="2:14" ht="15" customHeight="1" thickBot="1">
      <c r="K6" s="1438" t="s">
        <v>891</v>
      </c>
      <c r="L6" s="1438"/>
      <c r="M6" s="1438"/>
      <c r="N6" s="1438"/>
    </row>
    <row r="7" spans="2:14" ht="15" thickBot="1">
      <c r="C7" s="1393" t="s">
        <v>808</v>
      </c>
      <c r="D7" s="1397"/>
      <c r="E7" s="1397"/>
      <c r="F7" s="1397"/>
      <c r="G7" s="1397"/>
      <c r="H7" s="1397"/>
      <c r="I7" s="1397"/>
      <c r="J7" s="1394"/>
      <c r="K7" s="1393" t="s">
        <v>892</v>
      </c>
      <c r="L7" s="1394"/>
      <c r="M7" s="1393" t="s">
        <v>893</v>
      </c>
      <c r="N7" s="1394"/>
    </row>
    <row r="8" spans="2:14" ht="15" thickBot="1">
      <c r="C8" s="1393" t="s">
        <v>427</v>
      </c>
      <c r="D8" s="1397"/>
      <c r="E8" s="1394"/>
      <c r="F8" s="1398" t="s">
        <v>428</v>
      </c>
      <c r="G8" s="1399"/>
      <c r="H8" s="1399"/>
      <c r="I8" s="1399"/>
      <c r="J8" s="1400"/>
      <c r="K8" s="1398" t="s">
        <v>801</v>
      </c>
      <c r="L8" s="1400"/>
      <c r="M8" s="1398" t="s">
        <v>801</v>
      </c>
      <c r="N8" s="1400"/>
    </row>
    <row r="9" spans="2:14">
      <c r="C9" s="972">
        <v>45901</v>
      </c>
      <c r="D9" s="973">
        <v>45903</v>
      </c>
      <c r="E9" s="974" t="s">
        <v>757</v>
      </c>
      <c r="F9" s="972">
        <v>45922</v>
      </c>
      <c r="G9" s="973">
        <v>45922</v>
      </c>
      <c r="H9" s="973">
        <v>45923</v>
      </c>
      <c r="I9" s="975">
        <v>45925</v>
      </c>
      <c r="J9" s="967" t="s">
        <v>757</v>
      </c>
      <c r="K9" s="976"/>
      <c r="L9" s="977"/>
      <c r="M9" s="976"/>
      <c r="N9" s="977"/>
    </row>
    <row r="10" spans="2:14" ht="15" thickBot="1">
      <c r="C10" s="892" t="s">
        <v>758</v>
      </c>
      <c r="D10" s="978" t="s">
        <v>759</v>
      </c>
      <c r="E10" s="966"/>
      <c r="F10" s="892" t="s">
        <v>759</v>
      </c>
      <c r="G10" s="978" t="s">
        <v>758</v>
      </c>
      <c r="H10" s="978" t="s">
        <v>758</v>
      </c>
      <c r="I10" s="979" t="s">
        <v>758</v>
      </c>
      <c r="J10" s="968"/>
      <c r="K10" s="980" t="s">
        <v>874</v>
      </c>
      <c r="L10" s="910" t="s">
        <v>869</v>
      </c>
      <c r="M10" s="980" t="s">
        <v>874</v>
      </c>
      <c r="N10" s="910" t="s">
        <v>869</v>
      </c>
    </row>
    <row r="11" spans="2:14">
      <c r="B11" s="848" t="s">
        <v>21</v>
      </c>
      <c r="C11" s="976"/>
      <c r="D11" s="981"/>
      <c r="E11" s="977">
        <f>+AVERAGE('13. Pilotaje Rougher'!$F$20:$F$36)</f>
        <v>0.67582352941176471</v>
      </c>
      <c r="F11" s="976"/>
      <c r="G11" s="981"/>
      <c r="H11" s="981"/>
      <c r="I11" s="981"/>
      <c r="J11" s="982">
        <f>+AVERAGE('13. Pilotaje Rougher'!$F$37:$F$52)</f>
        <v>0.68168749999999989</v>
      </c>
      <c r="K11" s="983">
        <f>'19. Jms - Pre-Cle'!D166</f>
        <v>0.68168749999999989</v>
      </c>
      <c r="L11" s="984"/>
      <c r="M11" s="983">
        <f>'19. Jms - Pre-Cle'!F166</f>
        <v>0</v>
      </c>
      <c r="N11" s="984"/>
    </row>
    <row r="12" spans="2:14">
      <c r="B12" s="849" t="s">
        <v>22</v>
      </c>
      <c r="C12" s="985"/>
      <c r="D12" s="779"/>
      <c r="E12" s="986">
        <f>+AVERAGE('13. Pilotaje Rougher'!$H$20:$H$36)</f>
        <v>5.1583529411764708</v>
      </c>
      <c r="F12" s="985"/>
      <c r="G12" s="779"/>
      <c r="H12" s="779"/>
      <c r="I12" s="779"/>
      <c r="J12" s="987">
        <f>+AVERAGE('13. Pilotaje Rougher'!$H$37:$H$52)</f>
        <v>3.2132499999999999</v>
      </c>
      <c r="K12" s="985">
        <f>'19. Jms - Pre-Cle'!D167</f>
        <v>3.2132499999999999</v>
      </c>
      <c r="L12" s="986"/>
      <c r="M12" s="985">
        <f>'19. Jms - Pre-Cle'!F167</f>
        <v>0</v>
      </c>
      <c r="N12" s="986"/>
    </row>
    <row r="13" spans="2:14" ht="15" thickBot="1">
      <c r="B13" s="849" t="s">
        <v>23</v>
      </c>
      <c r="C13" s="985"/>
      <c r="D13" s="779"/>
      <c r="E13" s="986">
        <f>+AVERAGE('13. Pilotaje Rougher'!$G$20:$G$36)</f>
        <v>0.15441176470588236</v>
      </c>
      <c r="F13" s="985"/>
      <c r="G13" s="779"/>
      <c r="H13" s="779"/>
      <c r="I13" s="779"/>
      <c r="J13" s="987">
        <f>+AVERAGE('13. Pilotaje Rougher'!$G$37:$G$52)</f>
        <v>0.13150000000000001</v>
      </c>
      <c r="K13" s="985">
        <f>'19. Jms - Pre-Cle'!D168</f>
        <v>0.13150000000000001</v>
      </c>
      <c r="L13" s="986"/>
      <c r="M13" s="985">
        <f>'19. Jms - Pre-Cle'!F168</f>
        <v>0</v>
      </c>
      <c r="N13" s="986"/>
    </row>
    <row r="14" spans="2:14">
      <c r="B14" s="848" t="s">
        <v>744</v>
      </c>
      <c r="C14" s="985">
        <v>4.55</v>
      </c>
      <c r="D14" s="779">
        <v>4.6710000000000003</v>
      </c>
      <c r="E14" s="986">
        <f t="shared" ref="E14:E21" si="0">AVERAGE(C14:D14)</f>
        <v>4.6105</v>
      </c>
      <c r="F14" s="985">
        <v>2.2959999999999998</v>
      </c>
      <c r="G14" s="779">
        <v>2.2839999999999998</v>
      </c>
      <c r="H14" s="779">
        <v>1.7849999999999999</v>
      </c>
      <c r="I14" s="779">
        <v>1.89</v>
      </c>
      <c r="J14" s="987">
        <f>+AVERAGE(F14:I14)</f>
        <v>2.0637500000000002</v>
      </c>
      <c r="K14" s="985">
        <f>'23. Balance Pre-Cl'!N27</f>
        <v>3.1680000000000001</v>
      </c>
      <c r="L14" s="988">
        <f>'23. Balance Pre-Cl'!P27</f>
        <v>0.42683302413748431</v>
      </c>
      <c r="M14" s="985">
        <f>'24. Balance Pre-Cl-SCV'!Q27</f>
        <v>2.5728066014680908</v>
      </c>
      <c r="N14" s="988">
        <f>'24. Balance Pre-Cl-SCV'!S27</f>
        <v>0.74354362258685991</v>
      </c>
    </row>
    <row r="15" spans="2:14">
      <c r="B15" s="849" t="s">
        <v>746</v>
      </c>
      <c r="C15" s="985">
        <v>20.99</v>
      </c>
      <c r="D15" s="779">
        <v>22.36</v>
      </c>
      <c r="E15" s="986">
        <f t="shared" si="0"/>
        <v>21.674999999999997</v>
      </c>
      <c r="F15" s="985">
        <v>25.77</v>
      </c>
      <c r="G15" s="779">
        <v>23.75</v>
      </c>
      <c r="H15" s="779">
        <v>23.84</v>
      </c>
      <c r="I15" s="779">
        <v>18.72</v>
      </c>
      <c r="J15" s="987">
        <f>+AVERAGE(F15:I15)</f>
        <v>23.02</v>
      </c>
      <c r="K15" s="985">
        <f>'23. Balance Pre-Cl'!N28</f>
        <v>19.619999999999997</v>
      </c>
      <c r="L15" s="988">
        <f>'23. Balance Pre-Cl'!P28</f>
        <v>1.5196122019334046E-2</v>
      </c>
      <c r="M15" s="985">
        <f>'24. Balance Pre-Cl-SCV'!Q28</f>
        <v>17.686586719215121</v>
      </c>
      <c r="N15" s="988">
        <f>'24. Balance Pre-Cl-SCV'!S28</f>
        <v>0.48483255789075408</v>
      </c>
    </row>
    <row r="16" spans="2:14">
      <c r="B16" s="849" t="s">
        <v>745</v>
      </c>
      <c r="C16" s="985">
        <v>3.29</v>
      </c>
      <c r="D16" s="779">
        <v>2.6880000000000002</v>
      </c>
      <c r="E16" s="986">
        <f t="shared" si="0"/>
        <v>2.9889999999999999</v>
      </c>
      <c r="F16" s="985">
        <v>1.6850000000000001</v>
      </c>
      <c r="G16" s="779">
        <v>1.069</v>
      </c>
      <c r="H16" s="779">
        <v>0.69899999999999995</v>
      </c>
      <c r="I16" s="779">
        <v>0.78</v>
      </c>
      <c r="J16" s="987">
        <f t="shared" ref="J16:J20" si="1">+AVERAGE(F16:I16)</f>
        <v>1.0582499999999999</v>
      </c>
      <c r="K16" s="985">
        <f>'23. Balance Pre-Cl'!N29</f>
        <v>1.016</v>
      </c>
      <c r="L16" s="988">
        <f>'23. Balance Pre-Cl'!P29</f>
        <v>0.12480643112240168</v>
      </c>
      <c r="M16" s="985">
        <f>'24. Balance Pre-Cl-SCV'!Q29</f>
        <v>0.98899999999999999</v>
      </c>
      <c r="N16" s="988">
        <f>'24. Balance Pre-Cl-SCV'!S29</f>
        <v>0.25871106013640427</v>
      </c>
    </row>
    <row r="17" spans="2:16">
      <c r="B17" s="849" t="s">
        <v>747</v>
      </c>
      <c r="C17" s="985">
        <v>2.1349999999999998</v>
      </c>
      <c r="D17" s="779">
        <v>4.4649999999999999</v>
      </c>
      <c r="E17" s="986">
        <f t="shared" si="0"/>
        <v>3.3</v>
      </c>
      <c r="F17" s="985">
        <v>2.085</v>
      </c>
      <c r="G17" s="779">
        <v>1.512</v>
      </c>
      <c r="H17" s="779">
        <v>1.982</v>
      </c>
      <c r="I17" s="779">
        <v>1.33</v>
      </c>
      <c r="J17" s="987">
        <f t="shared" si="1"/>
        <v>1.72725</v>
      </c>
      <c r="K17" s="985">
        <f>'23. Balance Pre-Cl'!N30</f>
        <v>1.448</v>
      </c>
      <c r="L17" s="988">
        <f>'23. Balance Pre-Cl'!P30</f>
        <v>0.34939483178388875</v>
      </c>
      <c r="M17" s="985">
        <f>'24. Balance Pre-Cl-SCV'!Q30</f>
        <v>1.4896</v>
      </c>
      <c r="N17" s="988">
        <f>'24. Balance Pre-Cl-SCV'!S30</f>
        <v>0.68313128948890822</v>
      </c>
    </row>
    <row r="18" spans="2:16">
      <c r="B18" s="849" t="s">
        <v>748</v>
      </c>
      <c r="C18" s="985">
        <v>4.5679999999999996</v>
      </c>
      <c r="D18" s="779">
        <v>5.78</v>
      </c>
      <c r="E18" s="986">
        <f t="shared" si="0"/>
        <v>5.1739999999999995</v>
      </c>
      <c r="F18" s="985">
        <v>5.92</v>
      </c>
      <c r="G18" s="779">
        <v>5.31</v>
      </c>
      <c r="H18" s="779">
        <v>3.843</v>
      </c>
      <c r="I18" s="779">
        <v>2.4500000000000002</v>
      </c>
      <c r="J18" s="987">
        <f t="shared" si="1"/>
        <v>4.3807499999999999</v>
      </c>
      <c r="K18" s="1139">
        <f>'23. Balance Pre-Cl'!N31</f>
        <v>2.7092583713692733</v>
      </c>
      <c r="L18" s="1140">
        <f>'23. Balance Pre-Cl'!P31</f>
        <v>0.33080044714418816</v>
      </c>
      <c r="M18" s="1139">
        <f>'24. Balance Pre-Cl-SCV'!Q31</f>
        <v>2.1823999999999999</v>
      </c>
      <c r="N18" s="1140">
        <f>'24. Balance Pre-Cl-SCV'!S31</f>
        <v>0.43184684925532724</v>
      </c>
    </row>
    <row r="19" spans="2:16">
      <c r="B19" s="849" t="s">
        <v>749</v>
      </c>
      <c r="C19" s="985">
        <v>17.55</v>
      </c>
      <c r="D19" s="779">
        <v>15.03</v>
      </c>
      <c r="E19" s="986">
        <f t="shared" si="0"/>
        <v>16.29</v>
      </c>
      <c r="F19" s="985">
        <v>23.39</v>
      </c>
      <c r="G19" s="779">
        <v>9.83</v>
      </c>
      <c r="H19" s="779">
        <v>15.93</v>
      </c>
      <c r="I19" s="779">
        <v>16.71</v>
      </c>
      <c r="J19" s="987">
        <f t="shared" si="1"/>
        <v>16.465</v>
      </c>
      <c r="K19" s="1139">
        <f>'23. Balance Pre-Cl'!N32</f>
        <v>29.129499999999997</v>
      </c>
      <c r="L19" s="1140">
        <f>'23. Balance Pre-Cl'!P32</f>
        <v>0.10621204648270091</v>
      </c>
      <c r="M19" s="1139">
        <f>'24. Balance Pre-Cl-SCV'!Q32</f>
        <v>16.010999999999999</v>
      </c>
      <c r="N19" s="1140">
        <f>'24. Balance Pre-Cl-SCV'!S32</f>
        <v>1.3850843713692948E-2</v>
      </c>
    </row>
    <row r="20" spans="2:16">
      <c r="B20" s="849" t="s">
        <v>750</v>
      </c>
      <c r="C20" s="985">
        <v>4.5519999999999996</v>
      </c>
      <c r="D20" s="779">
        <v>4.9660000000000002</v>
      </c>
      <c r="E20" s="986">
        <f t="shared" si="0"/>
        <v>4.7590000000000003</v>
      </c>
      <c r="F20" s="985">
        <v>2.8260000000000001</v>
      </c>
      <c r="G20" s="779">
        <v>3.22</v>
      </c>
      <c r="H20" s="941">
        <v>2.5299999999999998</v>
      </c>
      <c r="I20" s="779">
        <v>1.605</v>
      </c>
      <c r="J20" s="987">
        <f t="shared" si="1"/>
        <v>2.5452500000000002</v>
      </c>
      <c r="K20" s="985">
        <f>'23. Balance Pre-Cl'!N33</f>
        <v>1.8959999999999999</v>
      </c>
      <c r="L20" s="988">
        <f>'23. Balance Pre-Cl'!P33</f>
        <v>0.22458840066148716</v>
      </c>
      <c r="M20" s="985">
        <f>'24. Balance Pre-Cl-SCV'!Q33</f>
        <v>2.1216783724292387</v>
      </c>
      <c r="N20" s="988">
        <f>'24. Balance Pre-Cl-SCV'!S33</f>
        <v>0.41799600554163424</v>
      </c>
    </row>
    <row r="21" spans="2:16" ht="15" thickBot="1">
      <c r="B21" s="849" t="s">
        <v>751</v>
      </c>
      <c r="C21" s="980">
        <v>0.22600000000000001</v>
      </c>
      <c r="D21" s="796">
        <v>0.23400000000000001</v>
      </c>
      <c r="E21" s="910">
        <f t="shared" si="0"/>
        <v>0.23</v>
      </c>
      <c r="F21" s="980">
        <v>0.154</v>
      </c>
      <c r="G21" s="796">
        <v>0.13900000000000001</v>
      </c>
      <c r="H21" s="896">
        <v>0.21</v>
      </c>
      <c r="I21" s="796">
        <v>0.14399999999999999</v>
      </c>
      <c r="J21" s="989">
        <f>+AVERAGE(F21:I21)</f>
        <v>0.16175</v>
      </c>
      <c r="K21" s="985">
        <f>'23. Balance Pre-Cl'!N34</f>
        <v>0.156</v>
      </c>
      <c r="L21" s="988">
        <f>'23. Balance Pre-Cl'!P34</f>
        <v>1.8594384639700732E-2</v>
      </c>
      <c r="M21" s="985">
        <f>'24. Balance Pre-Cl-SCV'!Q34</f>
        <v>0.23220000000000002</v>
      </c>
      <c r="N21" s="988">
        <f>'24. Balance Pre-Cl-SCV'!S34</f>
        <v>5.7261813353368315E-2</v>
      </c>
    </row>
    <row r="22" spans="2:16">
      <c r="B22" s="849" t="s">
        <v>894</v>
      </c>
      <c r="K22" s="1139">
        <f>'23. Balance Pre-Cl'!N35</f>
        <v>26.385207002492567</v>
      </c>
      <c r="L22" s="1140">
        <f>'23. Balance Pre-Cl'!P35</f>
        <v>0.29332827696904634</v>
      </c>
      <c r="M22" s="1139">
        <f>'24. Balance Pre-Cl-SCV'!Q35</f>
        <v>13.288</v>
      </c>
      <c r="N22" s="1140">
        <f>'24. Balance Pre-Cl-SCV'!S35</f>
        <v>0.18759840306934308</v>
      </c>
    </row>
    <row r="23" spans="2:16" ht="15" thickBot="1">
      <c r="B23" s="850" t="s">
        <v>895</v>
      </c>
      <c r="K23" s="980">
        <f>'23. Balance Pre-Cl'!N36</f>
        <v>1.08</v>
      </c>
      <c r="L23" s="990">
        <f>'23. Balance Pre-Cl'!P36</f>
        <v>0.13350473733618964</v>
      </c>
      <c r="M23" s="980">
        <f>'24. Balance Pre-Cl-SCV'!Q36</f>
        <v>1.1004</v>
      </c>
      <c r="N23" s="990">
        <f>'24. Balance Pre-Cl-SCV'!S36</f>
        <v>0.48910866260869562</v>
      </c>
    </row>
    <row r="24" spans="2:16" ht="15" thickBot="1"/>
    <row r="25" spans="2:16" ht="15" thickBot="1">
      <c r="B25" s="848" t="s">
        <v>896</v>
      </c>
      <c r="C25" s="970">
        <f>+AVERAGE(C15,C19)</f>
        <v>19.27</v>
      </c>
      <c r="D25" s="991">
        <f t="shared" ref="D25:I25" si="2">+AVERAGE(D15,D19)</f>
        <v>18.695</v>
      </c>
      <c r="E25" s="991">
        <f t="shared" si="2"/>
        <v>18.982499999999998</v>
      </c>
      <c r="F25" s="991">
        <f t="shared" si="2"/>
        <v>24.58</v>
      </c>
      <c r="G25" s="991">
        <f t="shared" si="2"/>
        <v>16.79</v>
      </c>
      <c r="H25" s="991">
        <f t="shared" si="2"/>
        <v>19.884999999999998</v>
      </c>
      <c r="I25" s="991">
        <f t="shared" si="2"/>
        <v>17.715</v>
      </c>
      <c r="J25" s="991">
        <f t="shared" ref="J25" si="3">+AVERAGE(J15,J19)</f>
        <v>19.7425</v>
      </c>
      <c r="L25" s="992">
        <f>'23. Balance Pre-Cl'!$T$30</f>
        <v>26.691970050092202</v>
      </c>
      <c r="N25" s="992">
        <f>'24. Balance Pre-Cl-SCV'!$W$30</f>
        <v>16.18764498514296</v>
      </c>
      <c r="O25" s="292"/>
      <c r="P25" s="292"/>
    </row>
    <row r="26" spans="2:16" ht="15" thickBot="1">
      <c r="O26" s="292"/>
      <c r="P26" s="292"/>
    </row>
    <row r="27" spans="2:16">
      <c r="B27" s="848" t="s">
        <v>756</v>
      </c>
      <c r="C27" s="983">
        <f>+C15/C14</f>
        <v>4.6131868131868128</v>
      </c>
      <c r="D27" s="777">
        <f>+D15/D14</f>
        <v>4.786983515307214</v>
      </c>
      <c r="E27" s="984">
        <f>AVERAGE(C27:D27)</f>
        <v>4.7000851642470138</v>
      </c>
      <c r="F27" s="983">
        <f>+F15/F14</f>
        <v>11.223867595818817</v>
      </c>
      <c r="G27" s="777">
        <f>+G15/G14</f>
        <v>10.398423817863398</v>
      </c>
      <c r="H27" s="777">
        <f>+H15/H14</f>
        <v>13.355742296918768</v>
      </c>
      <c r="I27" s="777">
        <f>+I15/I14</f>
        <v>9.9047619047619051</v>
      </c>
      <c r="J27" s="777">
        <f>+J15/J14</f>
        <v>11.154451847365232</v>
      </c>
      <c r="L27" s="993">
        <f>+K15/K14</f>
        <v>6.1931818181818175</v>
      </c>
      <c r="N27" s="993">
        <f>+M15/M14</f>
        <v>6.8744330448790167</v>
      </c>
      <c r="O27" s="292"/>
      <c r="P27" s="292"/>
    </row>
    <row r="28" spans="2:16" ht="15" thickBot="1">
      <c r="B28" s="850" t="s">
        <v>764</v>
      </c>
      <c r="C28" s="980">
        <f>+C19/C18</f>
        <v>3.8419439579684767</v>
      </c>
      <c r="D28" s="796">
        <f>+D19/D18</f>
        <v>2.6003460207612457</v>
      </c>
      <c r="E28" s="910">
        <f>AVERAGE(C28:D28)</f>
        <v>3.2211449893648609</v>
      </c>
      <c r="F28" s="980">
        <f>+F19/F18</f>
        <v>3.9510135135135136</v>
      </c>
      <c r="G28" s="796">
        <f>+G19/G18</f>
        <v>1.8512241054613938</v>
      </c>
      <c r="H28" s="796">
        <f>+H19/H18</f>
        <v>4.1451990632318498</v>
      </c>
      <c r="I28" s="796">
        <f>+I19/I18</f>
        <v>6.8204081632653057</v>
      </c>
      <c r="J28" s="796">
        <f>+J19/J18</f>
        <v>3.758488843234606</v>
      </c>
      <c r="L28" s="994">
        <f>+K19/K18</f>
        <v>10.75183537599546</v>
      </c>
      <c r="N28" s="994">
        <f>+M19/M18</f>
        <v>7.3364186217008793</v>
      </c>
      <c r="O28" s="292"/>
      <c r="P28" s="292"/>
    </row>
    <row r="29" spans="2:16" ht="15" thickBot="1">
      <c r="O29" s="292"/>
      <c r="P29" s="292"/>
    </row>
    <row r="30" spans="2:16">
      <c r="B30" s="848" t="s">
        <v>897</v>
      </c>
      <c r="C30" s="983">
        <f>+(C14-C21)/(C19-C21)*100</f>
        <v>24.959593627337796</v>
      </c>
      <c r="D30" s="777">
        <f>+(D14-D21)/(D19-D21)*100</f>
        <v>29.98783454987835</v>
      </c>
      <c r="E30" s="984">
        <f>AVERAGE(C30:D30)</f>
        <v>27.473714088608073</v>
      </c>
      <c r="F30" s="983">
        <f>+(F14-F21)/(AVERAGE(F15,F19)-F21)*100</f>
        <v>8.7693441414885775</v>
      </c>
      <c r="G30" s="777">
        <f>+(G14-G21)/(AVERAGE(G15,G19)-G21)*100</f>
        <v>12.882109182631671</v>
      </c>
      <c r="H30" s="777">
        <f>+(H14-H21)/(AVERAGE(H15,H19)-H21)*100</f>
        <v>8.0050825921219833</v>
      </c>
      <c r="I30" s="777">
        <f>+(I14-I21)/(AVERAGE(I15,I19)-I21)*100</f>
        <v>9.9368277275055483</v>
      </c>
      <c r="J30" s="777">
        <f>+(J14-J21)/(AVERAGE(J15,J19)-J21)*100</f>
        <v>9.7136217969178933</v>
      </c>
      <c r="L30" s="993">
        <f>'23. Balance Pre-Cl'!$T$28</f>
        <v>11.532374357123759</v>
      </c>
      <c r="N30" s="993">
        <f>'24. Balance Pre-Cl-SCV'!$W$28</f>
        <v>14.66964154161858</v>
      </c>
      <c r="O30" s="292"/>
      <c r="P30" s="292"/>
    </row>
    <row r="31" spans="2:16" ht="15" thickBot="1">
      <c r="B31" s="850" t="s">
        <v>842</v>
      </c>
      <c r="C31" s="980">
        <f>C19/C14</f>
        <v>3.8571428571428577</v>
      </c>
      <c r="D31" s="796">
        <f>D19/D14</f>
        <v>3.2177263969171479</v>
      </c>
      <c r="E31" s="910">
        <f>AVERAGE(C31:D31)</f>
        <v>3.5374346270300028</v>
      </c>
      <c r="F31" s="980">
        <f>AVERAGE(F15,F19)/F14</f>
        <v>10.705574912891986</v>
      </c>
      <c r="G31" s="796">
        <f>AVERAGE(G15,G19)/G14</f>
        <v>7.3511383537653243</v>
      </c>
      <c r="H31" s="796">
        <f>AVERAGE(H15,H19)/H14</f>
        <v>11.140056022408963</v>
      </c>
      <c r="I31" s="796">
        <f>AVERAGE(I15,I19)/I14</f>
        <v>9.3730158730158735</v>
      </c>
      <c r="J31" s="796">
        <f>AVERAGE(J15,J19)/J14</f>
        <v>9.5663234403391879</v>
      </c>
      <c r="L31" s="994">
        <f>+L25/K14</f>
        <v>8.4254955966200136</v>
      </c>
      <c r="N31" s="994"/>
      <c r="O31" s="292"/>
      <c r="P31" s="292"/>
    </row>
    <row r="32" spans="2:16" ht="15" thickBot="1">
      <c r="O32" s="292"/>
      <c r="P32" s="292"/>
    </row>
    <row r="33" spans="2:16">
      <c r="B33" s="848" t="s">
        <v>898</v>
      </c>
      <c r="L33" s="993">
        <f>+K22/K14</f>
        <v>8.3286638265443713</v>
      </c>
      <c r="N33" s="993">
        <f>+M22/M17</f>
        <v>8.9205155746509135</v>
      </c>
      <c r="O33" s="292"/>
      <c r="P33" s="292"/>
    </row>
    <row r="34" spans="2:16" ht="15" thickBot="1">
      <c r="B34" s="849" t="s">
        <v>804</v>
      </c>
      <c r="L34" s="995">
        <f>+L22/L17*100</f>
        <v>83.953238653077364</v>
      </c>
      <c r="N34" s="995">
        <f>+N22/N17*100</f>
        <v>27.461544501891687</v>
      </c>
      <c r="O34" s="292"/>
      <c r="P34" s="292"/>
    </row>
    <row r="35" spans="2:16">
      <c r="B35" s="849" t="s">
        <v>761</v>
      </c>
      <c r="C35" s="983">
        <f>+C30*C31</f>
        <v>96.272718276874372</v>
      </c>
      <c r="D35" s="777">
        <f>+D30*D31</f>
        <v>96.492646817527628</v>
      </c>
      <c r="E35" s="984">
        <f>AVERAGE(C35:D35)</f>
        <v>96.382682547201</v>
      </c>
      <c r="F35" s="996">
        <f>+F30*F31</f>
        <v>93.880870643636428</v>
      </c>
      <c r="G35" s="777">
        <f>+G30*G31</f>
        <v>94.698166889836159</v>
      </c>
      <c r="H35" s="777">
        <f>+H30*H31</f>
        <v>89.17706854024965</v>
      </c>
      <c r="I35" s="777">
        <f>+I30*I31</f>
        <v>93.138044017333755</v>
      </c>
      <c r="J35" s="777">
        <f>+J30*J31</f>
        <v>92.923647886445309</v>
      </c>
      <c r="L35" s="995">
        <f>+(L15+L19+L22)/L14*100</f>
        <v>97.165969364519782</v>
      </c>
      <c r="N35" s="995">
        <f>+(N15+N19+N22)/N14*100</f>
        <v>92.298795097744176</v>
      </c>
      <c r="O35" s="292"/>
      <c r="P35" s="292"/>
    </row>
    <row r="36" spans="2:16" ht="15" thickBot="1">
      <c r="B36" s="849" t="s">
        <v>755</v>
      </c>
      <c r="C36" s="980">
        <f>+C35*$C$5/100</f>
        <v>76.832843447022853</v>
      </c>
      <c r="D36" s="796">
        <f>+D35*$C$5/100</f>
        <v>77.008362902959973</v>
      </c>
      <c r="E36" s="910">
        <f>+E35*$C$5/100</f>
        <v>76.920603174991413</v>
      </c>
      <c r="F36" s="997">
        <f>+F35*$D$5/100</f>
        <v>79.213187590225218</v>
      </c>
      <c r="G36" s="796">
        <f>+G35*$D$5/100</f>
        <v>79.902791770748379</v>
      </c>
      <c r="H36" s="796">
        <f>+H35*$D$5/100</f>
        <v>75.244294291213947</v>
      </c>
      <c r="I36" s="796">
        <f>+I35*$D$5/100</f>
        <v>78.58641810574008</v>
      </c>
      <c r="J36" s="796">
        <f>+J35*$D$5/100</f>
        <v>78.405518623041942</v>
      </c>
      <c r="L36" s="998">
        <f>+L35*$D$5/100</f>
        <v>81.985031731056921</v>
      </c>
      <c r="N36" s="998">
        <f>+N35*$D$5/100</f>
        <v>77.878291075743803</v>
      </c>
      <c r="O36" s="292"/>
      <c r="P36" s="292"/>
    </row>
    <row r="37" spans="2:16">
      <c r="L37" s="292"/>
      <c r="N37" s="292"/>
    </row>
    <row r="38" spans="2:16">
      <c r="C38" s="849" t="s">
        <v>495</v>
      </c>
      <c r="D38" s="849" t="s">
        <v>908</v>
      </c>
    </row>
    <row r="39" spans="2:16">
      <c r="B39" s="849" t="s">
        <v>808</v>
      </c>
      <c r="C39" s="133">
        <v>79.213187590225218</v>
      </c>
      <c r="D39" s="133">
        <v>93.880870643636428</v>
      </c>
    </row>
    <row r="40" spans="2:16">
      <c r="B40" s="849" t="s">
        <v>808</v>
      </c>
      <c r="C40" s="133">
        <v>79.902791770748379</v>
      </c>
      <c r="D40" s="133">
        <v>94.698166889836159</v>
      </c>
    </row>
    <row r="41" spans="2:16">
      <c r="B41" s="849" t="s">
        <v>808</v>
      </c>
      <c r="C41" s="133">
        <v>75.244294291213947</v>
      </c>
      <c r="D41" s="133">
        <v>89.17706854024965</v>
      </c>
    </row>
    <row r="42" spans="2:16">
      <c r="B42" s="849" t="s">
        <v>808</v>
      </c>
      <c r="C42" s="133">
        <v>78.58641810574008</v>
      </c>
      <c r="D42" s="133">
        <v>93.138044017333755</v>
      </c>
      <c r="F42" s="158"/>
      <c r="G42" s="158"/>
      <c r="H42" s="158"/>
      <c r="I42" s="158"/>
    </row>
    <row r="43" spans="2:16">
      <c r="B43" s="849" t="s">
        <v>899</v>
      </c>
      <c r="C43" s="133">
        <v>81.985031731056921</v>
      </c>
      <c r="D43" s="133">
        <v>97.165969364519782</v>
      </c>
    </row>
    <row r="44" spans="2:16">
      <c r="B44" s="849" t="s">
        <v>893</v>
      </c>
      <c r="C44" s="133">
        <v>77.878291075743803</v>
      </c>
      <c r="D44" s="133">
        <v>92.298795097744176</v>
      </c>
    </row>
    <row r="47" spans="2:16">
      <c r="N47" s="292"/>
    </row>
    <row r="65" spans="2:9" ht="15" thickBot="1"/>
    <row r="66" spans="2:9">
      <c r="B66" s="95"/>
      <c r="C66" s="1423" t="s">
        <v>808</v>
      </c>
      <c r="D66" s="1424"/>
      <c r="E66" s="1017" t="s">
        <v>916</v>
      </c>
      <c r="F66" s="1423" t="s">
        <v>917</v>
      </c>
      <c r="G66" s="1424"/>
      <c r="H66" s="1016" t="s">
        <v>918</v>
      </c>
      <c r="I66" s="1016" t="s">
        <v>919</v>
      </c>
    </row>
    <row r="67" spans="2:9" ht="15" thickBot="1">
      <c r="B67" s="4"/>
      <c r="C67" s="1010" t="s">
        <v>800</v>
      </c>
      <c r="D67" s="1011" t="s">
        <v>801</v>
      </c>
      <c r="E67" s="1018"/>
      <c r="F67" s="1010" t="s">
        <v>800</v>
      </c>
      <c r="G67" s="1011" t="s">
        <v>801</v>
      </c>
      <c r="H67" s="1011" t="s">
        <v>801</v>
      </c>
      <c r="I67" s="1011" t="s">
        <v>801</v>
      </c>
    </row>
    <row r="68" spans="2:9">
      <c r="B68" s="848" t="s">
        <v>754</v>
      </c>
      <c r="C68" s="872">
        <f>+AVERAGE('13. Pilotaje Rougher'!$K$20:$K$36)</f>
        <v>79.807493568485683</v>
      </c>
      <c r="D68" s="871">
        <f>+AVERAGE('13. Pilotaje Rougher'!$K$37:$K$52)</f>
        <v>84.376281394866425</v>
      </c>
      <c r="E68" s="1019"/>
      <c r="F68" s="872">
        <f>+AVERAGE('13. Pilotaje Rougher'!$K$20:$K$36)</f>
        <v>79.807493568485683</v>
      </c>
      <c r="G68" s="871">
        <f>+AVERAGE('13. Pilotaje Rougher'!$K$37:$K$52)</f>
        <v>84.376281394866425</v>
      </c>
      <c r="H68" s="871">
        <f>+AVERAGE('13. Pilotaje Rougher'!$K$37:$K$52)</f>
        <v>84.376281394866425</v>
      </c>
      <c r="I68" s="871">
        <f>+AVERAGE('13. Pilotaje Rougher'!$K$37:$K$52)</f>
        <v>84.376281394866425</v>
      </c>
    </row>
    <row r="69" spans="2:9">
      <c r="B69" s="849" t="s">
        <v>804</v>
      </c>
      <c r="C69" s="875"/>
      <c r="D69" s="874"/>
      <c r="E69" s="1020">
        <v>48.6</v>
      </c>
      <c r="F69" s="1022" t="s">
        <v>921</v>
      </c>
      <c r="G69" s="1023" t="s">
        <v>923</v>
      </c>
      <c r="H69" s="874">
        <f>'19. Jms - Pre-Cle'!$D$184</f>
        <v>68.722020176809082</v>
      </c>
      <c r="I69" s="874">
        <f>'20. Jms - Pre-Cle-SCV'!$D$194</f>
        <v>27.461544501891687</v>
      </c>
    </row>
    <row r="70" spans="2:9">
      <c r="B70" s="849" t="s">
        <v>761</v>
      </c>
      <c r="C70" s="875">
        <f>+'16. Pilotaje Cleaner'!C112</f>
        <v>96.37207316722359</v>
      </c>
      <c r="D70" s="874">
        <f>+'16. Pilotaje Cleaner'!D112</f>
        <v>93.076699145026922</v>
      </c>
      <c r="E70" s="1020"/>
      <c r="F70" s="875">
        <f t="shared" ref="F70:G70" si="4">C70</f>
        <v>96.37207316722359</v>
      </c>
      <c r="G70" s="874">
        <f t="shared" si="4"/>
        <v>93.076699145026922</v>
      </c>
      <c r="H70" s="874">
        <f>'19. Jms - Pre-Cle'!$D$187</f>
        <v>97.165969364519782</v>
      </c>
      <c r="I70" s="874">
        <f>'20. Jms - Pre-Cle-SCV'!$D$197</f>
        <v>92.298795097744176</v>
      </c>
    </row>
    <row r="71" spans="2:9">
      <c r="B71" s="849" t="s">
        <v>755</v>
      </c>
      <c r="C71" s="875">
        <f>+C70*C68/100</f>
        <v>76.912136094748291</v>
      </c>
      <c r="D71" s="874">
        <f>+D70*D68/100</f>
        <v>78.534657583661144</v>
      </c>
      <c r="E71" s="1020"/>
      <c r="F71" s="875" t="s">
        <v>924</v>
      </c>
      <c r="G71" s="874" t="s">
        <v>925</v>
      </c>
      <c r="H71" s="874">
        <f>+H70*H68/100</f>
        <v>81.985031731056921</v>
      </c>
      <c r="I71" s="874">
        <f>+I70*I68/100</f>
        <v>77.878291075743803</v>
      </c>
    </row>
    <row r="72" spans="2:9">
      <c r="B72" s="849" t="s">
        <v>915</v>
      </c>
      <c r="C72" s="875"/>
      <c r="D72" s="874"/>
      <c r="E72" s="1020">
        <v>17.54</v>
      </c>
      <c r="F72" s="1022" t="s">
        <v>920</v>
      </c>
      <c r="G72" s="1023" t="s">
        <v>922</v>
      </c>
      <c r="H72" s="874">
        <f>'23. Balance Pre-Cl'!$N$35</f>
        <v>26.385207002492567</v>
      </c>
      <c r="I72" s="874">
        <f>'24. Balance Pre-Cl-SCV'!$Q$35</f>
        <v>13.288</v>
      </c>
    </row>
    <row r="73" spans="2:9" ht="15" thickBot="1">
      <c r="B73" s="850" t="s">
        <v>914</v>
      </c>
      <c r="C73" s="879">
        <f>+'16. Pilotaje Cleaner'!G54</f>
        <v>18.982500000000002</v>
      </c>
      <c r="D73" s="878">
        <f>+'16. Pilotaje Cleaner'!I89</f>
        <v>19.7425</v>
      </c>
      <c r="E73" s="1021"/>
      <c r="F73" s="879" t="s">
        <v>926</v>
      </c>
      <c r="G73" s="878" t="s">
        <v>927</v>
      </c>
      <c r="H73" s="878">
        <f>'23. Balance Pre-Cl'!$T$30</f>
        <v>26.691970050092202</v>
      </c>
      <c r="I73" s="878">
        <f>'24. Balance Pre-Cl-SCV'!$W$30</f>
        <v>16.18764498514296</v>
      </c>
    </row>
  </sheetData>
  <mergeCells count="10">
    <mergeCell ref="C66:D66"/>
    <mergeCell ref="F66:G66"/>
    <mergeCell ref="K6:N6"/>
    <mergeCell ref="C7:J7"/>
    <mergeCell ref="K7:L7"/>
    <mergeCell ref="M7:N7"/>
    <mergeCell ref="C8:E8"/>
    <mergeCell ref="F8:J8"/>
    <mergeCell ref="K8:L8"/>
    <mergeCell ref="M8:N8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AA776-FD2D-47BE-8CCA-CC6536C3D8D0}">
  <sheetPr codeName="Hoja28"/>
  <dimension ref="A2:AU70"/>
  <sheetViews>
    <sheetView workbookViewId="0"/>
  </sheetViews>
  <sheetFormatPr baseColWidth="10" defaultColWidth="10.7265625" defaultRowHeight="14.5"/>
  <cols>
    <col min="1" max="1" width="10.7265625" style="4"/>
    <col min="2" max="2" width="25.453125" style="4" bestFit="1" customWidth="1"/>
    <col min="3" max="3" width="12.54296875" style="4" bestFit="1" customWidth="1"/>
    <col min="4" max="4" width="18" style="4" bestFit="1" customWidth="1"/>
    <col min="5" max="7" width="10.7265625" style="4"/>
    <col min="8" max="8" width="13.26953125" style="4" bestFit="1" customWidth="1"/>
    <col min="9" max="9" width="14.453125" style="4" customWidth="1"/>
    <col min="10" max="11" width="10.7265625" style="4" customWidth="1"/>
    <col min="12" max="12" width="25.453125" style="4" customWidth="1"/>
    <col min="13" max="14" width="10.7265625" style="4" customWidth="1"/>
    <col min="15" max="15" width="11.7265625" style="4" customWidth="1"/>
    <col min="16" max="17" width="10.7265625" style="4" customWidth="1"/>
    <col min="18" max="18" width="10.7265625" style="4"/>
    <col min="19" max="19" width="12.7265625" style="4" bestFit="1" customWidth="1"/>
    <col min="20" max="16384" width="10.7265625" style="4"/>
  </cols>
  <sheetData>
    <row r="2" spans="11:47" ht="61">
      <c r="R2" s="4" t="s">
        <v>880</v>
      </c>
      <c r="S2" s="4">
        <f>+SUMX2MY2(P9:Q18,P27:Q36)</f>
        <v>14.70367960463733</v>
      </c>
      <c r="AF2" s="1166" t="s">
        <v>809</v>
      </c>
      <c r="AG2" s="1166" t="s">
        <v>1170</v>
      </c>
      <c r="AH2" s="1166" t="s">
        <v>1157</v>
      </c>
      <c r="AI2" s="1166" t="s">
        <v>1158</v>
      </c>
      <c r="AJ2" s="1166" t="s">
        <v>1159</v>
      </c>
      <c r="AK2" s="1166" t="s">
        <v>1160</v>
      </c>
      <c r="AL2" s="1166" t="s">
        <v>1161</v>
      </c>
      <c r="AM2" s="1166" t="s">
        <v>1162</v>
      </c>
      <c r="AN2" s="1166" t="s">
        <v>1163</v>
      </c>
      <c r="AO2" s="1166" t="s">
        <v>1164</v>
      </c>
      <c r="AP2" s="1166" t="s">
        <v>1165</v>
      </c>
      <c r="AQ2" s="1166" t="s">
        <v>1166</v>
      </c>
      <c r="AR2" s="1166" t="s">
        <v>1167</v>
      </c>
      <c r="AS2" s="1166" t="s">
        <v>1168</v>
      </c>
      <c r="AT2" s="1166" t="s">
        <v>1169</v>
      </c>
      <c r="AU2" s="1001"/>
    </row>
    <row r="3" spans="11:47" ht="15" thickBot="1">
      <c r="AF3" s="1167" t="s">
        <v>863</v>
      </c>
      <c r="AG3" s="1168"/>
      <c r="AH3" s="1173"/>
      <c r="AI3" s="1168"/>
      <c r="AJ3" s="1168"/>
      <c r="AK3" s="1165">
        <v>13.473264650804428</v>
      </c>
      <c r="AL3" s="1177">
        <v>7.7452201933404935E-2</v>
      </c>
      <c r="AM3" s="1165">
        <v>12.284097551417489</v>
      </c>
      <c r="AN3" s="1165">
        <v>24.129477333141491</v>
      </c>
      <c r="AO3" s="1165">
        <v>12.209999999999997</v>
      </c>
      <c r="AP3" s="1177">
        <v>0.36462021827597768</v>
      </c>
      <c r="AQ3" s="1165">
        <v>11.845379781724008</v>
      </c>
      <c r="AR3" s="1165">
        <v>11.919477333141495</v>
      </c>
      <c r="AS3" s="1177">
        <v>1.1117148974474071</v>
      </c>
      <c r="AT3" s="1165">
        <v>12.361549753350891</v>
      </c>
      <c r="AU3" s="1001"/>
    </row>
    <row r="4" spans="11:47" ht="15" thickBot="1">
      <c r="K4" s="4" t="s">
        <v>870</v>
      </c>
      <c r="L4" s="1439" t="s">
        <v>870</v>
      </c>
      <c r="M4" s="1439"/>
      <c r="N4" s="1439"/>
      <c r="O4" s="1439"/>
      <c r="P4" s="1439"/>
      <c r="Q4" s="1439"/>
      <c r="AF4" s="1167" t="s">
        <v>864</v>
      </c>
      <c r="AG4" s="1171"/>
      <c r="AH4" s="1175"/>
      <c r="AI4" s="1172"/>
      <c r="AJ4" s="1169"/>
      <c r="AK4" s="1170">
        <v>3.1680000000000001</v>
      </c>
      <c r="AL4" s="1179">
        <v>19.619999999999997</v>
      </c>
      <c r="AM4" s="1176">
        <v>1.016</v>
      </c>
      <c r="AN4" s="1165">
        <v>1.448</v>
      </c>
      <c r="AO4" s="1170">
        <v>2.7092583713692733</v>
      </c>
      <c r="AP4" s="1179">
        <v>29.129499999999997</v>
      </c>
      <c r="AQ4" s="1176">
        <v>1.8959999999999999</v>
      </c>
      <c r="AR4" s="1170">
        <v>0.156</v>
      </c>
      <c r="AS4" s="1179">
        <v>26.385207002492567</v>
      </c>
      <c r="AT4" s="1176">
        <v>1.08</v>
      </c>
      <c r="AU4" s="1001"/>
    </row>
    <row r="5" spans="11:47">
      <c r="L5" s="928"/>
      <c r="M5" s="928" t="s">
        <v>863</v>
      </c>
      <c r="N5" s="928" t="s">
        <v>874</v>
      </c>
      <c r="O5" s="928" t="s">
        <v>873</v>
      </c>
      <c r="P5" s="928" t="s">
        <v>869</v>
      </c>
      <c r="Q5" s="928" t="s">
        <v>875</v>
      </c>
      <c r="AF5" s="1167" t="s">
        <v>873</v>
      </c>
      <c r="AG5" s="1168"/>
      <c r="AH5" s="1174"/>
      <c r="AI5" s="1169"/>
      <c r="AJ5" s="1169"/>
      <c r="AK5" s="1165">
        <v>5.9584999999999999</v>
      </c>
      <c r="AL5" s="1178">
        <v>21.088971843938289</v>
      </c>
      <c r="AM5" s="1165">
        <v>3.859</v>
      </c>
      <c r="AN5" s="1165">
        <v>4.4744240502386932</v>
      </c>
      <c r="AO5" s="1165">
        <v>5.7051826000129839</v>
      </c>
      <c r="AP5" s="1178">
        <v>24.954999999999998</v>
      </c>
      <c r="AQ5" s="1165">
        <v>5.1126416682024693</v>
      </c>
      <c r="AR5" s="1165">
        <v>2.99</v>
      </c>
      <c r="AS5" s="1178">
        <v>28.103183413965162</v>
      </c>
      <c r="AT5" s="1165">
        <v>3.9669556596382924</v>
      </c>
      <c r="AU5" s="1001"/>
    </row>
    <row r="6" spans="11:47">
      <c r="K6" s="4">
        <v>1</v>
      </c>
      <c r="L6" s="757" t="s">
        <v>844</v>
      </c>
      <c r="M6" s="928" t="e">
        <f t="shared" ref="M6:M18" si="0">+I24</f>
        <v>#DIV/0!</v>
      </c>
      <c r="N6" s="928"/>
      <c r="O6" s="928"/>
      <c r="P6" s="649" t="e">
        <f t="shared" ref="P6:P8" si="1">+M6*N6</f>
        <v>#DIV/0!</v>
      </c>
      <c r="Q6" s="928"/>
      <c r="AF6" s="1167"/>
      <c r="AG6" s="1168"/>
      <c r="AH6" s="895"/>
      <c r="AI6" s="895"/>
      <c r="AJ6" s="895"/>
      <c r="AK6" s="895"/>
      <c r="AL6" s="895"/>
      <c r="AM6" s="895"/>
      <c r="AN6" s="895"/>
      <c r="AO6" s="895"/>
      <c r="AP6" s="895"/>
      <c r="AQ6" s="895"/>
      <c r="AR6" s="895"/>
      <c r="AS6" s="895"/>
      <c r="AT6" s="895"/>
      <c r="AU6" s="1001"/>
    </row>
    <row r="7" spans="11:47">
      <c r="K7" s="4">
        <v>2</v>
      </c>
      <c r="L7" s="757" t="s">
        <v>845</v>
      </c>
      <c r="M7" s="928" t="e">
        <f t="shared" si="0"/>
        <v>#DIV/0!</v>
      </c>
      <c r="N7" s="928"/>
      <c r="O7" s="928"/>
      <c r="P7" s="649" t="e">
        <f t="shared" si="1"/>
        <v>#DIV/0!</v>
      </c>
      <c r="Q7" s="928"/>
      <c r="T7" s="4" t="s">
        <v>490</v>
      </c>
      <c r="U7" s="4" t="s">
        <v>863</v>
      </c>
      <c r="V7" s="4" t="s">
        <v>869</v>
      </c>
      <c r="W7" s="4" t="s">
        <v>875</v>
      </c>
      <c r="Z7" s="4" t="s">
        <v>490</v>
      </c>
      <c r="AA7" s="4" t="s">
        <v>863</v>
      </c>
      <c r="AB7" s="4" t="s">
        <v>869</v>
      </c>
      <c r="AC7" s="4" t="s">
        <v>875</v>
      </c>
    </row>
    <row r="8" spans="11:47">
      <c r="K8" s="4">
        <v>3</v>
      </c>
      <c r="L8" s="757" t="s">
        <v>846</v>
      </c>
      <c r="M8" s="928" t="e">
        <f t="shared" si="0"/>
        <v>#DIV/0!</v>
      </c>
      <c r="N8" s="928"/>
      <c r="O8" s="928"/>
      <c r="P8" s="649" t="e">
        <f t="shared" si="1"/>
        <v>#DIV/0!</v>
      </c>
      <c r="Q8" s="928"/>
      <c r="S8" s="127" t="s">
        <v>847</v>
      </c>
      <c r="T8" s="127" t="s">
        <v>848</v>
      </c>
      <c r="U8" s="946">
        <f>+M25+M26-M24</f>
        <v>0</v>
      </c>
      <c r="V8" s="946">
        <f>+P25+P26-P24</f>
        <v>0</v>
      </c>
      <c r="W8" s="946">
        <f>+Q25+Q26-Q24</f>
        <v>0</v>
      </c>
      <c r="Y8" s="127" t="s">
        <v>847</v>
      </c>
      <c r="Z8" s="127"/>
      <c r="AA8" s="946"/>
      <c r="AB8" s="946"/>
      <c r="AC8" s="946"/>
    </row>
    <row r="9" spans="11:47">
      <c r="K9" s="4">
        <v>4</v>
      </c>
      <c r="L9" s="757" t="s">
        <v>830</v>
      </c>
      <c r="M9" s="649">
        <f t="shared" si="0"/>
        <v>31.669714285714281</v>
      </c>
      <c r="N9" s="938">
        <v>2.64</v>
      </c>
      <c r="O9" s="938">
        <v>7.01</v>
      </c>
      <c r="P9" s="649">
        <f>+M9*N9/100</f>
        <v>0.83608045714285706</v>
      </c>
      <c r="Q9" s="649">
        <f>+M9*O9/100</f>
        <v>2.2200469714285713</v>
      </c>
      <c r="S9" s="127" t="s">
        <v>849</v>
      </c>
      <c r="T9" s="947" t="s">
        <v>850</v>
      </c>
      <c r="U9" s="946">
        <f>+M27-M25</f>
        <v>13.473264650804428</v>
      </c>
      <c r="V9" s="946">
        <f>+P27-P25</f>
        <v>0.42683302413748431</v>
      </c>
      <c r="W9" s="946">
        <f>+Q27-Q25</f>
        <v>0.8028044742181818</v>
      </c>
      <c r="Y9" s="127" t="s">
        <v>849</v>
      </c>
      <c r="Z9" s="947"/>
      <c r="AA9" s="946"/>
      <c r="AB9" s="946"/>
      <c r="AC9" s="946"/>
    </row>
    <row r="10" spans="11:47">
      <c r="K10" s="4">
        <v>5</v>
      </c>
      <c r="L10" s="757" t="s">
        <v>831</v>
      </c>
      <c r="M10" s="649">
        <f t="shared" si="0"/>
        <v>0.77452201933404941</v>
      </c>
      <c r="N10" s="939">
        <v>26.16</v>
      </c>
      <c r="O10" s="939">
        <v>24.5</v>
      </c>
      <c r="P10" s="649">
        <f t="shared" ref="P10:P18" si="2">+M10*N10/100</f>
        <v>0.20261496025778733</v>
      </c>
      <c r="Q10" s="649">
        <f t="shared" ref="Q10:Q18" si="3">+M10*O10/100</f>
        <v>0.1897578947368421</v>
      </c>
      <c r="S10" s="4" t="s">
        <v>851</v>
      </c>
      <c r="T10" s="4" t="s">
        <v>886</v>
      </c>
      <c r="U10" s="97">
        <f>+M35+M36-M27</f>
        <v>-6.1284310959308641E-12</v>
      </c>
      <c r="V10" s="97">
        <f>+P35+P36-P27</f>
        <v>-9.8322482933177469E-9</v>
      </c>
      <c r="W10" s="97">
        <f>+Q35+Q36-Q27</f>
        <v>1.1394329924030444E-11</v>
      </c>
      <c r="Y10" s="4" t="s">
        <v>851</v>
      </c>
      <c r="Z10" s="4" t="s">
        <v>886</v>
      </c>
      <c r="AA10" s="97" t="e">
        <f>+#REF!+#REF!-S27</f>
        <v>#REF!</v>
      </c>
      <c r="AB10" s="97">
        <f>+V35+V36-V27</f>
        <v>0</v>
      </c>
      <c r="AC10" s="97">
        <f>+W35+W36-W27</f>
        <v>0</v>
      </c>
    </row>
    <row r="11" spans="11:47">
      <c r="K11" s="4">
        <v>6</v>
      </c>
      <c r="L11" s="757" t="s">
        <v>832</v>
      </c>
      <c r="M11" s="649">
        <f t="shared" si="0"/>
        <v>12.801176470588237</v>
      </c>
      <c r="N11" s="939">
        <v>1.27</v>
      </c>
      <c r="O11" s="939">
        <v>4.54</v>
      </c>
      <c r="P11" s="649">
        <f t="shared" si="2"/>
        <v>0.16257494117647059</v>
      </c>
      <c r="Q11" s="649">
        <f t="shared" si="3"/>
        <v>0.58117341176470594</v>
      </c>
      <c r="S11" s="4" t="s">
        <v>853</v>
      </c>
      <c r="T11" s="933" t="s">
        <v>887</v>
      </c>
      <c r="U11" s="97">
        <f>+M28+M29-M36</f>
        <v>0</v>
      </c>
      <c r="V11" s="97">
        <f>+P28+P29-P36</f>
        <v>6.4978158055460922E-3</v>
      </c>
      <c r="W11" s="97">
        <f>+Q28+Q29-Q36</f>
        <v>7.8903550360109875E-12</v>
      </c>
      <c r="Y11" s="4" t="s">
        <v>853</v>
      </c>
      <c r="Z11" s="933" t="s">
        <v>887</v>
      </c>
      <c r="AA11" s="97" t="e">
        <f>+S28+S29-#REF!</f>
        <v>#VALUE!</v>
      </c>
      <c r="AB11" s="97">
        <f>+V28+V29-V36</f>
        <v>0</v>
      </c>
      <c r="AC11" s="97">
        <f>+W28+W29-W36</f>
        <v>0</v>
      </c>
    </row>
    <row r="12" spans="11:47">
      <c r="K12" s="4">
        <v>7</v>
      </c>
      <c r="L12" s="757" t="s">
        <v>833</v>
      </c>
      <c r="M12" s="649">
        <f t="shared" si="0"/>
        <v>30.067200000000003</v>
      </c>
      <c r="N12" s="939">
        <v>1.81</v>
      </c>
      <c r="O12" s="939">
        <v>6.28</v>
      </c>
      <c r="P12" s="649">
        <f t="shared" si="2"/>
        <v>0.54421632000000009</v>
      </c>
      <c r="Q12" s="649">
        <f t="shared" si="3"/>
        <v>1.8882201600000001</v>
      </c>
      <c r="S12" s="4" t="s">
        <v>854</v>
      </c>
      <c r="T12" s="934" t="s">
        <v>889</v>
      </c>
      <c r="U12" s="97">
        <f>+M30-M33-M29</f>
        <v>0</v>
      </c>
      <c r="V12" s="97">
        <f>+P30-P33-P29</f>
        <v>0</v>
      </c>
      <c r="W12" s="97">
        <f>+Q30-Q33-Q29</f>
        <v>-9.9954763910226063E-9</v>
      </c>
      <c r="Y12" s="4" t="s">
        <v>854</v>
      </c>
      <c r="Z12" s="934" t="s">
        <v>889</v>
      </c>
      <c r="AA12" s="97" t="e">
        <f>+S30-S33-S29</f>
        <v>#VALUE!</v>
      </c>
      <c r="AB12" s="97">
        <f>+V30-V33-V29</f>
        <v>0</v>
      </c>
      <c r="AC12" s="97">
        <f>+W30-W33-W29</f>
        <v>0</v>
      </c>
    </row>
    <row r="13" spans="11:47">
      <c r="K13" s="4">
        <v>8</v>
      </c>
      <c r="L13" s="757" t="s">
        <v>834</v>
      </c>
      <c r="M13" s="649">
        <f t="shared" si="0"/>
        <v>6.5999999999999988</v>
      </c>
      <c r="N13" s="939">
        <v>2.27</v>
      </c>
      <c r="O13" s="939">
        <v>5.77</v>
      </c>
      <c r="P13" s="649">
        <f t="shared" si="2"/>
        <v>0.14981999999999998</v>
      </c>
      <c r="Q13" s="649">
        <f t="shared" si="3"/>
        <v>0.38081999999999988</v>
      </c>
      <c r="S13" s="4" t="s">
        <v>855</v>
      </c>
      <c r="T13" s="4" t="s">
        <v>888</v>
      </c>
      <c r="U13" s="97">
        <f>+M31+M34-M30</f>
        <v>0</v>
      </c>
      <c r="V13" s="97">
        <f>+P31+P34-P30</f>
        <v>0</v>
      </c>
      <c r="W13" s="97">
        <f>+Q31+Q34-Q30</f>
        <v>-2.6659969268460815E-2</v>
      </c>
      <c r="Y13" s="4" t="s">
        <v>855</v>
      </c>
      <c r="Z13" s="4" t="s">
        <v>888</v>
      </c>
      <c r="AA13" s="97" t="e">
        <f>+S31+#REF!-S30</f>
        <v>#VALUE!</v>
      </c>
      <c r="AB13" s="97">
        <f>+V31+V34-V30</f>
        <v>0</v>
      </c>
      <c r="AC13" s="97">
        <f>+W31+W34-W30</f>
        <v>0</v>
      </c>
    </row>
    <row r="14" spans="11:47">
      <c r="K14" s="4">
        <v>9</v>
      </c>
      <c r="L14" s="757" t="s">
        <v>835</v>
      </c>
      <c r="M14" s="649">
        <f t="shared" si="0"/>
        <v>0.73787234042553196</v>
      </c>
      <c r="N14" s="939">
        <v>25.33</v>
      </c>
      <c r="O14" s="939">
        <v>21.7</v>
      </c>
      <c r="P14" s="649">
        <f t="shared" si="2"/>
        <v>0.18690306382978722</v>
      </c>
      <c r="Q14" s="649">
        <f t="shared" si="3"/>
        <v>0.16011829787234041</v>
      </c>
      <c r="S14" s="4" t="s">
        <v>856</v>
      </c>
      <c r="T14" s="4" t="s">
        <v>860</v>
      </c>
      <c r="U14" s="97">
        <f>+M32+M33-M31</f>
        <v>0</v>
      </c>
      <c r="V14" s="97">
        <f>+P32+P33-P31</f>
        <v>0</v>
      </c>
      <c r="W14" s="97">
        <f>+Q32+Q33-Q31</f>
        <v>2.4864372782928967E-9</v>
      </c>
      <c r="Y14" s="4" t="s">
        <v>856</v>
      </c>
      <c r="Z14" s="4" t="s">
        <v>860</v>
      </c>
      <c r="AA14" s="97" t="e">
        <f>+S32+S33-S31</f>
        <v>#VALUE!</v>
      </c>
      <c r="AB14" s="97">
        <f>+V32+V33-V31</f>
        <v>0</v>
      </c>
      <c r="AC14" s="97">
        <f>+W32+W33-W31</f>
        <v>0</v>
      </c>
    </row>
    <row r="15" spans="11:47">
      <c r="K15" s="4">
        <v>10</v>
      </c>
      <c r="L15" s="757" t="s">
        <v>836</v>
      </c>
      <c r="M15" s="649">
        <f t="shared" si="0"/>
        <v>6.75</v>
      </c>
      <c r="N15" s="939">
        <v>2.6</v>
      </c>
      <c r="O15" s="939">
        <v>5.12</v>
      </c>
      <c r="P15" s="649">
        <f t="shared" si="2"/>
        <v>0.17550000000000002</v>
      </c>
      <c r="Q15" s="649">
        <f t="shared" si="3"/>
        <v>0.34560000000000002</v>
      </c>
      <c r="S15" s="4" t="s">
        <v>861</v>
      </c>
      <c r="T15" s="4" t="s">
        <v>862</v>
      </c>
      <c r="U15" s="97">
        <f>+M28+M35+M32+M34-M27</f>
        <v>-6.1426419506460661E-12</v>
      </c>
      <c r="V15" s="97">
        <f>+P28+P35+P32+P34-P27</f>
        <v>6.4978059732977989E-3</v>
      </c>
      <c r="W15" s="97">
        <f>+Q28+Q35+Q32+Q34-Q27</f>
        <v>-2.6659976758215298E-2</v>
      </c>
      <c r="Y15" s="4" t="s">
        <v>861</v>
      </c>
      <c r="Z15" s="4" t="s">
        <v>862</v>
      </c>
      <c r="AA15" s="97">
        <f>(M10+M17+M14+M16-M9)/M9*100</f>
        <v>-42.910942086627898</v>
      </c>
      <c r="AB15" s="97">
        <f>(P10+P17+P14+P16-P9)/P9*100</f>
        <v>199.01029338782905</v>
      </c>
      <c r="AC15" s="97">
        <f>(Q10+Q17+Q14+Q16-Q9)/Q9*100</f>
        <v>5.6118383619395429</v>
      </c>
    </row>
    <row r="16" spans="11:47">
      <c r="K16" s="4">
        <v>11</v>
      </c>
      <c r="L16" s="757" t="s">
        <v>837</v>
      </c>
      <c r="M16" s="649">
        <f t="shared" si="0"/>
        <v>9.7675471698113228</v>
      </c>
      <c r="N16" s="939">
        <v>0.22</v>
      </c>
      <c r="O16" s="939">
        <v>2.6</v>
      </c>
      <c r="P16" s="649">
        <f t="shared" si="2"/>
        <v>2.148860377358491E-2</v>
      </c>
      <c r="Q16" s="649">
        <f t="shared" si="3"/>
        <v>0.25395622641509441</v>
      </c>
    </row>
    <row r="17" spans="1:20">
      <c r="K17" s="4">
        <v>12</v>
      </c>
      <c r="L17" s="757" t="s">
        <v>838</v>
      </c>
      <c r="M17" s="649">
        <f t="shared" si="0"/>
        <v>6.8</v>
      </c>
      <c r="N17" s="939">
        <v>30.72</v>
      </c>
      <c r="O17" s="939">
        <v>25.6</v>
      </c>
      <c r="P17" s="649">
        <f t="shared" si="2"/>
        <v>2.0889599999999997</v>
      </c>
      <c r="Q17" s="649">
        <f t="shared" si="3"/>
        <v>1.7408000000000001</v>
      </c>
    </row>
    <row r="18" spans="1:20">
      <c r="K18" s="4">
        <v>13</v>
      </c>
      <c r="L18" s="757" t="s">
        <v>839</v>
      </c>
      <c r="M18" s="649">
        <f t="shared" si="0"/>
        <v>16.534883720930232</v>
      </c>
      <c r="N18" s="939">
        <v>0.9</v>
      </c>
      <c r="O18" s="939">
        <v>5.64</v>
      </c>
      <c r="P18" s="649">
        <f t="shared" si="2"/>
        <v>0.14881395348837209</v>
      </c>
      <c r="Q18" s="649">
        <f t="shared" si="3"/>
        <v>0.93256744186046503</v>
      </c>
    </row>
    <row r="22" spans="1:20">
      <c r="K22" s="4" t="s">
        <v>871</v>
      </c>
      <c r="L22" s="1439" t="s">
        <v>871</v>
      </c>
      <c r="M22" s="1439"/>
      <c r="N22" s="1439"/>
      <c r="O22" s="1439"/>
      <c r="P22" s="1439"/>
      <c r="Q22" s="1439"/>
    </row>
    <row r="23" spans="1:20">
      <c r="C23" s="4" t="s">
        <v>867</v>
      </c>
      <c r="D23" s="4" t="s">
        <v>868</v>
      </c>
      <c r="E23" s="4" t="s">
        <v>310</v>
      </c>
      <c r="F23" s="4" t="s">
        <v>882</v>
      </c>
      <c r="G23" s="4" t="s">
        <v>865</v>
      </c>
      <c r="H23" s="4" t="s">
        <v>865</v>
      </c>
      <c r="I23" s="4" t="s">
        <v>866</v>
      </c>
      <c r="J23" s="4" t="s">
        <v>948</v>
      </c>
      <c r="L23" s="928"/>
      <c r="M23" s="928" t="s">
        <v>863</v>
      </c>
      <c r="N23" s="928" t="s">
        <v>864</v>
      </c>
      <c r="O23" s="928" t="s">
        <v>873</v>
      </c>
      <c r="P23" s="928" t="s">
        <v>869</v>
      </c>
      <c r="Q23" s="928" t="s">
        <v>875</v>
      </c>
    </row>
    <row r="24" spans="1:20">
      <c r="A24" s="4">
        <v>1</v>
      </c>
      <c r="B24" s="757" t="s">
        <v>844</v>
      </c>
      <c r="C24" s="757"/>
      <c r="D24" s="757"/>
      <c r="E24" s="940"/>
      <c r="F24" s="940"/>
      <c r="G24" s="940"/>
      <c r="H24" s="757">
        <f t="shared" ref="H24:H26" si="4">+F24*60+G24</f>
        <v>0</v>
      </c>
      <c r="I24" s="941" t="e">
        <f t="shared" ref="I24:I36" si="5">+(D24/1000)/(H24/3600)</f>
        <v>#DIV/0!</v>
      </c>
      <c r="K24" s="4">
        <v>1</v>
      </c>
      <c r="L24" s="757" t="s">
        <v>844</v>
      </c>
      <c r="M24" s="936"/>
      <c r="N24" s="928"/>
      <c r="O24" s="928"/>
      <c r="P24" s="649">
        <f t="shared" ref="P24:P26" si="6">+M24*N24</f>
        <v>0</v>
      </c>
      <c r="Q24" s="928"/>
    </row>
    <row r="25" spans="1:20">
      <c r="A25" s="4">
        <v>2</v>
      </c>
      <c r="B25" s="757" t="s">
        <v>845</v>
      </c>
      <c r="C25" s="757"/>
      <c r="D25" s="757"/>
      <c r="E25" s="940"/>
      <c r="F25" s="940"/>
      <c r="G25" s="940"/>
      <c r="H25" s="757">
        <f t="shared" si="4"/>
        <v>0</v>
      </c>
      <c r="I25" s="941" t="e">
        <f t="shared" si="5"/>
        <v>#DIV/0!</v>
      </c>
      <c r="K25" s="4">
        <v>2</v>
      </c>
      <c r="L25" s="757" t="s">
        <v>845</v>
      </c>
      <c r="M25" s="936"/>
      <c r="N25" s="928"/>
      <c r="O25" s="928"/>
      <c r="P25" s="649">
        <f t="shared" si="6"/>
        <v>0</v>
      </c>
      <c r="Q25" s="928"/>
    </row>
    <row r="26" spans="1:20">
      <c r="A26" s="4">
        <v>3</v>
      </c>
      <c r="B26" s="757" t="s">
        <v>846</v>
      </c>
      <c r="C26" s="757"/>
      <c r="D26" s="757"/>
      <c r="E26" s="940"/>
      <c r="F26" s="940"/>
      <c r="G26" s="940"/>
      <c r="H26" s="757">
        <f t="shared" si="4"/>
        <v>0</v>
      </c>
      <c r="I26" s="941" t="e">
        <f t="shared" si="5"/>
        <v>#DIV/0!</v>
      </c>
      <c r="K26" s="4">
        <v>3</v>
      </c>
      <c r="L26" s="757" t="s">
        <v>846</v>
      </c>
      <c r="M26" s="936"/>
      <c r="N26" s="928"/>
      <c r="O26" s="928"/>
      <c r="P26" s="649">
        <f t="shared" si="6"/>
        <v>0</v>
      </c>
      <c r="Q26" s="928"/>
    </row>
    <row r="27" spans="1:20">
      <c r="A27" s="4">
        <v>4</v>
      </c>
      <c r="B27" s="757" t="s">
        <v>830</v>
      </c>
      <c r="C27" s="955">
        <v>1746.3</v>
      </c>
      <c r="D27" s="956">
        <v>307.89999999999998</v>
      </c>
      <c r="E27" s="1064">
        <f>+D27/C27*100</f>
        <v>17.631563877913301</v>
      </c>
      <c r="F27" s="956">
        <v>0</v>
      </c>
      <c r="G27" s="956">
        <v>35</v>
      </c>
      <c r="H27" s="757">
        <f>+F27*60+G27</f>
        <v>35</v>
      </c>
      <c r="I27" s="941">
        <f t="shared" si="5"/>
        <v>31.669714285714281</v>
      </c>
      <c r="J27" s="941">
        <f>+(C27/1000)/(H27/3600)</f>
        <v>179.61942857142856</v>
      </c>
      <c r="K27" s="4">
        <v>4</v>
      </c>
      <c r="L27" s="757" t="s">
        <v>830</v>
      </c>
      <c r="M27" s="945">
        <v>13.473264650804428</v>
      </c>
      <c r="N27" s="779">
        <v>3.1680000000000001</v>
      </c>
      <c r="O27" s="779">
        <v>5.9584999999999999</v>
      </c>
      <c r="P27" s="649">
        <f>+M27*N27/100</f>
        <v>0.42683302413748431</v>
      </c>
      <c r="Q27" s="649">
        <f>+M27*O27/100</f>
        <v>0.8028044742181818</v>
      </c>
      <c r="S27" s="4" t="s">
        <v>761</v>
      </c>
      <c r="T27" s="117">
        <f>+(P28+P32+P35)/P27*100</f>
        <v>97.165969364519782</v>
      </c>
    </row>
    <row r="28" spans="1:20">
      <c r="A28" s="4">
        <v>5</v>
      </c>
      <c r="B28" s="757" t="s">
        <v>831</v>
      </c>
      <c r="C28" s="955">
        <v>2144.5</v>
      </c>
      <c r="D28" s="955">
        <v>400.6</v>
      </c>
      <c r="E28" s="1064">
        <f t="shared" ref="E28:E36" si="7">+D28/C28*100</f>
        <v>18.680345068780603</v>
      </c>
      <c r="F28" s="955">
        <v>31</v>
      </c>
      <c r="G28" s="955">
        <v>2</v>
      </c>
      <c r="H28" s="757">
        <f t="shared" ref="H28:H36" si="8">+F28*60+G28</f>
        <v>1862</v>
      </c>
      <c r="I28" s="941">
        <f t="shared" si="5"/>
        <v>0.77452201933404941</v>
      </c>
      <c r="J28" s="941">
        <f t="shared" ref="J28:J36" si="9">+(C28/1000)/(H28/3600)</f>
        <v>4.1461868958109553</v>
      </c>
      <c r="K28" s="4">
        <v>5</v>
      </c>
      <c r="L28" s="757" t="s">
        <v>831</v>
      </c>
      <c r="M28" s="945">
        <v>7.7452201933404935E-2</v>
      </c>
      <c r="N28" s="958">
        <v>19.619999999999997</v>
      </c>
      <c r="O28" s="779">
        <v>21.088971843938289</v>
      </c>
      <c r="P28" s="649">
        <f t="shared" ref="P28:P36" si="10">+M28*N28/100</f>
        <v>1.5196122019334046E-2</v>
      </c>
      <c r="Q28" s="649">
        <f>+M28*O28/100</f>
        <v>1.6333873058245994E-2</v>
      </c>
      <c r="S28" s="4" t="s">
        <v>883</v>
      </c>
      <c r="T28" s="117">
        <f>+(M28+M32+M35)/M27*100</f>
        <v>11.532374357123759</v>
      </c>
    </row>
    <row r="29" spans="1:20">
      <c r="A29" s="4">
        <v>6</v>
      </c>
      <c r="B29" s="757" t="s">
        <v>832</v>
      </c>
      <c r="C29" s="955">
        <v>1261.5</v>
      </c>
      <c r="D29" s="955">
        <v>120.9</v>
      </c>
      <c r="E29" s="1064">
        <f t="shared" si="7"/>
        <v>9.5838287752675395</v>
      </c>
      <c r="F29" s="955">
        <v>0</v>
      </c>
      <c r="G29" s="955">
        <v>34</v>
      </c>
      <c r="H29" s="757">
        <f t="shared" si="8"/>
        <v>34</v>
      </c>
      <c r="I29" s="941">
        <f t="shared" si="5"/>
        <v>12.801176470588237</v>
      </c>
      <c r="J29" s="941">
        <f t="shared" si="9"/>
        <v>133.57058823529411</v>
      </c>
      <c r="K29" s="4">
        <v>6</v>
      </c>
      <c r="L29" s="757" t="s">
        <v>832</v>
      </c>
      <c r="M29" s="945">
        <v>12.284097551417489</v>
      </c>
      <c r="N29" s="779">
        <v>1.016</v>
      </c>
      <c r="O29" s="779">
        <v>3.859</v>
      </c>
      <c r="P29" s="649">
        <f t="shared" si="10"/>
        <v>0.12480643112240168</v>
      </c>
      <c r="Q29" s="649">
        <f t="shared" ref="Q29:Q36" si="11">+M29*O29/100</f>
        <v>0.47404332450920089</v>
      </c>
      <c r="S29" s="4" t="s">
        <v>753</v>
      </c>
      <c r="T29" s="117">
        <f>+T27/T28</f>
        <v>8.4254955966200136</v>
      </c>
    </row>
    <row r="30" spans="1:20">
      <c r="A30" s="4">
        <v>7</v>
      </c>
      <c r="B30" s="757" t="s">
        <v>833</v>
      </c>
      <c r="C30" s="955">
        <v>1331.7</v>
      </c>
      <c r="D30" s="955">
        <v>208.8</v>
      </c>
      <c r="E30" s="1064">
        <f t="shared" si="7"/>
        <v>15.679207028610048</v>
      </c>
      <c r="F30" s="955">
        <v>0</v>
      </c>
      <c r="G30" s="955">
        <v>25</v>
      </c>
      <c r="H30" s="757">
        <f t="shared" si="8"/>
        <v>25</v>
      </c>
      <c r="I30" s="941">
        <f t="shared" si="5"/>
        <v>30.067200000000003</v>
      </c>
      <c r="J30" s="941">
        <f t="shared" si="9"/>
        <v>191.76480000000004</v>
      </c>
      <c r="K30" s="4">
        <v>7</v>
      </c>
      <c r="L30" s="757" t="s">
        <v>833</v>
      </c>
      <c r="M30" s="945">
        <v>24.129477333141491</v>
      </c>
      <c r="N30" s="779">
        <v>1.448</v>
      </c>
      <c r="O30" s="779">
        <v>4.4744240502386932</v>
      </c>
      <c r="P30" s="649">
        <f t="shared" si="10"/>
        <v>0.34939483178388875</v>
      </c>
      <c r="Q30" s="649">
        <f t="shared" si="11"/>
        <v>1.0796551369909768</v>
      </c>
      <c r="S30" s="4" t="s">
        <v>884</v>
      </c>
      <c r="T30" s="117">
        <f>+SUM(P28,P32,P35)/SUM(M28,M32,M35)*100</f>
        <v>26.691970050092202</v>
      </c>
    </row>
    <row r="31" spans="1:20">
      <c r="A31" s="4">
        <v>8</v>
      </c>
      <c r="B31" s="757" t="s">
        <v>834</v>
      </c>
      <c r="C31" s="955">
        <v>1128.0999999999999</v>
      </c>
      <c r="D31" s="955">
        <v>104.5</v>
      </c>
      <c r="E31" s="1064">
        <f t="shared" si="7"/>
        <v>9.2633631770233151</v>
      </c>
      <c r="F31" s="955">
        <v>0</v>
      </c>
      <c r="G31" s="955">
        <v>57</v>
      </c>
      <c r="H31" s="757">
        <f t="shared" si="8"/>
        <v>57</v>
      </c>
      <c r="I31" s="941">
        <f t="shared" si="5"/>
        <v>6.5999999999999988</v>
      </c>
      <c r="J31" s="941">
        <f t="shared" si="9"/>
        <v>71.248421052631571</v>
      </c>
      <c r="K31" s="4">
        <v>8</v>
      </c>
      <c r="L31" s="757" t="s">
        <v>834</v>
      </c>
      <c r="M31" s="945">
        <v>12.209999999999997</v>
      </c>
      <c r="N31" s="779">
        <v>2.7092583713692733</v>
      </c>
      <c r="O31" s="779">
        <v>5.7051826000129839</v>
      </c>
      <c r="P31" s="649">
        <f t="shared" si="10"/>
        <v>0.33080044714418816</v>
      </c>
      <c r="Q31" s="649">
        <f t="shared" si="11"/>
        <v>0.69660279546158521</v>
      </c>
      <c r="S31" s="4" t="s">
        <v>753</v>
      </c>
      <c r="T31" s="117">
        <f>+T30/N27</f>
        <v>8.4254955966200136</v>
      </c>
    </row>
    <row r="32" spans="1:20">
      <c r="A32" s="4">
        <v>9</v>
      </c>
      <c r="B32" s="757" t="s">
        <v>835</v>
      </c>
      <c r="C32" s="955">
        <v>2157.9</v>
      </c>
      <c r="D32" s="955">
        <v>520.20000000000005</v>
      </c>
      <c r="E32" s="1064">
        <f t="shared" si="7"/>
        <v>24.106770471291533</v>
      </c>
      <c r="F32" s="955">
        <v>42</v>
      </c>
      <c r="G32" s="955">
        <v>18</v>
      </c>
      <c r="H32" s="757">
        <f t="shared" si="8"/>
        <v>2538</v>
      </c>
      <c r="I32" s="941">
        <f t="shared" si="5"/>
        <v>0.73787234042553196</v>
      </c>
      <c r="J32" s="941">
        <f t="shared" si="9"/>
        <v>3.0608510638297877</v>
      </c>
      <c r="K32" s="4">
        <v>9</v>
      </c>
      <c r="L32" s="757" t="s">
        <v>835</v>
      </c>
      <c r="M32" s="945">
        <v>0.36462021827597768</v>
      </c>
      <c r="N32" s="779">
        <v>29.129499999999997</v>
      </c>
      <c r="O32" s="779">
        <v>24.954999999999998</v>
      </c>
      <c r="P32" s="649">
        <f t="shared" si="10"/>
        <v>0.10621204648270091</v>
      </c>
      <c r="Q32" s="649">
        <f t="shared" si="11"/>
        <v>9.099097547077023E-2</v>
      </c>
    </row>
    <row r="33" spans="1:20">
      <c r="A33" s="4">
        <v>10</v>
      </c>
      <c r="B33" s="757" t="s">
        <v>836</v>
      </c>
      <c r="C33" s="955">
        <v>1279.0999999999999</v>
      </c>
      <c r="D33" s="955">
        <v>105</v>
      </c>
      <c r="E33" s="1064">
        <f t="shared" si="7"/>
        <v>8.2088968806191858</v>
      </c>
      <c r="F33" s="955">
        <v>0</v>
      </c>
      <c r="G33" s="955">
        <v>56</v>
      </c>
      <c r="H33" s="757">
        <f t="shared" si="8"/>
        <v>56</v>
      </c>
      <c r="I33" s="941">
        <f t="shared" si="5"/>
        <v>6.75</v>
      </c>
      <c r="J33" s="941">
        <f t="shared" si="9"/>
        <v>82.227857142857133</v>
      </c>
      <c r="K33" s="4">
        <v>10</v>
      </c>
      <c r="L33" s="757" t="s">
        <v>836</v>
      </c>
      <c r="M33" s="945">
        <v>11.845379781724008</v>
      </c>
      <c r="N33" s="779">
        <v>1.8959999999999999</v>
      </c>
      <c r="O33" s="779">
        <v>5.1126416682024693</v>
      </c>
      <c r="P33" s="649">
        <f t="shared" si="10"/>
        <v>0.22458840066148716</v>
      </c>
      <c r="Q33" s="649">
        <f t="shared" si="11"/>
        <v>0.60561182247725232</v>
      </c>
      <c r="S33" s="4" t="s">
        <v>804</v>
      </c>
      <c r="T33" s="4">
        <f>+P35/P27*100</f>
        <v>68.722020176809082</v>
      </c>
    </row>
    <row r="34" spans="1:20">
      <c r="A34" s="4">
        <v>11</v>
      </c>
      <c r="B34" s="757" t="s">
        <v>837</v>
      </c>
      <c r="C34" s="955">
        <v>1167.4000000000001</v>
      </c>
      <c r="D34" s="955">
        <v>143.80000000000001</v>
      </c>
      <c r="E34" s="1064">
        <f t="shared" si="7"/>
        <v>12.317971560733254</v>
      </c>
      <c r="F34" s="955">
        <v>0</v>
      </c>
      <c r="G34" s="955">
        <v>53</v>
      </c>
      <c r="H34" s="757">
        <f t="shared" si="8"/>
        <v>53</v>
      </c>
      <c r="I34" s="941">
        <f t="shared" si="5"/>
        <v>9.7675471698113228</v>
      </c>
      <c r="J34" s="941">
        <f t="shared" si="9"/>
        <v>79.295094339622651</v>
      </c>
      <c r="K34" s="4">
        <v>11</v>
      </c>
      <c r="L34" s="757" t="s">
        <v>837</v>
      </c>
      <c r="M34" s="945">
        <v>11.919477333141495</v>
      </c>
      <c r="N34" s="779">
        <v>0.156</v>
      </c>
      <c r="O34" s="779">
        <v>2.99</v>
      </c>
      <c r="P34" s="649">
        <f t="shared" si="10"/>
        <v>1.8594384639700732E-2</v>
      </c>
      <c r="Q34" s="649">
        <f t="shared" si="11"/>
        <v>0.35639237226093073</v>
      </c>
      <c r="S34" s="4" t="s">
        <v>943</v>
      </c>
      <c r="T34" s="4">
        <f>+P28/P36*100</f>
        <v>11.382459021710515</v>
      </c>
    </row>
    <row r="35" spans="1:20">
      <c r="A35" s="4">
        <v>12</v>
      </c>
      <c r="B35" s="942" t="s">
        <v>838</v>
      </c>
      <c r="C35" s="955">
        <v>1246.5</v>
      </c>
      <c r="D35" s="957">
        <v>408</v>
      </c>
      <c r="E35" s="1064">
        <f t="shared" si="7"/>
        <v>32.731648616125156</v>
      </c>
      <c r="F35" s="957">
        <v>3</v>
      </c>
      <c r="G35" s="957">
        <v>36</v>
      </c>
      <c r="H35" s="757">
        <f t="shared" si="8"/>
        <v>216</v>
      </c>
      <c r="I35" s="941">
        <f t="shared" si="5"/>
        <v>6.8</v>
      </c>
      <c r="J35" s="941">
        <f t="shared" si="9"/>
        <v>20.774999999999999</v>
      </c>
      <c r="K35" s="4">
        <v>12</v>
      </c>
      <c r="L35" s="757" t="s">
        <v>838</v>
      </c>
      <c r="M35" s="945">
        <v>1.1117148974474071</v>
      </c>
      <c r="N35" s="958">
        <v>26.385207002492567</v>
      </c>
      <c r="O35" s="779">
        <v>28.103183413965162</v>
      </c>
      <c r="P35" s="649">
        <f t="shared" si="10"/>
        <v>0.29332827696904634</v>
      </c>
      <c r="Q35" s="649">
        <f t="shared" si="11"/>
        <v>0.31242727667001957</v>
      </c>
      <c r="S35" s="4" t="s">
        <v>951</v>
      </c>
      <c r="T35" s="4">
        <f>+P31/P30*100</f>
        <v>94.678116861441794</v>
      </c>
    </row>
    <row r="36" spans="1:20">
      <c r="A36" s="4">
        <v>13</v>
      </c>
      <c r="B36" s="757" t="s">
        <v>839</v>
      </c>
      <c r="C36" s="955">
        <v>1309</v>
      </c>
      <c r="D36" s="955">
        <v>197.5</v>
      </c>
      <c r="E36" s="1064">
        <f t="shared" si="7"/>
        <v>15.08785332314744</v>
      </c>
      <c r="F36" s="955">
        <v>0</v>
      </c>
      <c r="G36" s="955">
        <v>43</v>
      </c>
      <c r="H36" s="757">
        <f t="shared" si="8"/>
        <v>43</v>
      </c>
      <c r="I36" s="941">
        <f t="shared" si="5"/>
        <v>16.534883720930232</v>
      </c>
      <c r="J36" s="941">
        <f t="shared" si="9"/>
        <v>109.59069767441859</v>
      </c>
      <c r="K36" s="4">
        <v>13</v>
      </c>
      <c r="L36" s="757" t="s">
        <v>839</v>
      </c>
      <c r="M36" s="945">
        <v>12.361549753350891</v>
      </c>
      <c r="N36" s="779">
        <v>1.08</v>
      </c>
      <c r="O36" s="779">
        <v>3.9669556596382924</v>
      </c>
      <c r="P36" s="649">
        <f t="shared" si="10"/>
        <v>0.13350473733618964</v>
      </c>
      <c r="Q36" s="649">
        <f t="shared" si="11"/>
        <v>0.49037719755955655</v>
      </c>
      <c r="S36" s="4" t="s">
        <v>941</v>
      </c>
      <c r="T36" s="4">
        <f>+P32/P31*100</f>
        <v>32.10758854760725</v>
      </c>
    </row>
    <row r="38" spans="1:20">
      <c r="S38" s="4" t="s">
        <v>1119</v>
      </c>
      <c r="T38" s="4">
        <f>(M35/M27)*100</f>
        <v>8.2512659422972998</v>
      </c>
    </row>
    <row r="39" spans="1:20">
      <c r="K39" s="4" t="s">
        <v>872</v>
      </c>
    </row>
    <row r="40" spans="1:20">
      <c r="L40" s="928"/>
      <c r="M40" s="928" t="s">
        <v>876</v>
      </c>
      <c r="N40" s="928" t="s">
        <v>874</v>
      </c>
      <c r="O40" s="928" t="s">
        <v>873</v>
      </c>
    </row>
    <row r="41" spans="1:20">
      <c r="K41" s="4">
        <v>1</v>
      </c>
      <c r="L41" s="757" t="s">
        <v>844</v>
      </c>
      <c r="M41" s="928" t="e">
        <f>+(M6-M24)/M6*100</f>
        <v>#DIV/0!</v>
      </c>
      <c r="N41" s="928" t="e">
        <f t="shared" ref="N41:O41" si="12">+(N6-N24)/N6*100</f>
        <v>#DIV/0!</v>
      </c>
      <c r="O41" s="928" t="e">
        <f t="shared" si="12"/>
        <v>#DIV/0!</v>
      </c>
    </row>
    <row r="42" spans="1:20">
      <c r="K42" s="4">
        <v>2</v>
      </c>
      <c r="L42" s="757" t="s">
        <v>845</v>
      </c>
      <c r="M42" s="928" t="e">
        <f t="shared" ref="M42:O43" si="13">+(M7-M25)/M7*100</f>
        <v>#DIV/0!</v>
      </c>
      <c r="N42" s="928" t="e">
        <f t="shared" si="13"/>
        <v>#DIV/0!</v>
      </c>
      <c r="O42" s="928" t="e">
        <f t="shared" si="13"/>
        <v>#DIV/0!</v>
      </c>
    </row>
    <row r="43" spans="1:20">
      <c r="K43" s="4">
        <v>3</v>
      </c>
      <c r="L43" s="757" t="s">
        <v>846</v>
      </c>
      <c r="M43" s="928" t="e">
        <f t="shared" si="13"/>
        <v>#DIV/0!</v>
      </c>
      <c r="N43" s="928" t="e">
        <f t="shared" si="13"/>
        <v>#DIV/0!</v>
      </c>
      <c r="O43" s="928" t="e">
        <f t="shared" si="13"/>
        <v>#DIV/0!</v>
      </c>
    </row>
    <row r="44" spans="1:20">
      <c r="K44" s="4">
        <v>4</v>
      </c>
      <c r="L44" s="757" t="s">
        <v>830</v>
      </c>
      <c r="M44" s="948">
        <f>ABS((M9-M27)/M9*100)</f>
        <v>57.456942840554738</v>
      </c>
      <c r="N44" s="948">
        <f>ABS((N9-N27)/N9*100)</f>
        <v>20</v>
      </c>
      <c r="O44" s="948">
        <f>ABS((O9-O27)/O9*100)</f>
        <v>15</v>
      </c>
    </row>
    <row r="45" spans="1:20">
      <c r="K45" s="4">
        <v>5</v>
      </c>
      <c r="L45" s="757" t="s">
        <v>831</v>
      </c>
      <c r="M45" s="948">
        <f t="shared" ref="M45:O53" si="14">ABS((M10-M28)/M10*100)</f>
        <v>90</v>
      </c>
      <c r="N45" s="948">
        <f t="shared" si="14"/>
        <v>25.000000000000011</v>
      </c>
      <c r="O45" s="948">
        <f t="shared" si="14"/>
        <v>13.922563902292698</v>
      </c>
    </row>
    <row r="46" spans="1:20">
      <c r="K46" s="4">
        <v>6</v>
      </c>
      <c r="L46" s="757" t="s">
        <v>832</v>
      </c>
      <c r="M46" s="948">
        <f t="shared" si="14"/>
        <v>4.0393077961137385</v>
      </c>
      <c r="N46" s="948">
        <f t="shared" si="14"/>
        <v>20</v>
      </c>
      <c r="O46" s="948">
        <f t="shared" si="14"/>
        <v>15.000000000000002</v>
      </c>
    </row>
    <row r="47" spans="1:20">
      <c r="K47" s="4">
        <v>7</v>
      </c>
      <c r="L47" s="757" t="s">
        <v>833</v>
      </c>
      <c r="M47" s="948">
        <f t="shared" si="14"/>
        <v>19.748172982048583</v>
      </c>
      <c r="N47" s="948">
        <f t="shared" si="14"/>
        <v>20.000000000000004</v>
      </c>
      <c r="O47" s="948">
        <f t="shared" si="14"/>
        <v>28.751209391103615</v>
      </c>
    </row>
    <row r="48" spans="1:20">
      <c r="C48" s="1065" t="s">
        <v>945</v>
      </c>
      <c r="D48" s="1066" t="s">
        <v>949</v>
      </c>
      <c r="E48" s="1066" t="s">
        <v>950</v>
      </c>
      <c r="F48" s="1065" t="s">
        <v>947</v>
      </c>
      <c r="K48" s="4">
        <v>8</v>
      </c>
      <c r="L48" s="757" t="s">
        <v>834</v>
      </c>
      <c r="M48" s="948">
        <f t="shared" si="14"/>
        <v>85</v>
      </c>
      <c r="N48" s="948">
        <f t="shared" si="14"/>
        <v>19.350589047104549</v>
      </c>
      <c r="O48" s="948">
        <f t="shared" si="14"/>
        <v>1.1233518195323333</v>
      </c>
    </row>
    <row r="49" spans="2:15">
      <c r="B49" s="1065" t="s">
        <v>942</v>
      </c>
      <c r="C49" s="649">
        <f>(I28/1000)/(PI()*(4*0.0254/2)^2)</f>
        <v>9.5533672198005529E-2</v>
      </c>
      <c r="D49" s="649">
        <f>((I27/(E27*0.01))-I27)+I27/4.2</f>
        <v>155.49012244897958</v>
      </c>
      <c r="E49" s="649">
        <f>((I29/(E29*0.01))-I29)+I29/4.2</f>
        <v>123.81731092436975</v>
      </c>
      <c r="F49" s="649">
        <f>((E49-D49)*1000/3600)/(PI()*(4*2.54/2)^2)</f>
        <v>-0.10851925869723111</v>
      </c>
      <c r="K49" s="4">
        <v>9</v>
      </c>
      <c r="L49" s="757" t="s">
        <v>835</v>
      </c>
      <c r="M49" s="948">
        <f t="shared" si="14"/>
        <v>50.584918515078002</v>
      </c>
      <c r="N49" s="948">
        <f t="shared" si="14"/>
        <v>14.999999999999995</v>
      </c>
      <c r="O49" s="948">
        <f t="shared" si="14"/>
        <v>14.999999999999996</v>
      </c>
    </row>
    <row r="50" spans="2:15">
      <c r="B50" s="1065" t="s">
        <v>946</v>
      </c>
      <c r="C50" s="649">
        <f>(I32/1000)/(PI()*(3*0.0254/2)^2)</f>
        <v>0.16180107652814349</v>
      </c>
      <c r="D50" s="649">
        <f>((I31/(E31*0.01))-I31)+I31/4.2</f>
        <v>66.219849624060132</v>
      </c>
      <c r="E50" s="649">
        <f>((I33/(E33*0.01))-I33)+I33/4.2</f>
        <v>77.084999999999994</v>
      </c>
      <c r="F50" s="649">
        <f>((E50-D50)*1000/3600)/(PI()*(3*2.54/2)^2)</f>
        <v>6.6181013945725939E-2</v>
      </c>
      <c r="K50" s="4">
        <v>10</v>
      </c>
      <c r="L50" s="757" t="s">
        <v>836</v>
      </c>
      <c r="M50" s="948">
        <f t="shared" si="14"/>
        <v>75.487107877392702</v>
      </c>
      <c r="N50" s="948">
        <f t="shared" ref="N50:O50" si="15">ABS((N15-N33)/N15*100)</f>
        <v>27.07692307692308</v>
      </c>
      <c r="O50" s="948">
        <f t="shared" si="15"/>
        <v>0.14371741792052264</v>
      </c>
    </row>
    <row r="51" spans="2:15">
      <c r="K51" s="4">
        <v>11</v>
      </c>
      <c r="L51" s="757" t="s">
        <v>837</v>
      </c>
      <c r="M51" s="948">
        <f t="shared" si="14"/>
        <v>22.031428422287728</v>
      </c>
      <c r="N51" s="948">
        <f t="shared" ref="N51:O51" si="16">ABS((N16-N34)/N16*100)</f>
        <v>29.09090909090909</v>
      </c>
      <c r="O51" s="948">
        <f t="shared" si="16"/>
        <v>15.000000000000005</v>
      </c>
    </row>
    <row r="52" spans="2:15">
      <c r="K52" s="4">
        <v>12</v>
      </c>
      <c r="L52" s="757" t="s">
        <v>838</v>
      </c>
      <c r="M52" s="948">
        <f t="shared" si="14"/>
        <v>83.651251508126364</v>
      </c>
      <c r="N52" s="948">
        <f t="shared" ref="N52:O52" si="17">ABS((N17-N35)/N17*100)</f>
        <v>14.110654288761172</v>
      </c>
      <c r="O52" s="948">
        <f t="shared" si="17"/>
        <v>9.7780602108014101</v>
      </c>
    </row>
    <row r="53" spans="2:15">
      <c r="K53" s="4">
        <v>13</v>
      </c>
      <c r="L53" s="757" t="s">
        <v>839</v>
      </c>
      <c r="M53" s="948">
        <f t="shared" si="14"/>
        <v>25.239572518412327</v>
      </c>
      <c r="N53" s="948">
        <f t="shared" si="14"/>
        <v>20.000000000000004</v>
      </c>
      <c r="O53" s="948">
        <f t="shared" si="14"/>
        <v>29.663906744001906</v>
      </c>
    </row>
    <row r="56" spans="2:15">
      <c r="K56" s="4" t="s">
        <v>877</v>
      </c>
    </row>
    <row r="57" spans="2:15">
      <c r="L57" s="928"/>
      <c r="M57" s="928" t="s">
        <v>876</v>
      </c>
      <c r="N57" s="928" t="s">
        <v>874</v>
      </c>
      <c r="O57" s="928" t="s">
        <v>873</v>
      </c>
    </row>
    <row r="58" spans="2:15">
      <c r="K58" s="127">
        <v>1</v>
      </c>
      <c r="L58" s="952" t="s">
        <v>844</v>
      </c>
      <c r="M58" s="953">
        <v>30</v>
      </c>
      <c r="N58" s="953">
        <v>5</v>
      </c>
      <c r="O58" s="953">
        <v>10</v>
      </c>
    </row>
    <row r="59" spans="2:15">
      <c r="K59" s="127">
        <v>2</v>
      </c>
      <c r="L59" s="952" t="s">
        <v>845</v>
      </c>
      <c r="M59" s="953">
        <v>30</v>
      </c>
      <c r="N59" s="953">
        <v>5</v>
      </c>
      <c r="O59" s="953">
        <v>10</v>
      </c>
    </row>
    <row r="60" spans="2:15">
      <c r="K60" s="127">
        <v>3</v>
      </c>
      <c r="L60" s="954" t="s">
        <v>846</v>
      </c>
      <c r="M60" s="953">
        <v>30</v>
      </c>
      <c r="N60" s="953">
        <v>5</v>
      </c>
      <c r="O60" s="953">
        <v>10</v>
      </c>
    </row>
    <row r="61" spans="2:15">
      <c r="K61" s="4">
        <v>4</v>
      </c>
      <c r="L61" s="757" t="s">
        <v>830</v>
      </c>
      <c r="M61" s="928">
        <v>60</v>
      </c>
      <c r="N61" s="928">
        <v>20</v>
      </c>
      <c r="O61" s="928">
        <v>15</v>
      </c>
    </row>
    <row r="62" spans="2:15">
      <c r="K62" s="4">
        <v>5</v>
      </c>
      <c r="L62" s="944" t="s">
        <v>831</v>
      </c>
      <c r="M62" s="928">
        <v>90</v>
      </c>
      <c r="N62" s="928">
        <v>25</v>
      </c>
      <c r="O62" s="928">
        <v>15</v>
      </c>
    </row>
    <row r="63" spans="2:15">
      <c r="K63" s="4">
        <v>6</v>
      </c>
      <c r="L63" s="757" t="s">
        <v>832</v>
      </c>
      <c r="M63" s="928">
        <v>30</v>
      </c>
      <c r="N63" s="928">
        <v>20</v>
      </c>
      <c r="O63" s="928">
        <v>15</v>
      </c>
    </row>
    <row r="64" spans="2:15">
      <c r="K64" s="949">
        <v>7</v>
      </c>
      <c r="L64" s="950" t="s">
        <v>833</v>
      </c>
      <c r="M64" s="928">
        <v>30</v>
      </c>
      <c r="N64" s="951">
        <v>20</v>
      </c>
      <c r="O64" s="951">
        <v>30</v>
      </c>
    </row>
    <row r="65" spans="11:15">
      <c r="K65" s="4">
        <v>8</v>
      </c>
      <c r="L65" s="757" t="s">
        <v>834</v>
      </c>
      <c r="M65" s="928">
        <v>85</v>
      </c>
      <c r="N65" s="928">
        <v>20</v>
      </c>
      <c r="O65" s="928">
        <v>15</v>
      </c>
    </row>
    <row r="66" spans="11:15">
      <c r="K66" s="4">
        <v>9</v>
      </c>
      <c r="L66" s="944" t="s">
        <v>835</v>
      </c>
      <c r="M66" s="928">
        <v>50</v>
      </c>
      <c r="N66" s="928">
        <v>15</v>
      </c>
      <c r="O66" s="928">
        <v>15</v>
      </c>
    </row>
    <row r="67" spans="11:15">
      <c r="K67" s="949">
        <v>10</v>
      </c>
      <c r="L67" s="950" t="s">
        <v>836</v>
      </c>
      <c r="M67" s="928">
        <v>85</v>
      </c>
      <c r="N67" s="951">
        <v>20</v>
      </c>
      <c r="O67" s="951">
        <v>30</v>
      </c>
    </row>
    <row r="68" spans="11:15">
      <c r="K68" s="4">
        <v>11</v>
      </c>
      <c r="L68" s="943" t="s">
        <v>837</v>
      </c>
      <c r="M68" s="928">
        <v>30</v>
      </c>
      <c r="N68" s="928">
        <v>30</v>
      </c>
      <c r="O68" s="928">
        <v>15</v>
      </c>
    </row>
    <row r="69" spans="11:15">
      <c r="K69" s="4">
        <v>12</v>
      </c>
      <c r="L69" s="944" t="s">
        <v>838</v>
      </c>
      <c r="M69" s="928">
        <v>85</v>
      </c>
      <c r="N69" s="928">
        <v>15</v>
      </c>
      <c r="O69" s="928">
        <v>15</v>
      </c>
    </row>
    <row r="70" spans="11:15">
      <c r="K70" s="949">
        <v>13</v>
      </c>
      <c r="L70" s="950" t="s">
        <v>839</v>
      </c>
      <c r="M70" s="928">
        <v>30</v>
      </c>
      <c r="N70" s="951">
        <v>20</v>
      </c>
      <c r="O70" s="951">
        <v>30</v>
      </c>
    </row>
  </sheetData>
  <mergeCells count="2">
    <mergeCell ref="L22:Q22"/>
    <mergeCell ref="L4:Q4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026C7-3C20-4BA6-8C13-EDF6D8CBACDB}">
  <sheetPr codeName="Hoja27"/>
  <dimension ref="A2:BA73"/>
  <sheetViews>
    <sheetView workbookViewId="0"/>
  </sheetViews>
  <sheetFormatPr baseColWidth="10" defaultColWidth="10.7265625" defaultRowHeight="14.5"/>
  <cols>
    <col min="1" max="1" width="10.7265625" style="4"/>
    <col min="2" max="2" width="28" style="4" bestFit="1" customWidth="1"/>
    <col min="3" max="3" width="17.7265625" style="4" bestFit="1" customWidth="1"/>
    <col min="4" max="4" width="18" style="4" bestFit="1" customWidth="1"/>
    <col min="5" max="7" width="18" style="4" customWidth="1"/>
    <col min="8" max="8" width="12.26953125" style="4" bestFit="1" customWidth="1"/>
    <col min="9" max="14" width="10.7265625" style="4"/>
    <col min="15" max="15" width="25.453125" style="4" bestFit="1" customWidth="1"/>
    <col min="16" max="17" width="10.7265625" style="4"/>
    <col min="18" max="18" width="11.7265625" style="4" bestFit="1" customWidth="1"/>
    <col min="19" max="21" width="10.7265625" style="4"/>
    <col min="22" max="22" width="12.7265625" style="4" bestFit="1" customWidth="1"/>
    <col min="23" max="39" width="10.7265625" style="4"/>
    <col min="40" max="52" width="7.54296875" style="4" customWidth="1"/>
    <col min="53" max="16384" width="10.7265625" style="4"/>
  </cols>
  <sheetData>
    <row r="2" spans="14:53">
      <c r="U2" s="4" t="s">
        <v>880</v>
      </c>
      <c r="V2" s="4">
        <f>+SUMX2MY2(S9:T18,S27:T36)</f>
        <v>8.6470840871647976</v>
      </c>
      <c r="AL2" s="4" t="s">
        <v>1156</v>
      </c>
    </row>
    <row r="4" spans="14:53" ht="21.5">
      <c r="N4" s="4" t="s">
        <v>870</v>
      </c>
      <c r="O4" s="1439" t="s">
        <v>870</v>
      </c>
      <c r="P4" s="1439"/>
      <c r="Q4" s="1439"/>
      <c r="R4" s="1439"/>
      <c r="S4" s="1439"/>
      <c r="T4" s="1439"/>
      <c r="AN4" s="1142">
        <v>1</v>
      </c>
      <c r="AO4" s="1142">
        <v>2</v>
      </c>
      <c r="AP4" s="1142">
        <v>3</v>
      </c>
      <c r="AQ4" s="1142">
        <v>4</v>
      </c>
      <c r="AR4" s="1142">
        <v>5</v>
      </c>
      <c r="AS4" s="1142">
        <v>6</v>
      </c>
      <c r="AT4" s="1142">
        <v>7</v>
      </c>
      <c r="AU4" s="1142">
        <v>8</v>
      </c>
      <c r="AV4" s="1142">
        <v>9</v>
      </c>
      <c r="AW4" s="1142">
        <v>10</v>
      </c>
      <c r="AX4" s="1142">
        <v>11</v>
      </c>
      <c r="AY4" s="1142">
        <v>12</v>
      </c>
      <c r="AZ4" s="1142">
        <v>13</v>
      </c>
    </row>
    <row r="5" spans="14:53" ht="59">
      <c r="O5" s="928"/>
      <c r="P5" s="928" t="s">
        <v>863</v>
      </c>
      <c r="Q5" s="928" t="s">
        <v>874</v>
      </c>
      <c r="R5" s="928" t="s">
        <v>873</v>
      </c>
      <c r="S5" s="928" t="s">
        <v>869</v>
      </c>
      <c r="T5" s="928" t="s">
        <v>875</v>
      </c>
      <c r="AL5" s="1141" t="s">
        <v>809</v>
      </c>
      <c r="AM5" s="1141" t="s">
        <v>1170</v>
      </c>
      <c r="AN5" s="1141" t="s">
        <v>1157</v>
      </c>
      <c r="AO5" s="1141" t="s">
        <v>1158</v>
      </c>
      <c r="AP5" s="1141" t="s">
        <v>1159</v>
      </c>
      <c r="AQ5" s="1143" t="s">
        <v>1160</v>
      </c>
      <c r="AR5" s="1143" t="s">
        <v>1161</v>
      </c>
      <c r="AS5" s="1143" t="s">
        <v>1162</v>
      </c>
      <c r="AT5" s="1141" t="s">
        <v>1163</v>
      </c>
      <c r="AU5" s="1141" t="s">
        <v>1164</v>
      </c>
      <c r="AV5" s="1141" t="s">
        <v>1165</v>
      </c>
      <c r="AW5" s="1141" t="s">
        <v>1166</v>
      </c>
      <c r="AX5" s="1141" t="s">
        <v>1167</v>
      </c>
      <c r="AY5" s="1141" t="s">
        <v>1168</v>
      </c>
      <c r="AZ5" s="1141" t="s">
        <v>1169</v>
      </c>
      <c r="BA5" s="1156"/>
    </row>
    <row r="6" spans="14:53">
      <c r="N6" s="4">
        <v>1</v>
      </c>
      <c r="O6" s="757" t="s">
        <v>844</v>
      </c>
      <c r="P6" s="928" t="e">
        <f t="shared" ref="P6:P18" si="0">+L24</f>
        <v>#DIV/0!</v>
      </c>
      <c r="Q6" s="928"/>
      <c r="R6" s="928"/>
      <c r="S6" s="649" t="e">
        <f t="shared" ref="S6:S8" si="1">+P6*Q6</f>
        <v>#DIV/0!</v>
      </c>
      <c r="T6" s="928"/>
      <c r="AL6" s="936" t="s">
        <v>1154</v>
      </c>
      <c r="AM6" s="936" t="s">
        <v>1155</v>
      </c>
      <c r="AN6" s="936"/>
      <c r="AO6" s="936"/>
      <c r="AP6" s="936"/>
      <c r="AQ6" s="1145">
        <v>28.900097743941586</v>
      </c>
      <c r="AR6" s="1145">
        <v>2.7412443428896354</v>
      </c>
      <c r="AS6" s="1145">
        <v>26.158853401051996</v>
      </c>
      <c r="AT6" s="1145">
        <v>45.86004897213401</v>
      </c>
      <c r="AU6" s="1145">
        <v>19.787703869837209</v>
      </c>
      <c r="AV6" s="1145">
        <v>8.6508298755186744E-2</v>
      </c>
      <c r="AW6" s="1145">
        <v>19.701195571082021</v>
      </c>
      <c r="AX6" s="1145">
        <v>24.660556999727955</v>
      </c>
      <c r="AY6" s="1145">
        <v>1.411788102568807</v>
      </c>
      <c r="AZ6" s="1145">
        <v>44.44826086956521</v>
      </c>
    </row>
    <row r="7" spans="14:53">
      <c r="N7" s="4">
        <v>2</v>
      </c>
      <c r="O7" s="757" t="s">
        <v>845</v>
      </c>
      <c r="P7" s="928" t="e">
        <f t="shared" si="0"/>
        <v>#DIV/0!</v>
      </c>
      <c r="Q7" s="928"/>
      <c r="R7" s="928"/>
      <c r="S7" s="649" t="e">
        <f t="shared" si="1"/>
        <v>#DIV/0!</v>
      </c>
      <c r="T7" s="928"/>
      <c r="W7" s="4" t="s">
        <v>490</v>
      </c>
      <c r="X7" s="4" t="s">
        <v>863</v>
      </c>
      <c r="Y7" s="4" t="s">
        <v>869</v>
      </c>
      <c r="Z7" s="4" t="s">
        <v>875</v>
      </c>
      <c r="AC7" s="4" t="s">
        <v>490</v>
      </c>
      <c r="AD7" s="4" t="s">
        <v>863</v>
      </c>
      <c r="AE7" s="4" t="s">
        <v>869</v>
      </c>
      <c r="AF7" s="4" t="s">
        <v>875</v>
      </c>
      <c r="AL7" s="936" t="s">
        <v>1</v>
      </c>
      <c r="AM7" s="936" t="s">
        <v>31</v>
      </c>
      <c r="AN7" s="1157">
        <f>'16. Pilotaje Cleaner'!K96</f>
        <v>0.68168749999999989</v>
      </c>
      <c r="AO7" s="1157">
        <f>'16. Pilotaje Cleaner'!K98</f>
        <v>3.2132499999999999</v>
      </c>
      <c r="AP7" s="1157">
        <f>'16. Pilotaje Cleaner'!K97</f>
        <v>0.13150000000000001</v>
      </c>
      <c r="AQ7" s="1158">
        <v>2.5728066014680908</v>
      </c>
      <c r="AR7" s="1158">
        <v>17.686586719215121</v>
      </c>
      <c r="AS7" s="1158">
        <v>0.98899999999999999</v>
      </c>
      <c r="AT7" s="1158">
        <v>1.4896</v>
      </c>
      <c r="AU7" s="1158">
        <v>2.1823999999999999</v>
      </c>
      <c r="AV7" s="1158">
        <v>16.010999999999999</v>
      </c>
      <c r="AW7" s="1158">
        <v>2.1216783724292387</v>
      </c>
      <c r="AX7" s="1158">
        <v>0.23220000000000002</v>
      </c>
      <c r="AY7" s="1158">
        <v>13.288</v>
      </c>
      <c r="AZ7" s="1158">
        <v>1.1004</v>
      </c>
    </row>
    <row r="8" spans="14:53">
      <c r="N8" s="4">
        <v>3</v>
      </c>
      <c r="O8" s="757" t="s">
        <v>846</v>
      </c>
      <c r="P8" s="928" t="e">
        <f t="shared" si="0"/>
        <v>#DIV/0!</v>
      </c>
      <c r="Q8" s="928"/>
      <c r="R8" s="928"/>
      <c r="S8" s="649" t="e">
        <f t="shared" si="1"/>
        <v>#DIV/0!</v>
      </c>
      <c r="T8" s="928"/>
      <c r="V8" s="127" t="s">
        <v>847</v>
      </c>
      <c r="W8" s="127" t="s">
        <v>848</v>
      </c>
      <c r="X8" s="946">
        <f>+P25+P26-P24</f>
        <v>0</v>
      </c>
      <c r="Y8" s="946">
        <f>+S25+S26-S24</f>
        <v>0</v>
      </c>
      <c r="Z8" s="946">
        <f>+T25+T26-T24</f>
        <v>0</v>
      </c>
      <c r="AB8" s="127" t="s">
        <v>847</v>
      </c>
      <c r="AC8" s="127"/>
      <c r="AD8" s="946"/>
      <c r="AE8" s="946"/>
      <c r="AF8" s="946"/>
      <c r="AL8" s="936" t="s">
        <v>17</v>
      </c>
      <c r="AM8" s="936" t="s">
        <v>31</v>
      </c>
      <c r="AN8" s="1157">
        <f>'13. Pilotaje Rougher'!M53</f>
        <v>2.3562500000000002</v>
      </c>
      <c r="AO8" s="1157">
        <f>'13. Pilotaje Rougher'!O53</f>
        <v>9.6237499999999976</v>
      </c>
      <c r="AP8" s="1157">
        <f>'13. Pilotaje Rougher'!N53</f>
        <v>1.0168749999999998</v>
      </c>
      <c r="AQ8" s="1158">
        <v>7.1654999999999998</v>
      </c>
      <c r="AR8" s="1158">
        <v>32.200000000000003</v>
      </c>
      <c r="AS8" s="1158">
        <v>4.5420791470313047</v>
      </c>
      <c r="AT8" s="1158">
        <v>5.5086590643028401</v>
      </c>
      <c r="AU8" s="1158">
        <v>6.8770000000000007</v>
      </c>
      <c r="AV8" s="1158">
        <v>26.220000034199998</v>
      </c>
      <c r="AW8" s="1158">
        <v>6.7920645441926233</v>
      </c>
      <c r="AX8" s="1158">
        <v>3.0244999999999997</v>
      </c>
      <c r="AY8" s="1158">
        <v>26.91</v>
      </c>
      <c r="AZ8" s="1158">
        <v>4.7395756332683812</v>
      </c>
    </row>
    <row r="9" spans="14:53">
      <c r="N9" s="4">
        <v>4</v>
      </c>
      <c r="O9" s="757" t="s">
        <v>830</v>
      </c>
      <c r="P9" s="649">
        <f t="shared" si="0"/>
        <v>24.456774193548384</v>
      </c>
      <c r="Q9" s="779">
        <v>2.8570000000000002</v>
      </c>
      <c r="R9" s="779">
        <v>8.43</v>
      </c>
      <c r="S9" s="649">
        <f>+P9*Q9/100</f>
        <v>0.69873003870967731</v>
      </c>
      <c r="T9" s="649">
        <f>+P9*R9/100</f>
        <v>2.0617060645161285</v>
      </c>
      <c r="V9" s="127" t="s">
        <v>849</v>
      </c>
      <c r="W9" s="947" t="s">
        <v>850</v>
      </c>
      <c r="X9" s="946">
        <f>+P27-P25</f>
        <v>28.900097743941586</v>
      </c>
      <c r="Y9" s="946">
        <f>+S27-S25</f>
        <v>0.74354362258685991</v>
      </c>
      <c r="Z9" s="946">
        <f>+T27-T25</f>
        <v>2.0708365038421341</v>
      </c>
      <c r="AB9" s="127" t="s">
        <v>849</v>
      </c>
      <c r="AC9" s="947"/>
      <c r="AD9" s="946"/>
      <c r="AE9" s="946"/>
      <c r="AF9" s="946"/>
      <c r="AL9" s="936" t="s">
        <v>519</v>
      </c>
      <c r="AM9" s="936" t="s">
        <v>31</v>
      </c>
      <c r="AN9" s="1159">
        <v>30</v>
      </c>
      <c r="AO9" s="1159"/>
      <c r="AP9" s="1159"/>
      <c r="AQ9" s="1159">
        <v>17.105263157894733</v>
      </c>
      <c r="AR9" s="1159">
        <v>28.582421340629278</v>
      </c>
      <c r="AS9" s="1159">
        <v>11.909650924024643</v>
      </c>
      <c r="AT9" s="1159">
        <v>15.578851412944395</v>
      </c>
      <c r="AU9" s="1159">
        <v>9.6182085168869325</v>
      </c>
      <c r="AV9" s="1159">
        <v>21.2786478666238</v>
      </c>
      <c r="AW9" s="1159">
        <v>8.7437279316112235</v>
      </c>
      <c r="AX9" s="1159">
        <v>12.388520971302428</v>
      </c>
      <c r="AY9" s="1159">
        <v>19.803825404610105</v>
      </c>
      <c r="AZ9" s="1159">
        <v>14.351159311892298</v>
      </c>
    </row>
    <row r="10" spans="14:53">
      <c r="N10" s="4">
        <v>5</v>
      </c>
      <c r="O10" s="757" t="s">
        <v>831</v>
      </c>
      <c r="P10" s="649">
        <f t="shared" si="0"/>
        <v>1.8111060948081263</v>
      </c>
      <c r="Q10" s="779">
        <v>19.13</v>
      </c>
      <c r="R10" s="779">
        <v>28</v>
      </c>
      <c r="S10" s="649">
        <f t="shared" ref="S10:S18" si="2">+P10*Q10/100</f>
        <v>0.34646459593679452</v>
      </c>
      <c r="T10" s="649">
        <f t="shared" ref="T10:T18" si="3">+P10*R10/100</f>
        <v>0.50710970654627541</v>
      </c>
      <c r="V10" s="4" t="s">
        <v>851</v>
      </c>
      <c r="W10" s="4" t="s">
        <v>852</v>
      </c>
      <c r="X10" s="97">
        <f>+P28+P29-P27</f>
        <v>4.6185277824406512E-14</v>
      </c>
      <c r="Y10" s="97">
        <f>+S28+S29-S27</f>
        <v>-4.5597015052578627E-9</v>
      </c>
      <c r="Z10" s="97">
        <f>+T28+T29-T27</f>
        <v>0</v>
      </c>
      <c r="AB10" s="4" t="s">
        <v>851</v>
      </c>
      <c r="AC10" s="4" t="s">
        <v>886</v>
      </c>
      <c r="AD10" s="97" t="e">
        <f>+V35+V36-V27</f>
        <v>#VALUE!</v>
      </c>
      <c r="AE10" s="97">
        <f>+Y35+Y36-Y27</f>
        <v>0</v>
      </c>
      <c r="AF10" s="97">
        <f>+Z35+Z36-Z27</f>
        <v>0</v>
      </c>
    </row>
    <row r="11" spans="14:53">
      <c r="N11" s="4">
        <v>6</v>
      </c>
      <c r="O11" s="757" t="s">
        <v>832</v>
      </c>
      <c r="P11" s="649">
        <f t="shared" si="0"/>
        <v>19.209600000000005</v>
      </c>
      <c r="Q11" s="779">
        <v>0.86</v>
      </c>
      <c r="R11" s="779">
        <v>4.33</v>
      </c>
      <c r="S11" s="649">
        <f t="shared" si="2"/>
        <v>0.16520256000000003</v>
      </c>
      <c r="T11" s="649">
        <f t="shared" si="3"/>
        <v>0.83177568000000024</v>
      </c>
      <c r="V11" s="4" t="s">
        <v>853</v>
      </c>
      <c r="W11" s="933" t="s">
        <v>857</v>
      </c>
      <c r="X11" s="97">
        <f>+P30-P29-P33</f>
        <v>0</v>
      </c>
      <c r="Y11" s="97">
        <f>+S30-S29-S33</f>
        <v>6.4242238108697114E-3</v>
      </c>
      <c r="Z11" s="97">
        <f>+T30-T29-T33</f>
        <v>0</v>
      </c>
      <c r="AB11" s="4" t="s">
        <v>853</v>
      </c>
      <c r="AC11" s="933" t="s">
        <v>887</v>
      </c>
      <c r="AD11" s="97" t="e">
        <f>+V28+V29-V36</f>
        <v>#VALUE!</v>
      </c>
      <c r="AE11" s="97">
        <f>+Y28+Y29-Y36</f>
        <v>0</v>
      </c>
      <c r="AF11" s="97">
        <f>+Z28+Z29-Z36</f>
        <v>0</v>
      </c>
    </row>
    <row r="12" spans="14:53">
      <c r="N12" s="4">
        <v>7</v>
      </c>
      <c r="O12" s="757" t="s">
        <v>833</v>
      </c>
      <c r="P12" s="649">
        <f t="shared" si="0"/>
        <v>47.326153846153851</v>
      </c>
      <c r="Q12" s="779">
        <v>2.1280000000000001</v>
      </c>
      <c r="R12" s="779">
        <v>9.24</v>
      </c>
      <c r="S12" s="649">
        <f>+P12*Q12/100</f>
        <v>1.0071005538461539</v>
      </c>
      <c r="T12" s="649">
        <f t="shared" si="3"/>
        <v>4.3729366153846163</v>
      </c>
      <c r="V12" s="4" t="s">
        <v>854</v>
      </c>
      <c r="W12" s="934" t="s">
        <v>858</v>
      </c>
      <c r="X12" s="97">
        <f>+P36+P35-P30</f>
        <v>0</v>
      </c>
      <c r="Y12" s="97">
        <f>+S36+S35-S30</f>
        <v>-6.4242238108694893E-3</v>
      </c>
      <c r="Z12" s="97">
        <f>+T36+T35-T30</f>
        <v>-3.9702624610438608E-2</v>
      </c>
      <c r="AB12" s="4" t="s">
        <v>854</v>
      </c>
      <c r="AC12" s="934" t="s">
        <v>889</v>
      </c>
      <c r="AD12" s="97" t="e">
        <f>+V30-V33-V29</f>
        <v>#VALUE!</v>
      </c>
      <c r="AE12" s="97">
        <f>+Y30-Y33-Y29</f>
        <v>0</v>
      </c>
      <c r="AF12" s="97">
        <f>+Z30-Z33-Z29</f>
        <v>0</v>
      </c>
    </row>
    <row r="13" spans="14:53">
      <c r="N13" s="4">
        <v>8</v>
      </c>
      <c r="O13" s="757" t="s">
        <v>834</v>
      </c>
      <c r="P13" s="649">
        <f t="shared" si="0"/>
        <v>25.151999999999997</v>
      </c>
      <c r="Q13" s="779">
        <v>1.984</v>
      </c>
      <c r="R13" s="779">
        <v>5.98</v>
      </c>
      <c r="S13" s="649">
        <f t="shared" si="2"/>
        <v>0.49901567999999996</v>
      </c>
      <c r="T13" s="649">
        <f t="shared" si="3"/>
        <v>1.5040896000000001</v>
      </c>
      <c r="V13" s="4" t="s">
        <v>855</v>
      </c>
      <c r="W13" s="4" t="s">
        <v>859</v>
      </c>
      <c r="X13" s="97">
        <f>+P31+P34-P36</f>
        <v>0</v>
      </c>
      <c r="Y13" s="97">
        <f>+S31+S34-S36</f>
        <v>0</v>
      </c>
      <c r="Z13" s="97">
        <f>+T31+T34-T36</f>
        <v>0</v>
      </c>
      <c r="AB13" s="4" t="s">
        <v>855</v>
      </c>
      <c r="AC13" s="4" t="s">
        <v>888</v>
      </c>
      <c r="AD13" s="97" t="e">
        <f>+V31+V34-V30</f>
        <v>#VALUE!</v>
      </c>
      <c r="AE13" s="97">
        <f>+Y31+Y34-Y30</f>
        <v>0</v>
      </c>
      <c r="AF13" s="97">
        <f>+Z31+Z34-Z30</f>
        <v>0</v>
      </c>
    </row>
    <row r="14" spans="14:53">
      <c r="N14" s="4">
        <v>9</v>
      </c>
      <c r="O14" s="757" t="s">
        <v>835</v>
      </c>
      <c r="P14" s="649">
        <f t="shared" si="0"/>
        <v>0.57672199170124483</v>
      </c>
      <c r="Q14" s="779">
        <v>17.79</v>
      </c>
      <c r="R14" s="779">
        <v>22.8</v>
      </c>
      <c r="S14" s="649">
        <f t="shared" si="2"/>
        <v>0.10259884232365145</v>
      </c>
      <c r="T14" s="649">
        <f t="shared" si="3"/>
        <v>0.13149261410788382</v>
      </c>
      <c r="V14" s="4" t="s">
        <v>856</v>
      </c>
      <c r="W14" s="4" t="s">
        <v>860</v>
      </c>
      <c r="X14" s="97">
        <f>+P32+P33-P31</f>
        <v>0</v>
      </c>
      <c r="Y14" s="97">
        <f>+S32+S33-S31</f>
        <v>0</v>
      </c>
      <c r="Z14" s="97">
        <f>+T32+T33-T31</f>
        <v>0</v>
      </c>
      <c r="AB14" s="4" t="s">
        <v>856</v>
      </c>
      <c r="AC14" s="4" t="s">
        <v>860</v>
      </c>
      <c r="AD14" s="97" t="e">
        <f>+V32+V33-V31</f>
        <v>#VALUE!</v>
      </c>
      <c r="AE14" s="97">
        <f>+Y32+Y33-Y31</f>
        <v>0</v>
      </c>
      <c r="AF14" s="97">
        <f>+Z32+Z33-Z31</f>
        <v>0</v>
      </c>
    </row>
    <row r="15" spans="14:53">
      <c r="N15" s="4">
        <v>10</v>
      </c>
      <c r="O15" s="757" t="s">
        <v>836</v>
      </c>
      <c r="P15" s="649">
        <f t="shared" si="0"/>
        <v>17.829473684210523</v>
      </c>
      <c r="Q15" s="779">
        <v>1.8160000000000001</v>
      </c>
      <c r="R15" s="779">
        <v>6.68</v>
      </c>
      <c r="S15" s="649">
        <f t="shared" si="2"/>
        <v>0.3237832421052631</v>
      </c>
      <c r="T15" s="649">
        <f t="shared" si="3"/>
        <v>1.1910088421052629</v>
      </c>
      <c r="V15" s="4" t="s">
        <v>861</v>
      </c>
      <c r="W15" s="4" t="s">
        <v>862</v>
      </c>
      <c r="X15" s="97">
        <f>+P28+P35+P32+P34-P27</f>
        <v>0</v>
      </c>
      <c r="Y15" s="97">
        <f>+S28+S35+S32+S34-S27</f>
        <v>-4.5597015052578627E-9</v>
      </c>
      <c r="Z15" s="97">
        <f>+T28+T35+T32+T34-T27</f>
        <v>-3.970262461043772E-2</v>
      </c>
      <c r="AB15" s="4" t="s">
        <v>861</v>
      </c>
      <c r="AC15" s="4" t="s">
        <v>862</v>
      </c>
      <c r="AD15" s="97">
        <f>(P10+P17+P14+P16-P9)/P9*100</f>
        <v>-18.322820298870624</v>
      </c>
      <c r="AE15" s="97">
        <f>(S10+S17+S14+S16-S9)/S9*100</f>
        <v>16.994229690895597</v>
      </c>
      <c r="AF15" s="97">
        <f>(T10+T17+T14+T16-T9)/T9*100</f>
        <v>-19.062315129597749</v>
      </c>
    </row>
    <row r="16" spans="14:53">
      <c r="N16" s="4">
        <v>11</v>
      </c>
      <c r="O16" s="757" t="s">
        <v>837</v>
      </c>
      <c r="P16" s="649">
        <f t="shared" si="0"/>
        <v>14.855294117647059</v>
      </c>
      <c r="Q16" s="779">
        <v>0.25800000000000001</v>
      </c>
      <c r="R16" s="779">
        <v>2.63</v>
      </c>
      <c r="S16" s="649">
        <f t="shared" si="2"/>
        <v>3.8326658823529411E-2</v>
      </c>
      <c r="T16" s="649">
        <f t="shared" si="3"/>
        <v>0.39069423529411762</v>
      </c>
    </row>
    <row r="17" spans="1:24">
      <c r="N17" s="4">
        <v>12</v>
      </c>
      <c r="O17" s="757" t="s">
        <v>838</v>
      </c>
      <c r="P17" s="649">
        <f t="shared" si="0"/>
        <v>2.7324812030075187</v>
      </c>
      <c r="Q17" s="779">
        <v>12.08</v>
      </c>
      <c r="R17" s="779">
        <v>23.4</v>
      </c>
      <c r="S17" s="649">
        <f t="shared" si="2"/>
        <v>0.33008372932330832</v>
      </c>
      <c r="T17" s="649">
        <f t="shared" si="3"/>
        <v>0.63940060150375932</v>
      </c>
    </row>
    <row r="18" spans="1:24">
      <c r="N18" s="4">
        <v>13</v>
      </c>
      <c r="O18" s="757" t="s">
        <v>839</v>
      </c>
      <c r="P18" s="649">
        <f t="shared" si="0"/>
        <v>24.026086956521738</v>
      </c>
      <c r="Q18" s="779">
        <v>0.91700000000000004</v>
      </c>
      <c r="R18" s="779">
        <v>5.09</v>
      </c>
      <c r="S18" s="649">
        <f t="shared" si="2"/>
        <v>0.22031921739130436</v>
      </c>
      <c r="T18" s="649">
        <f t="shared" si="3"/>
        <v>1.2229278260869565</v>
      </c>
    </row>
    <row r="22" spans="1:24">
      <c r="N22" s="4" t="s">
        <v>871</v>
      </c>
      <c r="O22" s="1439" t="s">
        <v>871</v>
      </c>
      <c r="P22" s="1439"/>
      <c r="Q22" s="1439"/>
      <c r="R22" s="1439"/>
      <c r="S22" s="1439"/>
      <c r="T22" s="1439"/>
    </row>
    <row r="23" spans="1:24">
      <c r="C23" s="4" t="s">
        <v>867</v>
      </c>
      <c r="D23" s="4" t="s">
        <v>868</v>
      </c>
      <c r="H23" s="4" t="s">
        <v>310</v>
      </c>
      <c r="I23" s="4" t="s">
        <v>882</v>
      </c>
      <c r="J23" s="4" t="s">
        <v>865</v>
      </c>
      <c r="K23" s="4" t="s">
        <v>865</v>
      </c>
      <c r="L23" s="4" t="s">
        <v>866</v>
      </c>
      <c r="O23" s="928" t="s">
        <v>809</v>
      </c>
      <c r="P23" s="928" t="s">
        <v>863</v>
      </c>
      <c r="Q23" s="928" t="s">
        <v>864</v>
      </c>
      <c r="R23" s="928" t="s">
        <v>873</v>
      </c>
      <c r="S23" s="928" t="s">
        <v>869</v>
      </c>
      <c r="T23" s="928" t="s">
        <v>875</v>
      </c>
    </row>
    <row r="24" spans="1:24">
      <c r="A24" s="4">
        <v>1</v>
      </c>
      <c r="B24" s="757" t="s">
        <v>844</v>
      </c>
      <c r="C24" s="757"/>
      <c r="D24" s="757"/>
      <c r="E24" s="757"/>
      <c r="F24" s="757"/>
      <c r="G24" s="757"/>
      <c r="H24" s="940"/>
      <c r="I24" s="940"/>
      <c r="J24" s="940"/>
      <c r="K24" s="757">
        <f t="shared" ref="K24:K26" si="4">+I24*60+J24</f>
        <v>0</v>
      </c>
      <c r="L24" s="941" t="e">
        <f t="shared" ref="L24:L36" si="5">+(D24/1000)/(K24/3600)</f>
        <v>#DIV/0!</v>
      </c>
      <c r="N24" s="4">
        <v>1</v>
      </c>
      <c r="O24" s="757" t="s">
        <v>844</v>
      </c>
      <c r="P24" s="936"/>
      <c r="Q24" s="928"/>
      <c r="R24" s="928"/>
      <c r="S24" s="649">
        <f t="shared" ref="S24:S26" si="6">+P24*Q24</f>
        <v>0</v>
      </c>
      <c r="T24" s="928"/>
    </row>
    <row r="25" spans="1:24">
      <c r="A25" s="4">
        <v>2</v>
      </c>
      <c r="B25" s="757" t="s">
        <v>845</v>
      </c>
      <c r="C25" s="757"/>
      <c r="D25" s="757"/>
      <c r="E25" s="757"/>
      <c r="F25" s="757"/>
      <c r="G25" s="757"/>
      <c r="H25" s="940"/>
      <c r="I25" s="940"/>
      <c r="J25" s="940"/>
      <c r="K25" s="757">
        <f t="shared" si="4"/>
        <v>0</v>
      </c>
      <c r="L25" s="941" t="e">
        <f t="shared" si="5"/>
        <v>#DIV/0!</v>
      </c>
      <c r="N25" s="4">
        <v>2</v>
      </c>
      <c r="O25" s="757" t="s">
        <v>845</v>
      </c>
      <c r="P25" s="936"/>
      <c r="Q25" s="928"/>
      <c r="R25" s="928"/>
      <c r="S25" s="649">
        <f t="shared" si="6"/>
        <v>0</v>
      </c>
      <c r="T25" s="928"/>
    </row>
    <row r="26" spans="1:24">
      <c r="A26" s="4">
        <v>3</v>
      </c>
      <c r="B26" s="757" t="s">
        <v>846</v>
      </c>
      <c r="C26" s="757"/>
      <c r="D26" s="757"/>
      <c r="E26" s="757" t="s">
        <v>1171</v>
      </c>
      <c r="F26" s="757"/>
      <c r="G26" s="757"/>
      <c r="H26" s="940"/>
      <c r="I26" s="940"/>
      <c r="J26" s="940"/>
      <c r="K26" s="757">
        <f t="shared" si="4"/>
        <v>0</v>
      </c>
      <c r="L26" s="941" t="e">
        <f t="shared" si="5"/>
        <v>#DIV/0!</v>
      </c>
      <c r="N26" s="4">
        <v>3</v>
      </c>
      <c r="O26" s="757" t="s">
        <v>846</v>
      </c>
      <c r="P26" s="936"/>
      <c r="Q26" s="928"/>
      <c r="R26" s="928"/>
      <c r="S26" s="649">
        <f t="shared" si="6"/>
        <v>0</v>
      </c>
      <c r="T26" s="928"/>
    </row>
    <row r="27" spans="1:24">
      <c r="A27" s="4">
        <v>4</v>
      </c>
      <c r="B27" s="757" t="s">
        <v>830</v>
      </c>
      <c r="C27" s="757">
        <v>1231.2</v>
      </c>
      <c r="D27" s="757">
        <v>210.6</v>
      </c>
      <c r="E27" s="757">
        <f>C27-D27</f>
        <v>1020.6</v>
      </c>
      <c r="F27" s="757"/>
      <c r="G27" s="757"/>
      <c r="H27" s="1085">
        <f t="shared" ref="H27:H36" si="7">+D27/C27*100</f>
        <v>17.105263157894733</v>
      </c>
      <c r="I27" s="1087">
        <v>0</v>
      </c>
      <c r="J27" s="1087">
        <v>31</v>
      </c>
      <c r="K27" s="757">
        <f>+I27*60+J27</f>
        <v>31</v>
      </c>
      <c r="L27" s="941">
        <f t="shared" si="5"/>
        <v>24.456774193548384</v>
      </c>
      <c r="N27" s="4">
        <v>4</v>
      </c>
      <c r="O27" s="757" t="s">
        <v>830</v>
      </c>
      <c r="P27" s="945">
        <v>28.900097743941586</v>
      </c>
      <c r="Q27" s="779">
        <v>2.5728066014680908</v>
      </c>
      <c r="R27" s="779">
        <v>7.1654999999999998</v>
      </c>
      <c r="S27" s="649">
        <f>+P27*Q27/100</f>
        <v>0.74354362258685991</v>
      </c>
      <c r="T27" s="649">
        <f>+P27*R27/100</f>
        <v>2.0708365038421341</v>
      </c>
      <c r="V27" s="4" t="s">
        <v>761</v>
      </c>
      <c r="W27" s="117">
        <f>+(S28+S32+S35)/S27*100</f>
        <v>92.298795097744176</v>
      </c>
    </row>
    <row r="28" spans="1:24">
      <c r="A28" s="4">
        <v>5</v>
      </c>
      <c r="B28" s="757" t="s">
        <v>831</v>
      </c>
      <c r="C28" s="757">
        <v>2339.1999999999998</v>
      </c>
      <c r="D28" s="757">
        <v>668.6</v>
      </c>
      <c r="E28" s="757">
        <f t="shared" ref="E28:E36" si="8">C28-D28</f>
        <v>1670.6</v>
      </c>
      <c r="F28" s="757"/>
      <c r="G28" s="757"/>
      <c r="H28" s="1085">
        <f t="shared" si="7"/>
        <v>28.582421340629278</v>
      </c>
      <c r="I28" s="1088">
        <v>22</v>
      </c>
      <c r="J28" s="1088">
        <v>9</v>
      </c>
      <c r="K28" s="757">
        <f>+I28*60+J28</f>
        <v>1329</v>
      </c>
      <c r="L28" s="941">
        <f t="shared" si="5"/>
        <v>1.8111060948081263</v>
      </c>
      <c r="N28" s="4">
        <v>5</v>
      </c>
      <c r="O28" s="757" t="s">
        <v>831</v>
      </c>
      <c r="P28" s="945">
        <v>2.7412443428896354</v>
      </c>
      <c r="Q28" s="779">
        <v>17.686586719215121</v>
      </c>
      <c r="R28" s="779">
        <v>32.200000000000003</v>
      </c>
      <c r="S28" s="649">
        <f t="shared" ref="S28:S36" si="9">+P28*Q28/100</f>
        <v>0.48483255789075408</v>
      </c>
      <c r="T28" s="649">
        <f>+P28*R28/100</f>
        <v>0.8826806784104626</v>
      </c>
      <c r="V28" s="4" t="s">
        <v>883</v>
      </c>
      <c r="W28" s="117">
        <f>+(P28+P32+P35)/P27*100</f>
        <v>14.66964154161858</v>
      </c>
      <c r="X28" s="117">
        <f>+P35/P30*100</f>
        <v>3.0784705516268711</v>
      </c>
    </row>
    <row r="29" spans="1:24">
      <c r="A29" s="4">
        <v>6</v>
      </c>
      <c r="B29" s="757" t="s">
        <v>832</v>
      </c>
      <c r="C29" s="757">
        <v>1120.0999999999999</v>
      </c>
      <c r="D29" s="757">
        <v>133.4</v>
      </c>
      <c r="E29" s="757">
        <f t="shared" si="8"/>
        <v>986.69999999999993</v>
      </c>
      <c r="F29" s="757"/>
      <c r="G29" s="757"/>
      <c r="H29" s="1085">
        <f t="shared" si="7"/>
        <v>11.909650924024643</v>
      </c>
      <c r="I29" s="1088">
        <v>0</v>
      </c>
      <c r="J29" s="1088">
        <v>25</v>
      </c>
      <c r="K29" s="757">
        <f t="shared" ref="K29:K36" si="10">+I29*60+J29</f>
        <v>25</v>
      </c>
      <c r="L29" s="941">
        <f t="shared" si="5"/>
        <v>19.209600000000005</v>
      </c>
      <c r="N29" s="4">
        <v>6</v>
      </c>
      <c r="O29" s="757" t="s">
        <v>832</v>
      </c>
      <c r="P29" s="945">
        <v>26.158853401051996</v>
      </c>
      <c r="Q29" s="779">
        <v>0.98899999999999999</v>
      </c>
      <c r="R29" s="779">
        <v>4.5420791470313047</v>
      </c>
      <c r="S29" s="649">
        <f t="shared" si="9"/>
        <v>0.25871106013640427</v>
      </c>
      <c r="T29" s="649">
        <f t="shared" ref="T29:T36" si="11">+P29*R29/100</f>
        <v>1.188155825431672</v>
      </c>
      <c r="V29" s="4" t="s">
        <v>753</v>
      </c>
      <c r="W29" s="117">
        <f>+W27/W28</f>
        <v>6.2918234802048447</v>
      </c>
    </row>
    <row r="30" spans="1:24">
      <c r="A30" s="4">
        <v>7</v>
      </c>
      <c r="B30" s="757" t="s">
        <v>833</v>
      </c>
      <c r="C30" s="757">
        <v>1097</v>
      </c>
      <c r="D30" s="757">
        <v>170.9</v>
      </c>
      <c r="E30" s="757">
        <f t="shared" si="8"/>
        <v>926.1</v>
      </c>
      <c r="F30" s="757"/>
      <c r="G30" s="757"/>
      <c r="H30" s="1085">
        <f t="shared" si="7"/>
        <v>15.578851412944395</v>
      </c>
      <c r="I30" s="1088">
        <v>0</v>
      </c>
      <c r="J30" s="1088">
        <v>13</v>
      </c>
      <c r="K30" s="757">
        <f t="shared" si="10"/>
        <v>13</v>
      </c>
      <c r="L30" s="941">
        <f t="shared" si="5"/>
        <v>47.326153846153851</v>
      </c>
      <c r="N30" s="4">
        <v>7</v>
      </c>
      <c r="O30" s="757" t="s">
        <v>833</v>
      </c>
      <c r="P30" s="945">
        <v>45.86004897213401</v>
      </c>
      <c r="Q30" s="779">
        <v>1.4896</v>
      </c>
      <c r="R30" s="779">
        <v>5.5086590643028401</v>
      </c>
      <c r="S30" s="649">
        <f t="shared" si="9"/>
        <v>0.68313128948890822</v>
      </c>
      <c r="T30" s="649">
        <f t="shared" si="11"/>
        <v>2.5262737445971819</v>
      </c>
      <c r="V30" s="4" t="s">
        <v>884</v>
      </c>
      <c r="W30" s="117">
        <f>+SUM(S28,S32,S35)/SUM(P28,P32,P35)*100</f>
        <v>16.18764498514296</v>
      </c>
    </row>
    <row r="31" spans="1:24">
      <c r="A31" s="4">
        <v>8</v>
      </c>
      <c r="B31" s="757" t="s">
        <v>834</v>
      </c>
      <c r="C31" s="757">
        <v>1089.5999999999999</v>
      </c>
      <c r="D31" s="757">
        <v>104.8</v>
      </c>
      <c r="E31" s="757">
        <f t="shared" si="8"/>
        <v>984.8</v>
      </c>
      <c r="F31" s="757"/>
      <c r="G31" s="757"/>
      <c r="H31" s="1085">
        <f t="shared" si="7"/>
        <v>9.6182085168869325</v>
      </c>
      <c r="I31" s="1088">
        <v>0</v>
      </c>
      <c r="J31" s="1088">
        <v>15</v>
      </c>
      <c r="K31" s="757">
        <f t="shared" si="10"/>
        <v>15</v>
      </c>
      <c r="L31" s="941">
        <f t="shared" si="5"/>
        <v>25.151999999999997</v>
      </c>
      <c r="N31" s="4">
        <v>8</v>
      </c>
      <c r="O31" s="757" t="s">
        <v>834</v>
      </c>
      <c r="P31" s="945">
        <v>19.787703869837209</v>
      </c>
      <c r="Q31" s="779">
        <v>2.1823999999999999</v>
      </c>
      <c r="R31" s="779">
        <v>6.8770000000000007</v>
      </c>
      <c r="S31" s="649">
        <f t="shared" si="9"/>
        <v>0.43184684925532724</v>
      </c>
      <c r="T31" s="649">
        <f t="shared" si="11"/>
        <v>1.3608003951287051</v>
      </c>
      <c r="V31" s="4" t="s">
        <v>753</v>
      </c>
      <c r="W31" s="117">
        <f>+W30/Q27</f>
        <v>6.2918234802048438</v>
      </c>
    </row>
    <row r="32" spans="1:24">
      <c r="A32" s="4">
        <v>9</v>
      </c>
      <c r="B32" s="757" t="s">
        <v>835</v>
      </c>
      <c r="C32" s="757">
        <v>2177.3000000000002</v>
      </c>
      <c r="D32" s="757">
        <v>463.3</v>
      </c>
      <c r="E32" s="757">
        <f t="shared" si="8"/>
        <v>1714.0000000000002</v>
      </c>
      <c r="F32" s="757"/>
      <c r="G32" s="757"/>
      <c r="H32" s="1085">
        <f t="shared" si="7"/>
        <v>21.2786478666238</v>
      </c>
      <c r="I32" s="1088">
        <v>48</v>
      </c>
      <c r="J32" s="1088">
        <v>12</v>
      </c>
      <c r="K32" s="757">
        <f t="shared" si="10"/>
        <v>2892</v>
      </c>
      <c r="L32" s="941">
        <f t="shared" si="5"/>
        <v>0.57672199170124483</v>
      </c>
      <c r="N32" s="4">
        <v>9</v>
      </c>
      <c r="O32" s="757" t="s">
        <v>835</v>
      </c>
      <c r="P32" s="945">
        <v>8.6508298755186744E-2</v>
      </c>
      <c r="Q32" s="779">
        <v>16.010999999999999</v>
      </c>
      <c r="R32" s="779">
        <v>26.220000034199998</v>
      </c>
      <c r="S32" s="649">
        <f t="shared" si="9"/>
        <v>1.3850843713692948E-2</v>
      </c>
      <c r="T32" s="649">
        <f t="shared" si="11"/>
        <v>2.2682475963195801E-2</v>
      </c>
    </row>
    <row r="33" spans="1:23">
      <c r="A33" s="4">
        <v>10</v>
      </c>
      <c r="B33" s="757" t="s">
        <v>836</v>
      </c>
      <c r="C33" s="757">
        <v>1076.2</v>
      </c>
      <c r="D33" s="757">
        <v>94.1</v>
      </c>
      <c r="E33" s="757">
        <f t="shared" si="8"/>
        <v>982.1</v>
      </c>
      <c r="F33" s="757"/>
      <c r="G33" s="757"/>
      <c r="H33" s="1085">
        <f t="shared" si="7"/>
        <v>8.7437279316112235</v>
      </c>
      <c r="I33" s="1088">
        <v>0</v>
      </c>
      <c r="J33" s="1088">
        <v>19</v>
      </c>
      <c r="K33" s="757">
        <f t="shared" si="10"/>
        <v>19</v>
      </c>
      <c r="L33" s="941">
        <f t="shared" si="5"/>
        <v>17.829473684210523</v>
      </c>
      <c r="N33" s="4">
        <v>10</v>
      </c>
      <c r="O33" s="757" t="s">
        <v>836</v>
      </c>
      <c r="P33" s="945">
        <v>19.701195571082021</v>
      </c>
      <c r="Q33" s="779">
        <v>2.1216783724292387</v>
      </c>
      <c r="R33" s="779">
        <v>6.7920645441926233</v>
      </c>
      <c r="S33" s="649">
        <f t="shared" si="9"/>
        <v>0.41799600554163424</v>
      </c>
      <c r="T33" s="649">
        <f t="shared" si="11"/>
        <v>1.3381179191655093</v>
      </c>
      <c r="V33" s="4" t="s">
        <v>804</v>
      </c>
      <c r="W33" s="4">
        <f>+S35/S30*100</f>
        <v>27.461544501891687</v>
      </c>
    </row>
    <row r="34" spans="1:23">
      <c r="A34" s="4">
        <v>11</v>
      </c>
      <c r="B34" s="757" t="s">
        <v>837</v>
      </c>
      <c r="C34" s="757">
        <v>1132.5</v>
      </c>
      <c r="D34" s="757">
        <v>140.30000000000001</v>
      </c>
      <c r="E34" s="757">
        <f t="shared" si="8"/>
        <v>992.2</v>
      </c>
      <c r="F34" s="757"/>
      <c r="G34" s="757"/>
      <c r="H34" s="1085">
        <f t="shared" si="7"/>
        <v>12.388520971302428</v>
      </c>
      <c r="I34" s="1088">
        <v>0</v>
      </c>
      <c r="J34" s="1088">
        <v>34</v>
      </c>
      <c r="K34" s="757">
        <f t="shared" si="10"/>
        <v>34</v>
      </c>
      <c r="L34" s="941">
        <f t="shared" si="5"/>
        <v>14.855294117647059</v>
      </c>
      <c r="N34" s="4">
        <v>11</v>
      </c>
      <c r="O34" s="757" t="s">
        <v>837</v>
      </c>
      <c r="P34" s="945">
        <v>24.660556999727955</v>
      </c>
      <c r="Q34" s="779">
        <v>0.23220000000000002</v>
      </c>
      <c r="R34" s="779">
        <v>3.0244999999999997</v>
      </c>
      <c r="S34" s="649">
        <f t="shared" si="9"/>
        <v>5.7261813353368315E-2</v>
      </c>
      <c r="T34" s="649">
        <f t="shared" si="11"/>
        <v>0.74585854645677185</v>
      </c>
      <c r="V34" s="4" t="s">
        <v>943</v>
      </c>
      <c r="W34" s="4">
        <f>+S28/S27*100</f>
        <v>65.20566422235926</v>
      </c>
    </row>
    <row r="35" spans="1:23">
      <c r="A35" s="4">
        <v>12</v>
      </c>
      <c r="B35" s="942" t="s">
        <v>838</v>
      </c>
      <c r="C35" s="757">
        <v>1019.5</v>
      </c>
      <c r="D35" s="757">
        <v>201.9</v>
      </c>
      <c r="E35" s="757">
        <f t="shared" si="8"/>
        <v>817.6</v>
      </c>
      <c r="F35" s="757"/>
      <c r="G35" s="757"/>
      <c r="H35" s="1085">
        <f t="shared" si="7"/>
        <v>19.803825404610105</v>
      </c>
      <c r="I35" s="1089">
        <v>4</v>
      </c>
      <c r="J35" s="1089">
        <v>26</v>
      </c>
      <c r="K35" s="757">
        <f t="shared" si="10"/>
        <v>266</v>
      </c>
      <c r="L35" s="941">
        <f t="shared" si="5"/>
        <v>2.7324812030075187</v>
      </c>
      <c r="N35" s="4">
        <v>12</v>
      </c>
      <c r="O35" s="757" t="s">
        <v>838</v>
      </c>
      <c r="P35" s="945">
        <v>1.411788102568807</v>
      </c>
      <c r="Q35" s="779">
        <v>13.288</v>
      </c>
      <c r="R35" s="779">
        <v>26.91</v>
      </c>
      <c r="S35" s="649">
        <f t="shared" si="9"/>
        <v>0.18759840306934308</v>
      </c>
      <c r="T35" s="649">
        <f t="shared" si="11"/>
        <v>0.37991217840126595</v>
      </c>
      <c r="V35" s="4" t="s">
        <v>951</v>
      </c>
      <c r="W35" s="4">
        <f>+S31/S36*100</f>
        <v>88.292619262157729</v>
      </c>
    </row>
    <row r="36" spans="1:23">
      <c r="A36" s="4">
        <v>13</v>
      </c>
      <c r="B36" s="942" t="s">
        <v>839</v>
      </c>
      <c r="C36" s="757">
        <v>1069.5999999999999</v>
      </c>
      <c r="D36" s="757">
        <v>153.5</v>
      </c>
      <c r="E36" s="757">
        <f t="shared" si="8"/>
        <v>916.09999999999991</v>
      </c>
      <c r="F36" s="757"/>
      <c r="G36" s="757"/>
      <c r="H36" s="1085">
        <f t="shared" si="7"/>
        <v>14.351159311892298</v>
      </c>
      <c r="I36" s="1088">
        <v>0</v>
      </c>
      <c r="J36" s="1088">
        <v>23</v>
      </c>
      <c r="K36" s="757">
        <f t="shared" si="10"/>
        <v>23</v>
      </c>
      <c r="L36" s="941">
        <f t="shared" si="5"/>
        <v>24.026086956521738</v>
      </c>
      <c r="N36" s="4">
        <v>13</v>
      </c>
      <c r="O36" s="757" t="s">
        <v>839</v>
      </c>
      <c r="P36" s="945">
        <v>44.44826086956521</v>
      </c>
      <c r="Q36" s="779">
        <v>1.1004</v>
      </c>
      <c r="R36" s="779">
        <v>4.7395756332683812</v>
      </c>
      <c r="S36" s="649">
        <f t="shared" si="9"/>
        <v>0.48910866260869562</v>
      </c>
      <c r="T36" s="649">
        <f t="shared" si="11"/>
        <v>2.1066589415854775</v>
      </c>
      <c r="V36" s="4" t="s">
        <v>941</v>
      </c>
      <c r="W36" s="4">
        <f>+S32/S31*100</f>
        <v>3.2073508785758693</v>
      </c>
    </row>
    <row r="38" spans="1:23">
      <c r="C38" s="4" t="s">
        <v>867</v>
      </c>
      <c r="D38" s="4" t="s">
        <v>868</v>
      </c>
      <c r="E38" s="4" t="s">
        <v>1172</v>
      </c>
      <c r="F38" s="4" t="s">
        <v>1173</v>
      </c>
      <c r="G38" s="4" t="s">
        <v>1174</v>
      </c>
      <c r="H38" s="4" t="s">
        <v>310</v>
      </c>
      <c r="I38" s="4" t="s">
        <v>882</v>
      </c>
      <c r="J38" s="4" t="s">
        <v>865</v>
      </c>
      <c r="K38" s="4" t="s">
        <v>865</v>
      </c>
      <c r="L38" s="4" t="s">
        <v>866</v>
      </c>
      <c r="V38" s="4" t="s">
        <v>1119</v>
      </c>
      <c r="W38" s="4">
        <f>P35/(P33+P29)*100</f>
        <v>3.0784705516268702</v>
      </c>
    </row>
    <row r="39" spans="1:23">
      <c r="B39" s="757" t="s">
        <v>844</v>
      </c>
      <c r="C39" s="757"/>
      <c r="D39" s="757"/>
      <c r="E39" s="757"/>
      <c r="F39" s="757"/>
      <c r="G39" s="757"/>
      <c r="H39" s="940"/>
      <c r="I39" s="940"/>
      <c r="J39" s="940"/>
      <c r="K39" s="757">
        <f t="shared" ref="K39:K41" si="12">+I39*60+J39</f>
        <v>0</v>
      </c>
      <c r="L39" s="941" t="e">
        <f>+(D39/1000)/(K39/3600)</f>
        <v>#DIV/0!</v>
      </c>
      <c r="N39" s="4" t="s">
        <v>872</v>
      </c>
    </row>
    <row r="40" spans="1:23">
      <c r="B40" s="757" t="s">
        <v>845</v>
      </c>
      <c r="C40" s="757"/>
      <c r="D40" s="757"/>
      <c r="E40" s="757"/>
      <c r="F40" s="757"/>
      <c r="G40" s="757"/>
      <c r="H40" s="940"/>
      <c r="I40" s="940"/>
      <c r="J40" s="940"/>
      <c r="K40" s="757">
        <f t="shared" si="12"/>
        <v>0</v>
      </c>
      <c r="L40" s="941" t="e">
        <f>+(D40/1000)/(K40/3600)</f>
        <v>#DIV/0!</v>
      </c>
      <c r="O40" s="928"/>
      <c r="P40" s="928" t="s">
        <v>876</v>
      </c>
      <c r="Q40" s="928" t="s">
        <v>874</v>
      </c>
      <c r="R40" s="928" t="s">
        <v>873</v>
      </c>
    </row>
    <row r="41" spans="1:23">
      <c r="B41" s="757" t="s">
        <v>846</v>
      </c>
      <c r="C41" s="757"/>
      <c r="D41" s="757"/>
      <c r="E41" s="757"/>
      <c r="F41" s="757"/>
      <c r="G41" s="757"/>
      <c r="H41" s="940"/>
      <c r="I41" s="940"/>
      <c r="J41" s="940"/>
      <c r="K41" s="757">
        <f t="shared" si="12"/>
        <v>0</v>
      </c>
      <c r="L41" s="941" t="e">
        <f>+(D41/1000)/(K41/3600)</f>
        <v>#DIV/0!</v>
      </c>
      <c r="N41" s="4">
        <v>1</v>
      </c>
      <c r="O41" s="757" t="s">
        <v>844</v>
      </c>
      <c r="P41" s="928" t="e">
        <f>+(P6-P24)/P6*100</f>
        <v>#DIV/0!</v>
      </c>
      <c r="Q41" s="928" t="e">
        <f t="shared" ref="Q41:R41" si="13">+(Q6-Q24)/Q6*100</f>
        <v>#DIV/0!</v>
      </c>
      <c r="R41" s="928" t="e">
        <f t="shared" si="13"/>
        <v>#DIV/0!</v>
      </c>
    </row>
    <row r="42" spans="1:23">
      <c r="B42" s="757" t="s">
        <v>830</v>
      </c>
      <c r="C42" s="757">
        <v>1231.2</v>
      </c>
      <c r="D42" s="757">
        <v>210.6</v>
      </c>
      <c r="E42" s="941">
        <f>(K42/3600)*M42*1000</f>
        <v>156.44725871143692</v>
      </c>
      <c r="F42" s="941">
        <f>E42+E27</f>
        <v>1177.0472587114368</v>
      </c>
      <c r="G42" s="1163">
        <f>(E42/F42)*100</f>
        <v>13.291501896254049</v>
      </c>
      <c r="H42" s="1085">
        <f t="shared" ref="H42:H51" si="14">+D42/C42*100</f>
        <v>17.105263157894733</v>
      </c>
      <c r="I42" s="1087">
        <v>0</v>
      </c>
      <c r="J42" s="1087">
        <v>31</v>
      </c>
      <c r="K42" s="757">
        <f>+I42*60+J42</f>
        <v>31</v>
      </c>
      <c r="L42" s="941">
        <f>+(E42/1000)/(K42/3600)</f>
        <v>18.168068753586223</v>
      </c>
      <c r="M42" s="110">
        <v>18.168068753586223</v>
      </c>
      <c r="N42" s="4">
        <v>2</v>
      </c>
      <c r="O42" s="757" t="s">
        <v>845</v>
      </c>
      <c r="P42" s="928" t="e">
        <f t="shared" ref="P42:R43" si="15">+(P7-P25)/P7*100</f>
        <v>#DIV/0!</v>
      </c>
      <c r="Q42" s="928" t="e">
        <f t="shared" si="15"/>
        <v>#DIV/0!</v>
      </c>
      <c r="R42" s="928" t="e">
        <f t="shared" si="15"/>
        <v>#DIV/0!</v>
      </c>
    </row>
    <row r="43" spans="1:23">
      <c r="B43" s="757" t="s">
        <v>831</v>
      </c>
      <c r="C43" s="757">
        <v>2339.1999999999998</v>
      </c>
      <c r="D43" s="757">
        <v>668.6</v>
      </c>
      <c r="E43" s="941">
        <f t="shared" ref="E43:E51" si="16">(K43*M43*1000)/3600</f>
        <v>18959.46557563774</v>
      </c>
      <c r="F43" s="941">
        <f t="shared" ref="F43:F51" si="17">E43+E28</f>
        <v>20630.065575637738</v>
      </c>
      <c r="G43" s="1164">
        <f t="shared" ref="G43:G51" si="18">(E43/F43)*100</f>
        <v>91.90211008358196</v>
      </c>
      <c r="H43" s="1085">
        <f t="shared" si="14"/>
        <v>28.582421340629278</v>
      </c>
      <c r="I43" s="1088">
        <v>22</v>
      </c>
      <c r="J43" s="1088">
        <v>9</v>
      </c>
      <c r="K43" s="757">
        <f>+I43*60+J43</f>
        <v>1329</v>
      </c>
      <c r="L43" s="941">
        <f t="shared" ref="L43:L51" si="19">+(E43/1000)/(K43/3600)</f>
        <v>51.357468827912619</v>
      </c>
      <c r="M43" s="110">
        <v>51.357468827912619</v>
      </c>
      <c r="N43" s="4">
        <v>3</v>
      </c>
      <c r="O43" s="757" t="s">
        <v>846</v>
      </c>
      <c r="P43" s="928" t="e">
        <f t="shared" si="15"/>
        <v>#DIV/0!</v>
      </c>
      <c r="Q43" s="928" t="e">
        <f t="shared" si="15"/>
        <v>#DIV/0!</v>
      </c>
      <c r="R43" s="928" t="e">
        <f t="shared" si="15"/>
        <v>#DIV/0!</v>
      </c>
    </row>
    <row r="44" spans="1:23">
      <c r="B44" s="757" t="s">
        <v>832</v>
      </c>
      <c r="C44" s="757">
        <v>1120.0999999999999</v>
      </c>
      <c r="D44" s="757">
        <v>133.4</v>
      </c>
      <c r="E44" s="941">
        <f t="shared" si="16"/>
        <v>251.22180666943686</v>
      </c>
      <c r="F44" s="941">
        <f t="shared" si="17"/>
        <v>1237.9218066694368</v>
      </c>
      <c r="G44" s="1163">
        <f t="shared" si="18"/>
        <v>20.293834821872622</v>
      </c>
      <c r="H44" s="1085">
        <f t="shared" si="14"/>
        <v>11.909650924024643</v>
      </c>
      <c r="I44" s="1088">
        <v>0</v>
      </c>
      <c r="J44" s="1088">
        <v>25</v>
      </c>
      <c r="K44" s="757">
        <f t="shared" ref="K44:K51" si="20">+I44*60+J44</f>
        <v>25</v>
      </c>
      <c r="L44" s="941">
        <f t="shared" si="19"/>
        <v>36.175940160398909</v>
      </c>
      <c r="M44" s="110">
        <v>36.175940160398909</v>
      </c>
      <c r="N44" s="4">
        <v>4</v>
      </c>
      <c r="O44" s="757" t="s">
        <v>830</v>
      </c>
      <c r="P44" s="948">
        <f>ABS((P9-P27)/P9*100)</f>
        <v>18.168068753586223</v>
      </c>
      <c r="Q44" s="948">
        <f>ABS((Q9-Q27)/Q9*100)</f>
        <v>9.9472663119324256</v>
      </c>
      <c r="R44" s="948">
        <f>ABS((R9-R27)/R9*100)</f>
        <v>15</v>
      </c>
      <c r="T44" s="4" t="s">
        <v>1087</v>
      </c>
    </row>
    <row r="45" spans="1:23">
      <c r="B45" s="757" t="s">
        <v>833</v>
      </c>
      <c r="C45" s="757">
        <v>1097</v>
      </c>
      <c r="D45" s="757">
        <v>170.9</v>
      </c>
      <c r="E45" s="941">
        <f t="shared" si="16"/>
        <v>11.186769197086283</v>
      </c>
      <c r="F45" s="941">
        <f t="shared" si="17"/>
        <v>937.2867691970863</v>
      </c>
      <c r="G45" s="1163">
        <f t="shared" si="18"/>
        <v>1.1935268441556337</v>
      </c>
      <c r="H45" s="1085">
        <f t="shared" si="14"/>
        <v>15.578851412944395</v>
      </c>
      <c r="I45" s="1088">
        <v>0</v>
      </c>
      <c r="J45" s="1088">
        <v>13</v>
      </c>
      <c r="K45" s="757">
        <f t="shared" si="20"/>
        <v>13</v>
      </c>
      <c r="L45" s="941">
        <f t="shared" si="19"/>
        <v>3.0978745468854325</v>
      </c>
      <c r="M45" s="110">
        <v>3.0978745468854321</v>
      </c>
      <c r="N45" s="4">
        <v>5</v>
      </c>
      <c r="O45" s="757" t="s">
        <v>831</v>
      </c>
      <c r="P45" s="948">
        <f t="shared" ref="P45:R53" si="21">ABS((P10-P28)/P10*100)</f>
        <v>51.357468827912619</v>
      </c>
      <c r="Q45" s="948">
        <f t="shared" si="21"/>
        <v>7.5452863606109659</v>
      </c>
      <c r="R45" s="948">
        <f t="shared" si="21"/>
        <v>15.000000000000011</v>
      </c>
      <c r="T45" s="4" t="s">
        <v>1088</v>
      </c>
    </row>
    <row r="46" spans="1:23">
      <c r="B46" s="757" t="s">
        <v>834</v>
      </c>
      <c r="C46" s="757">
        <v>1089.5999999999999</v>
      </c>
      <c r="D46" s="757">
        <v>104.8</v>
      </c>
      <c r="E46" s="941">
        <f t="shared" si="16"/>
        <v>88.864638500629326</v>
      </c>
      <c r="F46" s="941">
        <f t="shared" si="17"/>
        <v>1073.6646385006293</v>
      </c>
      <c r="G46" s="1163">
        <f t="shared" si="18"/>
        <v>8.2767593635875567</v>
      </c>
      <c r="H46" s="1085">
        <f t="shared" si="14"/>
        <v>9.6182085168869325</v>
      </c>
      <c r="I46" s="1088">
        <v>0</v>
      </c>
      <c r="J46" s="1088">
        <v>15</v>
      </c>
      <c r="K46" s="757">
        <f t="shared" si="20"/>
        <v>15</v>
      </c>
      <c r="L46" s="941">
        <f t="shared" si="19"/>
        <v>21.327513240151038</v>
      </c>
      <c r="M46" s="110">
        <v>21.327513240151038</v>
      </c>
      <c r="N46" s="4">
        <v>6</v>
      </c>
      <c r="O46" s="757" t="s">
        <v>832</v>
      </c>
      <c r="P46" s="948">
        <f t="shared" si="21"/>
        <v>36.175940160398909</v>
      </c>
      <c r="Q46" s="948">
        <f t="shared" si="21"/>
        <v>15</v>
      </c>
      <c r="R46" s="948">
        <f t="shared" si="21"/>
        <v>4.8979017790139627</v>
      </c>
      <c r="T46" s="4" t="s">
        <v>1089</v>
      </c>
    </row>
    <row r="47" spans="1:23">
      <c r="B47" s="757" t="s">
        <v>835</v>
      </c>
      <c r="C47" s="757">
        <v>2177.3000000000002</v>
      </c>
      <c r="D47" s="757">
        <v>463.3</v>
      </c>
      <c r="E47" s="941">
        <f t="shared" si="16"/>
        <v>68283.333333333328</v>
      </c>
      <c r="F47" s="941">
        <f t="shared" si="17"/>
        <v>69997.333333333328</v>
      </c>
      <c r="G47" s="1164">
        <f t="shared" si="18"/>
        <v>97.551335288963386</v>
      </c>
      <c r="H47" s="1085">
        <f t="shared" si="14"/>
        <v>21.2786478666238</v>
      </c>
      <c r="I47" s="1088">
        <v>48</v>
      </c>
      <c r="J47" s="1088">
        <v>12</v>
      </c>
      <c r="K47" s="757">
        <f t="shared" si="20"/>
        <v>2892</v>
      </c>
      <c r="L47" s="941">
        <f t="shared" si="19"/>
        <v>85</v>
      </c>
      <c r="M47" s="110">
        <v>85</v>
      </c>
      <c r="N47" s="4">
        <v>7</v>
      </c>
      <c r="O47" s="757" t="s">
        <v>833</v>
      </c>
      <c r="P47" s="948">
        <f t="shared" si="21"/>
        <v>3.0978745468854321</v>
      </c>
      <c r="Q47" s="948">
        <f t="shared" si="21"/>
        <v>30.000000000000004</v>
      </c>
      <c r="R47" s="948">
        <f t="shared" si="21"/>
        <v>40.382477659060172</v>
      </c>
      <c r="T47" s="757" t="s">
        <v>1090</v>
      </c>
    </row>
    <row r="48" spans="1:23">
      <c r="B48" s="757" t="s">
        <v>836</v>
      </c>
      <c r="C48" s="757">
        <v>1076.2</v>
      </c>
      <c r="D48" s="757">
        <v>94.1</v>
      </c>
      <c r="E48" s="941">
        <f t="shared" si="16"/>
        <v>55.405629777276836</v>
      </c>
      <c r="F48" s="941">
        <f t="shared" si="17"/>
        <v>1037.5056297772769</v>
      </c>
      <c r="G48" s="1163">
        <f t="shared" si="18"/>
        <v>5.3402726874041981</v>
      </c>
      <c r="H48" s="1085">
        <f t="shared" si="14"/>
        <v>8.7437279316112235</v>
      </c>
      <c r="I48" s="1088">
        <v>0</v>
      </c>
      <c r="J48" s="1088">
        <v>19</v>
      </c>
      <c r="K48" s="757">
        <f t="shared" si="20"/>
        <v>19</v>
      </c>
      <c r="L48" s="941">
        <f t="shared" si="19"/>
        <v>10.497908799905085</v>
      </c>
      <c r="M48" s="110">
        <v>10.497908799905085</v>
      </c>
      <c r="N48" s="4">
        <v>8</v>
      </c>
      <c r="O48" s="757" t="s">
        <v>834</v>
      </c>
      <c r="P48" s="948">
        <f t="shared" si="21"/>
        <v>21.327513240151038</v>
      </c>
      <c r="Q48" s="948">
        <f t="shared" si="21"/>
        <v>9.9999999999999947</v>
      </c>
      <c r="R48" s="948">
        <f t="shared" si="21"/>
        <v>15.000000000000002</v>
      </c>
      <c r="T48" s="757" t="s">
        <v>1091</v>
      </c>
    </row>
    <row r="49" spans="2:20">
      <c r="B49" s="757" t="s">
        <v>837</v>
      </c>
      <c r="C49" s="757">
        <v>1132.5</v>
      </c>
      <c r="D49" s="757">
        <v>140.30000000000001</v>
      </c>
      <c r="E49" s="941">
        <f t="shared" si="16"/>
        <v>623.38220852172572</v>
      </c>
      <c r="F49" s="941">
        <f t="shared" si="17"/>
        <v>1615.5822085217258</v>
      </c>
      <c r="G49" s="1163">
        <f t="shared" si="18"/>
        <v>38.585607419638947</v>
      </c>
      <c r="H49" s="1085">
        <f t="shared" si="14"/>
        <v>12.388520971302428</v>
      </c>
      <c r="I49" s="1088">
        <v>0</v>
      </c>
      <c r="J49" s="1088">
        <v>34</v>
      </c>
      <c r="K49" s="757">
        <f t="shared" si="20"/>
        <v>34</v>
      </c>
      <c r="L49" s="941">
        <f t="shared" si="19"/>
        <v>66.00517501994743</v>
      </c>
      <c r="M49" s="110">
        <v>66.00517501994743</v>
      </c>
      <c r="N49" s="4">
        <v>9</v>
      </c>
      <c r="O49" s="757" t="s">
        <v>835</v>
      </c>
      <c r="P49" s="948">
        <f t="shared" si="21"/>
        <v>85</v>
      </c>
      <c r="Q49" s="948">
        <f t="shared" si="21"/>
        <v>10</v>
      </c>
      <c r="R49" s="948">
        <f t="shared" si="21"/>
        <v>15.000000149999988</v>
      </c>
      <c r="T49" s="757" t="s">
        <v>1092</v>
      </c>
    </row>
    <row r="50" spans="2:20">
      <c r="B50" s="942" t="s">
        <v>838</v>
      </c>
      <c r="C50" s="757">
        <v>1019.5</v>
      </c>
      <c r="D50" s="757">
        <v>201.9</v>
      </c>
      <c r="E50" s="941">
        <f t="shared" si="16"/>
        <v>3571.2796723809565</v>
      </c>
      <c r="F50" s="941">
        <f t="shared" si="17"/>
        <v>4388.8796723809564</v>
      </c>
      <c r="G50" s="1164">
        <f t="shared" si="18"/>
        <v>81.37110012049034</v>
      </c>
      <c r="H50" s="1085">
        <f t="shared" si="14"/>
        <v>19.803825404610105</v>
      </c>
      <c r="I50" s="1089">
        <v>4</v>
      </c>
      <c r="J50" s="1089">
        <v>26</v>
      </c>
      <c r="K50" s="757">
        <f t="shared" si="20"/>
        <v>266</v>
      </c>
      <c r="L50" s="941">
        <f t="shared" si="19"/>
        <v>48.333108348012942</v>
      </c>
      <c r="M50" s="110">
        <v>48.333108348012949</v>
      </c>
      <c r="N50" s="4">
        <v>10</v>
      </c>
      <c r="O50" s="757" t="s">
        <v>836</v>
      </c>
      <c r="P50" s="948">
        <f t="shared" si="21"/>
        <v>10.497908799905085</v>
      </c>
      <c r="Q50" s="948">
        <f t="shared" si="21"/>
        <v>16.832509495002128</v>
      </c>
      <c r="R50" s="948">
        <f t="shared" si="21"/>
        <v>1.6776129370153232</v>
      </c>
      <c r="T50" s="757" t="s">
        <v>1093</v>
      </c>
    </row>
    <row r="51" spans="2:20">
      <c r="B51" s="942" t="s">
        <v>839</v>
      </c>
      <c r="C51" s="757">
        <v>1069.5999999999999</v>
      </c>
      <c r="D51" s="757">
        <v>153.5</v>
      </c>
      <c r="E51" s="941">
        <f t="shared" si="16"/>
        <v>543.05555555555554</v>
      </c>
      <c r="F51" s="941">
        <f t="shared" si="17"/>
        <v>1459.1555555555556</v>
      </c>
      <c r="G51" s="1163">
        <f t="shared" si="18"/>
        <v>37.217111875970879</v>
      </c>
      <c r="H51" s="1085">
        <f t="shared" si="14"/>
        <v>14.351159311892298</v>
      </c>
      <c r="I51" s="1088">
        <v>0</v>
      </c>
      <c r="J51" s="1088">
        <v>23</v>
      </c>
      <c r="K51" s="757">
        <f t="shared" si="20"/>
        <v>23</v>
      </c>
      <c r="L51" s="941">
        <f t="shared" si="19"/>
        <v>84.999999999999986</v>
      </c>
      <c r="M51" s="110">
        <v>84.999999999999986</v>
      </c>
      <c r="N51" s="4">
        <v>11</v>
      </c>
      <c r="O51" s="757" t="s">
        <v>837</v>
      </c>
      <c r="P51" s="948">
        <f t="shared" si="21"/>
        <v>66.00517501994743</v>
      </c>
      <c r="Q51" s="948">
        <f t="shared" si="21"/>
        <v>9.9999999999999947</v>
      </c>
      <c r="R51" s="948">
        <f t="shared" si="21"/>
        <v>14.999999999999995</v>
      </c>
      <c r="T51" s="757" t="s">
        <v>980</v>
      </c>
    </row>
    <row r="52" spans="2:20">
      <c r="E52" s="941"/>
      <c r="F52" s="133"/>
      <c r="G52" s="133"/>
      <c r="N52" s="4">
        <v>12</v>
      </c>
      <c r="O52" s="757" t="s">
        <v>838</v>
      </c>
      <c r="P52" s="948">
        <f t="shared" si="21"/>
        <v>48.333108348012949</v>
      </c>
      <c r="Q52" s="948">
        <f t="shared" si="21"/>
        <v>10.000000000000002</v>
      </c>
      <c r="R52" s="948">
        <f t="shared" si="21"/>
        <v>15.000000000000007</v>
      </c>
      <c r="T52" s="757" t="s">
        <v>1094</v>
      </c>
    </row>
    <row r="53" spans="2:20">
      <c r="E53" s="941"/>
      <c r="F53" s="133"/>
      <c r="G53" s="133"/>
      <c r="N53" s="4">
        <v>13</v>
      </c>
      <c r="O53" s="757" t="s">
        <v>839</v>
      </c>
      <c r="P53" s="948">
        <f t="shared" si="21"/>
        <v>84.999999999999986</v>
      </c>
      <c r="Q53" s="948">
        <f t="shared" si="21"/>
        <v>20</v>
      </c>
      <c r="R53" s="948">
        <f t="shared" si="21"/>
        <v>6.8845651617213885</v>
      </c>
      <c r="T53" s="757" t="s">
        <v>1095</v>
      </c>
    </row>
    <row r="56" spans="2:20">
      <c r="N56" s="4" t="s">
        <v>877</v>
      </c>
    </row>
    <row r="57" spans="2:20">
      <c r="O57" s="928"/>
      <c r="P57" s="928" t="s">
        <v>876</v>
      </c>
      <c r="Q57" s="928" t="s">
        <v>874</v>
      </c>
      <c r="R57" s="928" t="s">
        <v>873</v>
      </c>
    </row>
    <row r="58" spans="2:20">
      <c r="N58" s="127">
        <v>1</v>
      </c>
      <c r="O58" s="952" t="s">
        <v>844</v>
      </c>
      <c r="P58" s="953">
        <v>30</v>
      </c>
      <c r="Q58" s="953">
        <v>5</v>
      </c>
      <c r="R58" s="953">
        <v>10</v>
      </c>
    </row>
    <row r="59" spans="2:20">
      <c r="N59" s="127">
        <v>2</v>
      </c>
      <c r="O59" s="952" t="s">
        <v>845</v>
      </c>
      <c r="P59" s="953">
        <v>30</v>
      </c>
      <c r="Q59" s="953">
        <v>5</v>
      </c>
      <c r="R59" s="953">
        <v>10</v>
      </c>
    </row>
    <row r="60" spans="2:20">
      <c r="N60" s="127">
        <v>3</v>
      </c>
      <c r="O60" s="954" t="s">
        <v>846</v>
      </c>
      <c r="P60" s="953">
        <v>30</v>
      </c>
      <c r="Q60" s="953">
        <v>5</v>
      </c>
      <c r="R60" s="953">
        <v>10</v>
      </c>
    </row>
    <row r="61" spans="2:20">
      <c r="N61" s="4">
        <v>4</v>
      </c>
      <c r="O61" s="757" t="s">
        <v>830</v>
      </c>
      <c r="P61" s="928">
        <v>70</v>
      </c>
      <c r="Q61" s="928">
        <v>10</v>
      </c>
      <c r="R61" s="928">
        <v>15</v>
      </c>
    </row>
    <row r="62" spans="2:20">
      <c r="C62" s="1065" t="s">
        <v>945</v>
      </c>
      <c r="D62" s="1066" t="s">
        <v>949</v>
      </c>
      <c r="E62" s="1066"/>
      <c r="F62" s="1066"/>
      <c r="G62" s="1066"/>
      <c r="H62" s="1066" t="s">
        <v>950</v>
      </c>
      <c r="I62" s="1065" t="s">
        <v>947</v>
      </c>
      <c r="N62" s="4">
        <v>5</v>
      </c>
      <c r="O62" s="944" t="s">
        <v>831</v>
      </c>
      <c r="P62" s="928">
        <v>70</v>
      </c>
      <c r="Q62" s="928">
        <v>10</v>
      </c>
      <c r="R62" s="928">
        <v>15</v>
      </c>
    </row>
    <row r="63" spans="2:20">
      <c r="B63" s="1065" t="s">
        <v>942</v>
      </c>
      <c r="C63" s="649">
        <f>(L28/1000)/(PI()*(4*0.0254/2)^2)</f>
        <v>0.22339147455869254</v>
      </c>
      <c r="D63" s="649">
        <f>((L27/(H27*0.01))-L27)+L27/4.2</f>
        <v>124.34433179723504</v>
      </c>
      <c r="E63" s="649"/>
      <c r="F63" s="649"/>
      <c r="G63" s="649"/>
      <c r="H63" s="649">
        <f>((L29/(H29*0.01))-L29)+L29/4.2</f>
        <v>146.65851428571432</v>
      </c>
      <c r="I63" s="649">
        <f>((H63-D63)*1000/3600)/(PI()*(4*2.54/2)^2)</f>
        <v>7.6454170802076823E-2</v>
      </c>
      <c r="N63" s="4">
        <v>6</v>
      </c>
      <c r="O63" s="757" t="s">
        <v>832</v>
      </c>
      <c r="P63" s="928">
        <v>70</v>
      </c>
      <c r="Q63" s="928">
        <v>15</v>
      </c>
      <c r="R63" s="928">
        <v>15</v>
      </c>
    </row>
    <row r="64" spans="2:20">
      <c r="B64" s="1065" t="s">
        <v>946</v>
      </c>
      <c r="C64" s="649">
        <f>(L32/1000)/(PI()*(3*0.0254/2)^2)</f>
        <v>0.12646393420967916</v>
      </c>
      <c r="D64" s="649">
        <f>((L31/(H31*0.01))-L31)+L31/4.2</f>
        <v>242.34057142857139</v>
      </c>
      <c r="E64" s="649"/>
      <c r="F64" s="649"/>
      <c r="G64" s="649"/>
      <c r="H64" s="649">
        <f>((L33/(H33*0.01))-L33)+L33/4.2</f>
        <v>190.32721804511277</v>
      </c>
      <c r="I64" s="649">
        <f>((H64-D64)*1000/3600)/(PI()*(3*2.54/2)^2)</f>
        <v>-0.31681995614689124</v>
      </c>
      <c r="N64" s="949">
        <v>7</v>
      </c>
      <c r="O64" s="950" t="s">
        <v>833</v>
      </c>
      <c r="P64" s="951">
        <v>85</v>
      </c>
      <c r="Q64" s="951">
        <v>30</v>
      </c>
      <c r="R64" s="951">
        <v>30</v>
      </c>
    </row>
    <row r="65" spans="14:18">
      <c r="N65" s="4">
        <v>8</v>
      </c>
      <c r="O65" s="757" t="s">
        <v>834</v>
      </c>
      <c r="P65" s="928">
        <v>70</v>
      </c>
      <c r="Q65" s="928">
        <v>10</v>
      </c>
      <c r="R65" s="928">
        <v>15</v>
      </c>
    </row>
    <row r="66" spans="14:18">
      <c r="N66" s="4">
        <v>9</v>
      </c>
      <c r="O66" s="944" t="s">
        <v>835</v>
      </c>
      <c r="P66" s="928">
        <v>85</v>
      </c>
      <c r="Q66" s="928">
        <v>10</v>
      </c>
      <c r="R66" s="928">
        <v>15</v>
      </c>
    </row>
    <row r="67" spans="14:18">
      <c r="N67" s="949">
        <v>10</v>
      </c>
      <c r="O67" s="950" t="s">
        <v>836</v>
      </c>
      <c r="P67" s="951">
        <v>85</v>
      </c>
      <c r="Q67" s="951">
        <v>20</v>
      </c>
      <c r="R67" s="951">
        <v>30</v>
      </c>
    </row>
    <row r="68" spans="14:18">
      <c r="N68" s="4">
        <v>11</v>
      </c>
      <c r="O68" s="943" t="s">
        <v>837</v>
      </c>
      <c r="P68" s="928">
        <v>70</v>
      </c>
      <c r="Q68" s="928">
        <v>10</v>
      </c>
      <c r="R68" s="928">
        <v>15</v>
      </c>
    </row>
    <row r="69" spans="14:18">
      <c r="N69" s="4">
        <v>12</v>
      </c>
      <c r="O69" s="944" t="s">
        <v>838</v>
      </c>
      <c r="P69" s="928">
        <v>70</v>
      </c>
      <c r="Q69" s="928">
        <v>10</v>
      </c>
      <c r="R69" s="928">
        <v>15</v>
      </c>
    </row>
    <row r="70" spans="14:18">
      <c r="N70" s="949">
        <v>13</v>
      </c>
      <c r="O70" s="950" t="s">
        <v>839</v>
      </c>
      <c r="P70" s="951">
        <v>85</v>
      </c>
      <c r="Q70" s="951">
        <v>20</v>
      </c>
      <c r="R70" s="951">
        <v>30</v>
      </c>
    </row>
    <row r="72" spans="14:18">
      <c r="O72" s="935" t="s">
        <v>879</v>
      </c>
    </row>
    <row r="73" spans="14:18">
      <c r="O73" s="104" t="s">
        <v>878</v>
      </c>
    </row>
  </sheetData>
  <mergeCells count="2">
    <mergeCell ref="O22:T22"/>
    <mergeCell ref="O4:T4"/>
  </mergeCells>
  <phoneticPr fontId="4" type="noConversion"/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58516-7BA2-45B6-BFA2-F6F12570EDB1}">
  <dimension ref="A2:J52"/>
  <sheetViews>
    <sheetView workbookViewId="0"/>
  </sheetViews>
  <sheetFormatPr baseColWidth="10" defaultRowHeight="14.5"/>
  <cols>
    <col min="2" max="2" width="20.7265625" bestFit="1" customWidth="1"/>
    <col min="4" max="4" width="13.26953125" customWidth="1"/>
    <col min="5" max="5" width="20.26953125" customWidth="1"/>
  </cols>
  <sheetData>
    <row r="2" spans="1:10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 ht="18.5">
      <c r="A7" s="4"/>
      <c r="B7" s="4"/>
      <c r="C7" s="4"/>
      <c r="D7" s="4"/>
      <c r="E7" s="210" t="s">
        <v>7</v>
      </c>
      <c r="F7" s="4"/>
      <c r="G7" s="4"/>
      <c r="H7" s="4"/>
      <c r="I7" s="4"/>
      <c r="J7" s="4"/>
    </row>
    <row r="8" spans="1:10" ht="18.5">
      <c r="A8" s="4"/>
      <c r="B8" s="4"/>
      <c r="C8" s="4"/>
      <c r="D8" s="4"/>
      <c r="E8" s="210"/>
      <c r="F8" s="4"/>
      <c r="G8" s="4"/>
      <c r="H8" s="4"/>
      <c r="I8" s="4"/>
      <c r="J8" s="4"/>
    </row>
    <row r="9" spans="1:10" ht="18.5">
      <c r="A9" s="4"/>
      <c r="B9" s="4"/>
      <c r="C9" s="4"/>
      <c r="D9" s="4"/>
      <c r="E9" s="210" t="s">
        <v>1200</v>
      </c>
      <c r="F9" s="4"/>
      <c r="G9" s="4"/>
      <c r="H9" s="4"/>
      <c r="I9" s="4"/>
      <c r="J9" s="4"/>
    </row>
    <row r="10" spans="1:10" ht="18.5">
      <c r="A10" s="4"/>
      <c r="B10" s="4"/>
      <c r="C10" s="4"/>
      <c r="D10" s="4"/>
      <c r="E10" s="210"/>
      <c r="F10" s="4"/>
      <c r="G10" s="4"/>
      <c r="H10" s="4"/>
      <c r="I10" s="4"/>
      <c r="J10" s="4"/>
    </row>
    <row r="11" spans="1:10" ht="18.5">
      <c r="A11" s="4"/>
      <c r="B11" s="4"/>
      <c r="C11" s="4"/>
      <c r="D11" s="4"/>
      <c r="E11" s="210"/>
      <c r="F11" s="4"/>
      <c r="G11" s="4"/>
      <c r="H11" s="4"/>
      <c r="I11" s="4"/>
      <c r="J11" s="4"/>
    </row>
    <row r="12" spans="1:10" ht="18.5">
      <c r="A12" s="4"/>
      <c r="B12" s="4"/>
      <c r="C12" s="4"/>
      <c r="D12" s="4"/>
      <c r="E12" s="211" t="s">
        <v>5</v>
      </c>
      <c r="F12" s="4"/>
      <c r="G12" s="4"/>
      <c r="H12" s="4"/>
      <c r="I12" s="4"/>
      <c r="J12" s="4"/>
    </row>
    <row r="13" spans="1:10" ht="18.5">
      <c r="A13" s="4"/>
      <c r="B13" s="4"/>
      <c r="C13" s="4"/>
      <c r="D13" s="4"/>
      <c r="E13" s="210" t="s">
        <v>1201</v>
      </c>
      <c r="F13" s="4"/>
      <c r="G13" s="4"/>
      <c r="H13" s="4"/>
      <c r="I13" s="4"/>
      <c r="J13" s="4"/>
    </row>
    <row r="14" spans="1:10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291" t="s">
        <v>784</v>
      </c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212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212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212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291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291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212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213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212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212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291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291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291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291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291"/>
      <c r="D31" s="4"/>
      <c r="E31" s="214"/>
      <c r="F31" s="214"/>
      <c r="G31" s="214"/>
      <c r="H31" s="4"/>
      <c r="I31" s="4"/>
      <c r="J31" s="4"/>
    </row>
    <row r="32" spans="1:10">
      <c r="A32" s="4"/>
      <c r="B32" s="4"/>
      <c r="C32" s="291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291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291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291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291"/>
      <c r="D36" s="4"/>
      <c r="E36" s="4"/>
      <c r="F36" s="4"/>
      <c r="G36" s="4"/>
      <c r="H36" s="4"/>
      <c r="I36" s="4"/>
      <c r="J36" s="4"/>
    </row>
    <row r="37" spans="1:10" ht="18.5">
      <c r="A37" s="4"/>
      <c r="B37" s="4"/>
      <c r="C37" s="291"/>
      <c r="D37" s="4"/>
      <c r="E37" s="4"/>
      <c r="F37" s="210"/>
      <c r="G37" s="4"/>
      <c r="H37" s="4"/>
      <c r="I37" s="4"/>
      <c r="J37" s="4"/>
    </row>
    <row r="38" spans="1:10">
      <c r="A38" s="4"/>
      <c r="B38" s="4"/>
      <c r="C38" s="291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291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291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291"/>
      <c r="D41" s="4"/>
      <c r="E41" s="4"/>
      <c r="F41" s="4"/>
      <c r="G41" s="4"/>
      <c r="H41" s="4"/>
      <c r="I41" s="4"/>
      <c r="J41" s="4"/>
    </row>
    <row r="42" spans="1:10">
      <c r="A42" s="4"/>
      <c r="B42" s="215"/>
      <c r="D42" s="4"/>
      <c r="E42" s="4"/>
      <c r="F42" s="4"/>
      <c r="G42" s="4"/>
      <c r="H42" s="4"/>
      <c r="I42" s="4"/>
      <c r="J42" s="4"/>
    </row>
    <row r="43" spans="1:10">
      <c r="A43" s="4"/>
      <c r="B43" s="215"/>
      <c r="C43" s="4"/>
      <c r="D43" s="4"/>
      <c r="E43" s="4"/>
      <c r="F43" s="4"/>
      <c r="G43" s="4"/>
      <c r="H43" s="4"/>
      <c r="I43" s="4"/>
      <c r="J43" s="4"/>
    </row>
    <row r="44" spans="1:10">
      <c r="A44" s="4"/>
      <c r="B44" s="214"/>
      <c r="C44" s="4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216" t="s">
        <v>6</v>
      </c>
      <c r="D45" s="217" t="s">
        <v>9</v>
      </c>
      <c r="E45" s="217" t="s">
        <v>10</v>
      </c>
      <c r="F45" s="217" t="s">
        <v>8</v>
      </c>
      <c r="G45" s="4"/>
      <c r="H45" s="4"/>
      <c r="I45" s="4"/>
      <c r="J45" s="4"/>
    </row>
    <row r="46" spans="1:10">
      <c r="A46" s="4"/>
      <c r="B46" s="4"/>
      <c r="C46" s="218"/>
      <c r="D46" s="219"/>
      <c r="E46" s="219"/>
      <c r="F46" s="219"/>
      <c r="G46" s="4"/>
      <c r="H46" s="4"/>
      <c r="I46" s="4"/>
      <c r="J46" s="4"/>
    </row>
    <row r="47" spans="1:10">
      <c r="A47" s="4"/>
      <c r="B47" s="4"/>
      <c r="C47" s="218"/>
      <c r="D47" s="219"/>
      <c r="E47" s="219"/>
      <c r="F47" s="219"/>
      <c r="G47" s="4"/>
      <c r="H47" s="4"/>
      <c r="I47" s="4"/>
      <c r="J47" s="4"/>
    </row>
    <row r="48" spans="1:10">
      <c r="A48" s="4"/>
      <c r="B48" s="4"/>
      <c r="C48" s="218"/>
      <c r="D48" s="219"/>
      <c r="E48" s="219"/>
      <c r="F48" s="219"/>
      <c r="G48" s="4"/>
      <c r="H48" s="4"/>
      <c r="I48" s="4"/>
      <c r="J48" s="4"/>
    </row>
    <row r="49" spans="1:10">
      <c r="A49" s="4"/>
      <c r="B49" s="4"/>
      <c r="C49" s="218"/>
      <c r="D49" s="219"/>
      <c r="E49" s="219"/>
      <c r="F49" s="219"/>
      <c r="G49" s="4"/>
      <c r="H49" s="4"/>
      <c r="I49" s="4"/>
      <c r="J49" s="4"/>
    </row>
    <row r="50" spans="1:10">
      <c r="A50" s="4"/>
      <c r="B50" s="4"/>
      <c r="C50" s="218"/>
      <c r="D50" s="219"/>
      <c r="E50" s="219"/>
      <c r="F50" s="219"/>
      <c r="G50" s="4"/>
      <c r="H50" s="4"/>
      <c r="I50" s="4"/>
      <c r="J50" s="4"/>
    </row>
    <row r="51" spans="1:10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4"/>
      <c r="D52" s="4"/>
      <c r="E52" s="4"/>
      <c r="F52" s="4"/>
      <c r="G52" s="4"/>
      <c r="H52" s="4"/>
      <c r="I52" s="4"/>
      <c r="J52" s="4"/>
    </row>
  </sheetData>
  <phoneticPr fontId="4" type="noConversion"/>
  <hyperlinks>
    <hyperlink ref="C17" location="'21. QAQC Test Dilución'!A1" display="21. QAQC Test Dilución" xr:uid="{7476DBFD-8942-409F-80D3-E6A41053D303}"/>
  </hyperlink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B3707-CF51-4576-8DA0-49E3B54ED85D}">
  <dimension ref="B2:Q34"/>
  <sheetViews>
    <sheetView workbookViewId="0"/>
  </sheetViews>
  <sheetFormatPr baseColWidth="10" defaultRowHeight="14.5"/>
  <cols>
    <col min="15" max="15" width="19.54296875" bestFit="1" customWidth="1"/>
  </cols>
  <sheetData>
    <row r="2" spans="2:17">
      <c r="B2" s="1440" t="s">
        <v>990</v>
      </c>
      <c r="C2" s="1440"/>
      <c r="D2" s="1440"/>
      <c r="E2" s="1440"/>
      <c r="F2" s="1440"/>
      <c r="G2" s="1440"/>
      <c r="H2" s="1440"/>
      <c r="I2" s="1440"/>
      <c r="J2" s="1440"/>
      <c r="K2" s="1440"/>
      <c r="L2" s="1104"/>
      <c r="O2" s="1092" t="s">
        <v>1011</v>
      </c>
      <c r="P2" s="1091" t="s">
        <v>1</v>
      </c>
      <c r="Q2" s="1091" t="s">
        <v>17</v>
      </c>
    </row>
    <row r="3" spans="2:17">
      <c r="B3" s="1091"/>
      <c r="C3" s="1441" t="s">
        <v>981</v>
      </c>
      <c r="D3" s="1441"/>
      <c r="E3" s="1441"/>
      <c r="F3" s="1441"/>
      <c r="G3" s="1105"/>
      <c r="H3" s="1441" t="s">
        <v>17</v>
      </c>
      <c r="I3" s="1441"/>
      <c r="J3" s="1441"/>
      <c r="K3" s="1441"/>
      <c r="L3" s="1105"/>
      <c r="O3" s="1074" t="s">
        <v>585</v>
      </c>
      <c r="P3" s="801">
        <v>7.3</v>
      </c>
      <c r="Q3" s="1073">
        <v>23.9</v>
      </c>
    </row>
    <row r="4" spans="2:17">
      <c r="B4" s="1074"/>
      <c r="C4" s="1077">
        <v>45930</v>
      </c>
      <c r="D4" s="1077">
        <v>45931</v>
      </c>
      <c r="E4" s="1077">
        <v>45931</v>
      </c>
      <c r="F4" s="1077">
        <v>45932</v>
      </c>
      <c r="G4" s="1442" t="s">
        <v>1152</v>
      </c>
      <c r="H4" s="1077">
        <v>45930</v>
      </c>
      <c r="I4" s="1077">
        <v>45931</v>
      </c>
      <c r="J4" s="1077">
        <v>45931</v>
      </c>
      <c r="K4" s="1077">
        <v>45932</v>
      </c>
      <c r="L4" s="1442" t="s">
        <v>1152</v>
      </c>
      <c r="O4" s="1074" t="s">
        <v>582</v>
      </c>
      <c r="P4" s="801">
        <v>4.1280000000000001</v>
      </c>
      <c r="Q4" s="1073">
        <v>8.61</v>
      </c>
    </row>
    <row r="5" spans="2:17">
      <c r="B5" s="1074"/>
      <c r="C5" s="1074" t="s">
        <v>976</v>
      </c>
      <c r="D5" s="1074" t="s">
        <v>975</v>
      </c>
      <c r="E5" s="1074" t="s">
        <v>976</v>
      </c>
      <c r="F5" s="1074" t="s">
        <v>975</v>
      </c>
      <c r="G5" s="1442"/>
      <c r="H5" s="1074" t="s">
        <v>976</v>
      </c>
      <c r="I5" s="1074" t="s">
        <v>975</v>
      </c>
      <c r="J5" s="1074" t="s">
        <v>976</v>
      </c>
      <c r="K5" s="1074" t="s">
        <v>975</v>
      </c>
      <c r="L5" s="1442"/>
      <c r="O5" s="1074" t="s">
        <v>579</v>
      </c>
      <c r="P5" s="801">
        <v>1.958</v>
      </c>
      <c r="Q5" s="1073">
        <v>3.57</v>
      </c>
    </row>
    <row r="6" spans="2:17">
      <c r="B6" s="1135" t="s">
        <v>991</v>
      </c>
      <c r="C6" s="801">
        <v>0.67400000000000004</v>
      </c>
      <c r="D6" s="801">
        <v>0.68200000000000005</v>
      </c>
      <c r="E6" s="801">
        <v>0.67300000000000004</v>
      </c>
      <c r="F6" s="801">
        <v>0.69699999999999995</v>
      </c>
      <c r="G6" s="801">
        <f>AVERAGE(C6:F6)</f>
        <v>0.68149999999999999</v>
      </c>
      <c r="H6" s="801">
        <v>2.25</v>
      </c>
      <c r="I6" s="801">
        <v>2.2599999999999998</v>
      </c>
      <c r="J6" s="801">
        <v>2.2999999999999998</v>
      </c>
      <c r="K6" s="801">
        <v>2.39</v>
      </c>
      <c r="L6" s="801">
        <f>AVERAGE(H6:K6)</f>
        <v>2.2999999999999998</v>
      </c>
      <c r="O6" s="1074" t="s">
        <v>576</v>
      </c>
      <c r="P6" s="801">
        <v>1.145</v>
      </c>
      <c r="Q6" s="1073">
        <v>1.98</v>
      </c>
    </row>
    <row r="7" spans="2:17">
      <c r="B7" s="1135" t="s">
        <v>1004</v>
      </c>
      <c r="C7" s="801">
        <v>0.10299999999999999</v>
      </c>
      <c r="D7" s="801">
        <v>0.125</v>
      </c>
      <c r="E7" s="801">
        <v>0.129</v>
      </c>
      <c r="F7" s="801">
        <v>0.13</v>
      </c>
      <c r="G7" s="801">
        <f t="shared" ref="G7:G8" si="0">AVERAGE(C7:F7)</f>
        <v>0.12175</v>
      </c>
      <c r="H7" s="801">
        <v>0.98</v>
      </c>
      <c r="I7" s="801">
        <v>0.98</v>
      </c>
      <c r="J7" s="801">
        <v>0.98</v>
      </c>
      <c r="K7" s="801">
        <v>1</v>
      </c>
      <c r="L7" s="801">
        <f t="shared" ref="L7:L8" si="1">AVERAGE(H7:K7)</f>
        <v>0.98499999999999999</v>
      </c>
      <c r="O7" s="1074" t="s">
        <v>1010</v>
      </c>
      <c r="P7" s="801">
        <v>0.61299999999999999</v>
      </c>
      <c r="Q7" s="801">
        <v>1.2</v>
      </c>
    </row>
    <row r="8" spans="2:17">
      <c r="B8" s="1135" t="s">
        <v>1005</v>
      </c>
      <c r="C8" s="801">
        <v>2.343</v>
      </c>
      <c r="D8" s="801">
        <v>2.3410000000000002</v>
      </c>
      <c r="E8" s="801">
        <v>2.105</v>
      </c>
      <c r="F8" s="801">
        <v>2.08</v>
      </c>
      <c r="G8" s="801">
        <f t="shared" si="0"/>
        <v>2.2172499999999999</v>
      </c>
      <c r="H8" s="801">
        <v>5.3</v>
      </c>
      <c r="I8" s="801">
        <v>5.7</v>
      </c>
      <c r="J8" s="801">
        <v>5.5</v>
      </c>
      <c r="K8" s="801">
        <v>5.8</v>
      </c>
      <c r="L8" s="801">
        <f t="shared" si="1"/>
        <v>5.5750000000000002</v>
      </c>
      <c r="O8" s="1074" t="s">
        <v>1012</v>
      </c>
      <c r="P8" s="801">
        <v>0.09</v>
      </c>
      <c r="Q8" s="1073">
        <v>0.83</v>
      </c>
    </row>
    <row r="9" spans="2:17">
      <c r="C9" s="1136"/>
      <c r="D9" s="1136"/>
      <c r="E9" s="1136"/>
      <c r="F9" s="1136"/>
      <c r="G9" s="1136"/>
      <c r="H9" s="1136"/>
      <c r="I9" s="1136"/>
      <c r="J9" s="1136"/>
      <c r="K9" s="1136"/>
      <c r="L9" s="1136"/>
      <c r="O9" s="1074"/>
      <c r="P9" s="1074"/>
      <c r="Q9" s="1074"/>
    </row>
    <row r="10" spans="2:17">
      <c r="B10" s="1135" t="s">
        <v>752</v>
      </c>
      <c r="C10" s="1059">
        <f>(C6-C7)/(C8-C7)*100</f>
        <v>25.491071428571431</v>
      </c>
      <c r="D10" s="1059">
        <f t="shared" ref="D10:K10" si="2">(D6-D7)/(D8-D7)*100</f>
        <v>25.135379061371843</v>
      </c>
      <c r="E10" s="1059">
        <f t="shared" si="2"/>
        <v>27.530364372469641</v>
      </c>
      <c r="F10" s="1059">
        <f t="shared" si="2"/>
        <v>29.076923076923073</v>
      </c>
      <c r="G10" s="1059">
        <f t="shared" ref="G10" si="3">(G6-G7)/(G8-G7)*100</f>
        <v>26.712001908852301</v>
      </c>
      <c r="H10" s="1059">
        <f t="shared" si="2"/>
        <v>29.398148148148145</v>
      </c>
      <c r="I10" s="1059">
        <f t="shared" si="2"/>
        <v>27.118644067796605</v>
      </c>
      <c r="J10" s="1059">
        <f t="shared" si="2"/>
        <v>29.20353982300885</v>
      </c>
      <c r="K10" s="1059">
        <f t="shared" si="2"/>
        <v>28.958333333333336</v>
      </c>
      <c r="L10" s="1059">
        <f t="shared" ref="L10" si="4">(L6-L7)/(L8-L7)*100</f>
        <v>28.649237472766885</v>
      </c>
    </row>
    <row r="11" spans="2:17">
      <c r="B11" s="1135" t="s">
        <v>753</v>
      </c>
      <c r="C11" s="1059">
        <f t="shared" ref="C11:L11" si="5">C8/C6</f>
        <v>3.4762611275964388</v>
      </c>
      <c r="D11" s="1059">
        <f t="shared" si="5"/>
        <v>3.4325513196480939</v>
      </c>
      <c r="E11" s="1059">
        <f t="shared" si="5"/>
        <v>3.1277860326894502</v>
      </c>
      <c r="F11" s="1059">
        <f t="shared" si="5"/>
        <v>2.9842180774748925</v>
      </c>
      <c r="G11" s="1059">
        <f t="shared" si="5"/>
        <v>3.2534849596478357</v>
      </c>
      <c r="H11" s="1059">
        <f t="shared" si="5"/>
        <v>2.3555555555555556</v>
      </c>
      <c r="I11" s="1059">
        <f t="shared" si="5"/>
        <v>2.5221238938053099</v>
      </c>
      <c r="J11" s="1059">
        <f t="shared" si="5"/>
        <v>2.3913043478260874</v>
      </c>
      <c r="K11" s="1059">
        <f t="shared" si="5"/>
        <v>2.4267782426778242</v>
      </c>
      <c r="L11" s="1059">
        <f t="shared" si="5"/>
        <v>2.4239130434782612</v>
      </c>
    </row>
    <row r="12" spans="2:17">
      <c r="C12" s="1136"/>
      <c r="D12" s="1136"/>
      <c r="E12" s="1136"/>
      <c r="F12" s="1136"/>
      <c r="G12" s="1136"/>
      <c r="H12" s="1136"/>
      <c r="I12" s="1136"/>
      <c r="J12" s="1136"/>
      <c r="K12" s="1136"/>
      <c r="L12" s="1136"/>
    </row>
    <row r="13" spans="2:17">
      <c r="B13" s="1135" t="s">
        <v>1153</v>
      </c>
      <c r="C13" s="1059">
        <f>C10*C11</f>
        <v>88.613620707927083</v>
      </c>
      <c r="D13" s="1059">
        <f t="shared" ref="D13:L13" si="6">D10*D11</f>
        <v>86.278478566966982</v>
      </c>
      <c r="E13" s="1059">
        <f t="shared" si="6"/>
        <v>86.10908915906181</v>
      </c>
      <c r="F13" s="1059">
        <f t="shared" si="6"/>
        <v>86.771879483500712</v>
      </c>
      <c r="G13" s="1182">
        <f t="shared" si="6"/>
        <v>86.907096452535242</v>
      </c>
      <c r="H13" s="1059">
        <f t="shared" si="6"/>
        <v>69.248971193415628</v>
      </c>
      <c r="I13" s="1059">
        <f t="shared" si="6"/>
        <v>68.396580170991442</v>
      </c>
      <c r="J13" s="1059">
        <f t="shared" si="6"/>
        <v>69.834551750673342</v>
      </c>
      <c r="K13" s="1059">
        <f t="shared" si="6"/>
        <v>70.275453277545324</v>
      </c>
      <c r="L13" s="1182">
        <f t="shared" si="6"/>
        <v>69.443260395945828</v>
      </c>
    </row>
    <row r="19" spans="2:9">
      <c r="B19" s="1443" t="s">
        <v>992</v>
      </c>
      <c r="C19" s="1444"/>
      <c r="D19" s="1444"/>
      <c r="E19" s="1444"/>
      <c r="F19" s="1444"/>
      <c r="G19" s="1444"/>
      <c r="H19" s="1444"/>
      <c r="I19" s="1445"/>
    </row>
    <row r="20" spans="2:9">
      <c r="B20" s="1443" t="s">
        <v>996</v>
      </c>
      <c r="C20" s="1444"/>
      <c r="D20" s="1444"/>
      <c r="E20" s="1444"/>
      <c r="F20" s="1444"/>
      <c r="G20" s="1444"/>
      <c r="H20" s="1444"/>
      <c r="I20" s="1445"/>
    </row>
    <row r="21" spans="2:9">
      <c r="B21" s="1074"/>
      <c r="C21" s="1074"/>
      <c r="D21" s="1074" t="s">
        <v>997</v>
      </c>
      <c r="E21" s="1073" t="s">
        <v>998</v>
      </c>
      <c r="F21" s="1074" t="s">
        <v>999</v>
      </c>
      <c r="G21" s="1074" t="s">
        <v>1000</v>
      </c>
      <c r="H21" s="1074" t="s">
        <v>1001</v>
      </c>
      <c r="I21" s="1074" t="s">
        <v>1002</v>
      </c>
    </row>
    <row r="22" spans="2:9">
      <c r="B22" s="1074" t="s">
        <v>1</v>
      </c>
      <c r="C22" s="1074" t="s">
        <v>993</v>
      </c>
      <c r="D22" s="904">
        <v>0.41399999999999998</v>
      </c>
      <c r="E22" s="904">
        <v>0.61199999999999999</v>
      </c>
      <c r="F22" s="904">
        <v>0.746</v>
      </c>
      <c r="G22" s="904">
        <v>0.93899999999999995</v>
      </c>
      <c r="H22" s="904">
        <v>1.0960000000000001</v>
      </c>
      <c r="I22" s="904">
        <v>0.60399999999999998</v>
      </c>
    </row>
    <row r="23" spans="2:9">
      <c r="B23" s="1074"/>
      <c r="C23" s="1074" t="s">
        <v>995</v>
      </c>
      <c r="D23" s="904">
        <v>0.33200000000000002</v>
      </c>
      <c r="E23" s="904">
        <v>0.24199999999999999</v>
      </c>
      <c r="F23" s="904">
        <v>0.15</v>
      </c>
      <c r="G23" s="904">
        <v>7.2999999999999995E-2</v>
      </c>
      <c r="H23" s="904">
        <v>6.2E-2</v>
      </c>
      <c r="I23" s="904">
        <v>5.3999999999999999E-2</v>
      </c>
    </row>
    <row r="24" spans="2:9">
      <c r="B24" s="1074"/>
      <c r="C24" s="1074" t="s">
        <v>994</v>
      </c>
      <c r="D24" s="904">
        <v>2.6579999999999999</v>
      </c>
      <c r="E24" s="904">
        <v>4.359</v>
      </c>
      <c r="F24" s="904">
        <v>5.58</v>
      </c>
      <c r="G24" s="904">
        <v>6.63</v>
      </c>
      <c r="H24" s="904">
        <v>5.37</v>
      </c>
      <c r="I24" s="904">
        <v>1.5940000000000001</v>
      </c>
    </row>
    <row r="25" spans="2:9">
      <c r="B25" s="1074" t="s">
        <v>17</v>
      </c>
      <c r="C25" s="1074" t="s">
        <v>993</v>
      </c>
      <c r="D25" s="905">
        <v>1.77</v>
      </c>
      <c r="E25" s="905">
        <v>3.13</v>
      </c>
      <c r="F25" s="905">
        <v>3.72</v>
      </c>
      <c r="G25" s="905">
        <v>3.6</v>
      </c>
      <c r="H25" s="905">
        <v>3.29</v>
      </c>
      <c r="I25" s="905">
        <v>1.64</v>
      </c>
    </row>
    <row r="26" spans="2:9">
      <c r="B26" s="1074"/>
      <c r="C26" s="1074" t="s">
        <v>995</v>
      </c>
      <c r="D26" s="905">
        <v>1.24</v>
      </c>
      <c r="E26" s="905">
        <v>1.19</v>
      </c>
      <c r="F26" s="905">
        <v>1.1000000000000001</v>
      </c>
      <c r="G26" s="905">
        <v>0.79</v>
      </c>
      <c r="H26" s="905">
        <v>0.91</v>
      </c>
      <c r="I26" s="905">
        <v>0.84</v>
      </c>
    </row>
    <row r="27" spans="2:9">
      <c r="B27" s="1074"/>
      <c r="C27" s="1074" t="s">
        <v>994</v>
      </c>
      <c r="D27" s="905">
        <v>16.8</v>
      </c>
      <c r="E27" s="906">
        <v>30.5</v>
      </c>
      <c r="F27" s="906">
        <v>32.5</v>
      </c>
      <c r="G27" s="906">
        <v>14.7</v>
      </c>
      <c r="H27" s="906">
        <v>27.7</v>
      </c>
      <c r="I27" s="906">
        <v>3.09</v>
      </c>
    </row>
    <row r="28" spans="2:9">
      <c r="B28" s="1443" t="s">
        <v>1003</v>
      </c>
      <c r="C28" s="1444"/>
      <c r="D28" s="1444"/>
      <c r="E28" s="1444"/>
      <c r="F28" s="1444"/>
      <c r="G28" s="1444"/>
      <c r="H28" s="1444"/>
      <c r="I28" s="1445"/>
    </row>
    <row r="29" spans="2:9">
      <c r="B29" s="1074" t="s">
        <v>1</v>
      </c>
      <c r="C29" s="1074" t="s">
        <v>993</v>
      </c>
      <c r="D29" s="904">
        <v>0.39200000000000002</v>
      </c>
      <c r="E29" s="904">
        <v>0.59699999999999998</v>
      </c>
      <c r="F29" s="904">
        <v>0.747</v>
      </c>
      <c r="G29" s="904">
        <v>0.93200000000000005</v>
      </c>
      <c r="H29" s="904">
        <v>1.155</v>
      </c>
      <c r="I29" s="904">
        <v>0.502</v>
      </c>
    </row>
    <row r="30" spans="2:9">
      <c r="B30" s="1074"/>
      <c r="C30" s="1074" t="s">
        <v>995</v>
      </c>
      <c r="D30" s="904">
        <v>0.27800000000000002</v>
      </c>
      <c r="E30" s="904">
        <v>0.24399999999999999</v>
      </c>
      <c r="F30" s="904">
        <v>0.16200000000000001</v>
      </c>
      <c r="G30" s="904">
        <v>0.129</v>
      </c>
      <c r="H30" s="904">
        <v>0.11</v>
      </c>
      <c r="I30" s="904">
        <v>0.109</v>
      </c>
    </row>
    <row r="31" spans="2:9">
      <c r="B31" s="1074"/>
      <c r="C31" s="1074" t="s">
        <v>994</v>
      </c>
      <c r="D31" s="904">
        <v>7.45</v>
      </c>
      <c r="E31" s="904">
        <v>11.4</v>
      </c>
      <c r="F31" s="904">
        <v>13.4</v>
      </c>
      <c r="G31" s="904">
        <v>15.08</v>
      </c>
      <c r="H31" s="904">
        <v>13.03</v>
      </c>
      <c r="I31" s="904">
        <v>2.6520000000000001</v>
      </c>
    </row>
    <row r="32" spans="2:9">
      <c r="B32" s="1074" t="s">
        <v>17</v>
      </c>
      <c r="C32" s="1074" t="s">
        <v>993</v>
      </c>
      <c r="D32" s="905">
        <v>1.64</v>
      </c>
      <c r="E32" s="905">
        <v>3.02</v>
      </c>
      <c r="F32" s="905">
        <v>3.61</v>
      </c>
      <c r="G32" s="905">
        <v>3.67</v>
      </c>
      <c r="H32" s="905">
        <v>3.52</v>
      </c>
      <c r="I32" s="905">
        <v>1.37</v>
      </c>
    </row>
    <row r="33" spans="2:9">
      <c r="B33" s="1074"/>
      <c r="C33" s="1074" t="s">
        <v>995</v>
      </c>
      <c r="D33" s="905">
        <v>1.1499999999999999</v>
      </c>
      <c r="E33" s="905">
        <v>2.16</v>
      </c>
      <c r="F33" s="905">
        <v>2.2799999999999998</v>
      </c>
      <c r="G33" s="905">
        <v>2.2799999999999998</v>
      </c>
      <c r="H33" s="905">
        <v>2.2999999999999998</v>
      </c>
      <c r="I33" s="905">
        <v>1.26</v>
      </c>
    </row>
    <row r="34" spans="2:9">
      <c r="B34" s="1074"/>
      <c r="C34" s="1074" t="s">
        <v>994</v>
      </c>
      <c r="D34" s="905">
        <v>14.3</v>
      </c>
      <c r="E34" s="906">
        <v>21.7</v>
      </c>
      <c r="F34" s="906">
        <v>23.1</v>
      </c>
      <c r="G34" s="906">
        <v>21.2</v>
      </c>
      <c r="H34" s="906">
        <v>16</v>
      </c>
      <c r="I34" s="906">
        <v>3.1</v>
      </c>
    </row>
  </sheetData>
  <mergeCells count="8">
    <mergeCell ref="B19:I19"/>
    <mergeCell ref="B20:I20"/>
    <mergeCell ref="B28:I28"/>
    <mergeCell ref="B2:K2"/>
    <mergeCell ref="C3:F3"/>
    <mergeCell ref="H3:K3"/>
    <mergeCell ref="L4:L5"/>
    <mergeCell ref="G4:G5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881E1-6FDB-4791-9F90-7B959E1E679D}">
  <dimension ref="A2:AG125"/>
  <sheetViews>
    <sheetView workbookViewId="0"/>
  </sheetViews>
  <sheetFormatPr baseColWidth="10" defaultColWidth="10.7265625" defaultRowHeight="14.5"/>
  <cols>
    <col min="1" max="1" width="10.7265625" style="4"/>
    <col min="2" max="2" width="19.26953125" style="4" bestFit="1" customWidth="1"/>
    <col min="3" max="8" width="10.7265625" style="4"/>
    <col min="9" max="9" width="12.81640625" style="4" bestFit="1" customWidth="1"/>
    <col min="10" max="12" width="10.7265625" style="4"/>
    <col min="13" max="13" width="12.26953125" style="4" bestFit="1" customWidth="1"/>
    <col min="14" max="16384" width="10.7265625" style="4"/>
  </cols>
  <sheetData>
    <row r="2" spans="2:2" ht="18.5">
      <c r="B2" s="112" t="s">
        <v>765</v>
      </c>
    </row>
    <row r="29" spans="1:12" ht="18.5">
      <c r="B29" s="1395" t="s">
        <v>427</v>
      </c>
      <c r="C29" s="1395"/>
    </row>
    <row r="30" spans="1:12" ht="15" thickBot="1"/>
    <row r="31" spans="1:12" ht="15" thickBot="1">
      <c r="C31" s="1393" t="s">
        <v>969</v>
      </c>
      <c r="D31" s="1397"/>
      <c r="E31" s="1397"/>
      <c r="F31" s="1397"/>
      <c r="G31" s="999"/>
      <c r="H31" s="1404" t="s">
        <v>17</v>
      </c>
      <c r="I31" s="1366"/>
      <c r="J31" s="1366"/>
      <c r="K31" s="1366"/>
      <c r="L31" s="1405"/>
    </row>
    <row r="32" spans="1:12">
      <c r="A32" s="68"/>
      <c r="C32" s="891">
        <v>45901</v>
      </c>
      <c r="D32" s="867">
        <v>45902</v>
      </c>
      <c r="E32" s="867">
        <v>45902</v>
      </c>
      <c r="F32" s="867">
        <v>45903</v>
      </c>
      <c r="G32" s="1406" t="s">
        <v>757</v>
      </c>
      <c r="H32" s="891">
        <v>45901</v>
      </c>
      <c r="I32" s="867">
        <v>45902</v>
      </c>
      <c r="J32" s="867">
        <v>45902</v>
      </c>
      <c r="K32" s="867">
        <v>45903</v>
      </c>
      <c r="L32" s="1406" t="s">
        <v>757</v>
      </c>
    </row>
    <row r="33" spans="1:15" ht="15" thickBot="1">
      <c r="A33" s="68"/>
      <c r="C33" s="892" t="s">
        <v>758</v>
      </c>
      <c r="D33" s="868" t="s">
        <v>759</v>
      </c>
      <c r="E33" s="868" t="s">
        <v>758</v>
      </c>
      <c r="F33" s="868" t="s">
        <v>759</v>
      </c>
      <c r="G33" s="1407"/>
      <c r="H33" s="892" t="s">
        <v>758</v>
      </c>
      <c r="I33" s="868" t="s">
        <v>759</v>
      </c>
      <c r="J33" s="868" t="s">
        <v>758</v>
      </c>
      <c r="K33" s="868" t="s">
        <v>759</v>
      </c>
      <c r="L33" s="1407"/>
    </row>
    <row r="34" spans="1:15">
      <c r="A34" s="68"/>
      <c r="B34" s="848" t="s">
        <v>744</v>
      </c>
      <c r="C34" s="869">
        <v>4.55</v>
      </c>
      <c r="D34" s="870">
        <v>3.9830000000000001</v>
      </c>
      <c r="E34" s="870">
        <v>4.6369999999999996</v>
      </c>
      <c r="F34" s="870">
        <v>4.6710000000000003</v>
      </c>
      <c r="G34" s="871">
        <f t="shared" ref="G34:G41" si="0">AVERAGE(C34:F34)</f>
        <v>4.4602499999999994</v>
      </c>
      <c r="H34" s="872">
        <v>6.21</v>
      </c>
      <c r="I34" s="870">
        <v>5.69</v>
      </c>
      <c r="J34" s="870">
        <v>7.25</v>
      </c>
      <c r="K34" s="870">
        <v>6.85</v>
      </c>
      <c r="L34" s="871">
        <f t="shared" ref="L34:L41" si="1">AVERAGE(H34:K34)</f>
        <v>6.5</v>
      </c>
      <c r="M34" s="117"/>
      <c r="N34" s="110"/>
    </row>
    <row r="35" spans="1:15" ht="14.65" customHeight="1">
      <c r="A35" s="68"/>
      <c r="B35" s="849" t="s">
        <v>746</v>
      </c>
      <c r="C35" s="873">
        <v>20.99</v>
      </c>
      <c r="D35" s="649">
        <v>23.34</v>
      </c>
      <c r="E35" s="649">
        <v>24.03</v>
      </c>
      <c r="F35" s="649">
        <v>22.36</v>
      </c>
      <c r="G35" s="874">
        <f t="shared" si="0"/>
        <v>22.68</v>
      </c>
      <c r="H35" s="875">
        <v>16.100000000000001</v>
      </c>
      <c r="I35" s="649">
        <v>17.3</v>
      </c>
      <c r="J35" s="649">
        <v>20.6</v>
      </c>
      <c r="K35" s="649">
        <v>19.600000000000001</v>
      </c>
      <c r="L35" s="874">
        <f t="shared" si="1"/>
        <v>18.400000000000002</v>
      </c>
      <c r="M35" s="110"/>
      <c r="N35" s="110"/>
    </row>
    <row r="36" spans="1:15">
      <c r="A36" s="68"/>
      <c r="B36" s="849" t="s">
        <v>745</v>
      </c>
      <c r="C36" s="873">
        <v>3.29</v>
      </c>
      <c r="D36" s="649">
        <v>1.9</v>
      </c>
      <c r="E36" s="649">
        <v>2.8130000000000002</v>
      </c>
      <c r="F36" s="649">
        <v>2.6880000000000002</v>
      </c>
      <c r="G36" s="874">
        <f t="shared" si="0"/>
        <v>2.6727500000000002</v>
      </c>
      <c r="H36" s="875">
        <v>7.26</v>
      </c>
      <c r="I36" s="649">
        <v>5.35</v>
      </c>
      <c r="J36" s="649">
        <v>6.81</v>
      </c>
      <c r="K36" s="649">
        <v>6.9</v>
      </c>
      <c r="L36" s="874">
        <f t="shared" si="1"/>
        <v>6.58</v>
      </c>
      <c r="N36" s="110"/>
    </row>
    <row r="37" spans="1:15">
      <c r="B37" s="849" t="s">
        <v>747</v>
      </c>
      <c r="C37" s="873">
        <v>2.1349999999999998</v>
      </c>
      <c r="D37" s="649">
        <v>2.9729999999999999</v>
      </c>
      <c r="E37" s="649">
        <v>3.976</v>
      </c>
      <c r="F37" s="649">
        <v>4.4649999999999999</v>
      </c>
      <c r="G37" s="874">
        <f t="shared" si="0"/>
        <v>3.3872499999999999</v>
      </c>
      <c r="H37" s="875">
        <v>5.82</v>
      </c>
      <c r="I37" s="649">
        <v>8.32</v>
      </c>
      <c r="J37" s="649">
        <v>9.24</v>
      </c>
      <c r="K37" s="649">
        <v>8.59</v>
      </c>
      <c r="L37" s="874">
        <f t="shared" si="1"/>
        <v>7.9925000000000006</v>
      </c>
      <c r="N37" s="110"/>
    </row>
    <row r="38" spans="1:15">
      <c r="B38" s="849" t="s">
        <v>748</v>
      </c>
      <c r="C38" s="873">
        <v>4.5679999999999996</v>
      </c>
      <c r="D38" s="876">
        <v>3.952</v>
      </c>
      <c r="E38" s="876">
        <v>4.6100000000000003</v>
      </c>
      <c r="F38" s="649">
        <v>5.78</v>
      </c>
      <c r="G38" s="874">
        <f t="shared" si="0"/>
        <v>4.7275</v>
      </c>
      <c r="H38" s="875">
        <v>9.02</v>
      </c>
      <c r="I38" s="649">
        <v>11.6</v>
      </c>
      <c r="J38" s="649">
        <v>9.81</v>
      </c>
      <c r="K38" s="649">
        <v>9.67</v>
      </c>
      <c r="L38" s="874">
        <f t="shared" si="1"/>
        <v>10.025</v>
      </c>
      <c r="N38" s="110"/>
    </row>
    <row r="39" spans="1:15">
      <c r="B39" s="849" t="s">
        <v>749</v>
      </c>
      <c r="C39" s="873">
        <v>17.55</v>
      </c>
      <c r="D39" s="649">
        <v>14.98</v>
      </c>
      <c r="E39" s="649">
        <v>15.2</v>
      </c>
      <c r="F39" s="649">
        <v>15.03</v>
      </c>
      <c r="G39" s="874">
        <f t="shared" si="0"/>
        <v>15.690000000000001</v>
      </c>
      <c r="H39" s="875">
        <v>19.600000000000001</v>
      </c>
      <c r="I39" s="649">
        <v>18.5</v>
      </c>
      <c r="J39" s="649">
        <v>20.8</v>
      </c>
      <c r="K39" s="649">
        <v>15.6</v>
      </c>
      <c r="L39" s="874">
        <f t="shared" si="1"/>
        <v>18.625</v>
      </c>
      <c r="N39" s="110"/>
    </row>
    <row r="40" spans="1:15">
      <c r="B40" s="849" t="s">
        <v>750</v>
      </c>
      <c r="C40" s="873">
        <v>4.5519999999999996</v>
      </c>
      <c r="D40" s="893">
        <v>4.8650000000000002</v>
      </c>
      <c r="E40" s="876">
        <v>5.19</v>
      </c>
      <c r="F40" s="779">
        <v>4.9660000000000002</v>
      </c>
      <c r="G40" s="874">
        <f t="shared" si="0"/>
        <v>4.8932500000000001</v>
      </c>
      <c r="H40" s="875">
        <v>9.98</v>
      </c>
      <c r="I40" s="779">
        <v>13.9</v>
      </c>
      <c r="J40" s="649">
        <v>12.7</v>
      </c>
      <c r="K40" s="779">
        <v>9.83</v>
      </c>
      <c r="L40" s="874">
        <f t="shared" si="1"/>
        <v>11.602499999999999</v>
      </c>
      <c r="N40" s="110"/>
    </row>
    <row r="41" spans="1:15" ht="15" thickBot="1">
      <c r="B41" s="850" t="s">
        <v>751</v>
      </c>
      <c r="C41" s="897">
        <v>0.22600000000000001</v>
      </c>
      <c r="D41" s="796">
        <v>0.253</v>
      </c>
      <c r="E41" s="877">
        <v>0.22800000000000001</v>
      </c>
      <c r="F41" s="796">
        <v>0.23400000000000001</v>
      </c>
      <c r="G41" s="878">
        <f t="shared" si="0"/>
        <v>0.23524999999999999</v>
      </c>
      <c r="H41" s="879">
        <v>3.5</v>
      </c>
      <c r="I41" s="796">
        <v>2.92</v>
      </c>
      <c r="J41" s="877">
        <v>2.61</v>
      </c>
      <c r="K41" s="796">
        <v>2.63</v>
      </c>
      <c r="L41" s="878">
        <f t="shared" si="1"/>
        <v>2.915</v>
      </c>
      <c r="M41" s="110"/>
      <c r="N41" s="110"/>
    </row>
    <row r="42" spans="1:15" ht="15" thickBot="1">
      <c r="G42" s="110"/>
      <c r="L42" s="110"/>
    </row>
    <row r="43" spans="1:15">
      <c r="B43" s="848" t="s">
        <v>756</v>
      </c>
      <c r="C43" s="880">
        <f>+C35/C34</f>
        <v>4.6131868131868128</v>
      </c>
      <c r="D43" s="880">
        <f>+D35/D34</f>
        <v>5.8599045945267383</v>
      </c>
      <c r="E43" s="880">
        <f>+E35/E34</f>
        <v>5.1822298900150967</v>
      </c>
      <c r="F43" s="880">
        <f>+F35/F34</f>
        <v>4.786983515307214</v>
      </c>
      <c r="G43" s="880">
        <f>AVERAGE(C43:F43)</f>
        <v>5.1105762032589652</v>
      </c>
      <c r="H43" s="880">
        <f>+H35/H34</f>
        <v>2.592592592592593</v>
      </c>
      <c r="I43" s="880">
        <f>+I35/I34</f>
        <v>3.0404217926186292</v>
      </c>
      <c r="J43" s="880">
        <f>+J35/J34</f>
        <v>2.8413793103448279</v>
      </c>
      <c r="K43" s="880">
        <f>+K35/K34</f>
        <v>2.8613138686131392</v>
      </c>
      <c r="L43" s="880">
        <f>AVERAGE(H43:K43)</f>
        <v>2.8339268910422972</v>
      </c>
      <c r="N43" s="110"/>
    </row>
    <row r="44" spans="1:15" ht="15" thickBot="1">
      <c r="B44" s="850" t="s">
        <v>764</v>
      </c>
      <c r="C44" s="880">
        <f>+C39/C38</f>
        <v>3.8419439579684767</v>
      </c>
      <c r="D44" s="880">
        <f>+D39/D38</f>
        <v>3.7904858299595143</v>
      </c>
      <c r="E44" s="880">
        <f>+E39/E38</f>
        <v>3.2971800433839475</v>
      </c>
      <c r="F44" s="880">
        <f>+F39/F38</f>
        <v>2.6003460207612457</v>
      </c>
      <c r="G44" s="880">
        <f>AVERAGE(C44:F44)</f>
        <v>3.3824889630182962</v>
      </c>
      <c r="H44" s="880">
        <f>+H39/H38</f>
        <v>2.1729490022172953</v>
      </c>
      <c r="I44" s="880">
        <f>+I39/I38</f>
        <v>1.5948275862068966</v>
      </c>
      <c r="J44" s="880">
        <f>+J39/J38</f>
        <v>2.1202854230377164</v>
      </c>
      <c r="K44" s="880">
        <f>+K39/K38</f>
        <v>1.6132368148914167</v>
      </c>
      <c r="L44" s="880">
        <f>AVERAGE(H44:K44)</f>
        <v>1.8753247065883314</v>
      </c>
      <c r="N44" s="110"/>
    </row>
    <row r="45" spans="1:15" ht="15" thickBot="1"/>
    <row r="46" spans="1:15">
      <c r="B46" s="848" t="s">
        <v>752</v>
      </c>
      <c r="C46" s="880">
        <f>+(C34-C41)/(C39-C41)*100</f>
        <v>24.959593627337796</v>
      </c>
      <c r="D46" s="880">
        <f>+(D34-D41)/(D39-D41)*100</f>
        <v>25.32762952400353</v>
      </c>
      <c r="E46" s="880">
        <f>+(E34-E41)/(E39-E41)*100</f>
        <v>29.448303499866419</v>
      </c>
      <c r="F46" s="880">
        <f>+(F34-F41)/(F39-F41)*100</f>
        <v>29.98783454987835</v>
      </c>
      <c r="G46" s="880">
        <f>AVERAGE(C46:F46)</f>
        <v>27.430840300271527</v>
      </c>
      <c r="H46" s="880">
        <f>+(H34-H41)/(H39-H41)*100</f>
        <v>16.832298136645964</v>
      </c>
      <c r="I46" s="880">
        <f>+(I34-I41)/(I39-I41)*100</f>
        <v>17.779204107830555</v>
      </c>
      <c r="J46" s="880">
        <f>+(J34-J41)/(J39-J41)*100</f>
        <v>25.508521165475539</v>
      </c>
      <c r="K46" s="880">
        <f>+(K34-K41)/(K39-K41)*100</f>
        <v>32.536622976098691</v>
      </c>
      <c r="L46" s="880">
        <f>AVERAGE(H46:K46)</f>
        <v>23.164161596512685</v>
      </c>
      <c r="N46" s="110"/>
      <c r="O46" s="110"/>
    </row>
    <row r="47" spans="1:15" ht="15" thickBot="1">
      <c r="B47" s="850" t="s">
        <v>753</v>
      </c>
      <c r="C47" s="880">
        <f>C39/C34</f>
        <v>3.8571428571428577</v>
      </c>
      <c r="D47" s="880">
        <f>D39/D34</f>
        <v>3.7609841827768014</v>
      </c>
      <c r="E47" s="880">
        <f>E39/E34</f>
        <v>3.2779814535259866</v>
      </c>
      <c r="F47" s="880">
        <f>F39/F34</f>
        <v>3.2177263969171479</v>
      </c>
      <c r="G47" s="880">
        <f>AVERAGE(C47:F47)</f>
        <v>3.528458722590698</v>
      </c>
      <c r="H47" s="880">
        <f>H39/H34</f>
        <v>3.1561996779388086</v>
      </c>
      <c r="I47" s="880">
        <f>I39/I34</f>
        <v>3.251318101933216</v>
      </c>
      <c r="J47" s="880">
        <f>J39/J34</f>
        <v>2.8689655172413793</v>
      </c>
      <c r="K47" s="880">
        <f>K39/K34</f>
        <v>2.2773722627737225</v>
      </c>
      <c r="L47" s="880">
        <f>AVERAGE(H47:K47)</f>
        <v>2.8884638899717818</v>
      </c>
      <c r="N47" s="110"/>
    </row>
    <row r="48" spans="1:15" ht="15" thickBot="1"/>
    <row r="49" spans="2:16">
      <c r="B49" s="848" t="s">
        <v>754</v>
      </c>
      <c r="C49" s="880">
        <f>+AVERAGE('13. Pilotaje Rougher'!$K$20:$K$36)</f>
        <v>79.807493568485683</v>
      </c>
      <c r="D49" s="880">
        <f>+AVERAGE('13. Pilotaje Rougher'!$K$20:$K$36)</f>
        <v>79.807493568485683</v>
      </c>
      <c r="E49" s="880" t="s">
        <v>639</v>
      </c>
      <c r="F49" s="880">
        <f>+AVERAGE('13. Pilotaje Rougher'!$K$20:$K$36)</f>
        <v>79.807493568485683</v>
      </c>
      <c r="G49" s="880">
        <f>AVERAGE(C49:F49)</f>
        <v>79.807493568485683</v>
      </c>
      <c r="H49" s="880">
        <f>+AVERAGE('13. Pilotaje Rougher'!$K$20:$K$36)</f>
        <v>79.807493568485683</v>
      </c>
      <c r="I49" s="880">
        <f>+AVERAGE('13. Pilotaje Rougher'!$K$20:$K$36)</f>
        <v>79.807493568485683</v>
      </c>
      <c r="J49" s="880">
        <f>+AVERAGE('13. Pilotaje Rougher'!$K$20:$K$36)</f>
        <v>79.807493568485683</v>
      </c>
      <c r="K49" s="880">
        <f>+AVERAGE('13. Pilotaje Rougher'!$K$20:$K$36)</f>
        <v>79.807493568485683</v>
      </c>
      <c r="L49" s="880">
        <f>AVERAGE(H49:K49)</f>
        <v>79.807493568485683</v>
      </c>
      <c r="N49" s="110"/>
      <c r="O49" s="881"/>
      <c r="P49" s="110"/>
    </row>
    <row r="50" spans="2:16">
      <c r="B50" s="849" t="s">
        <v>761</v>
      </c>
      <c r="C50" s="880">
        <f>+C46*C47</f>
        <v>96.272718276874372</v>
      </c>
      <c r="D50" s="880">
        <f>+D46*D47</f>
        <v>95.256814027008005</v>
      </c>
      <c r="E50" s="880">
        <f>+E46*E47</f>
        <v>96.530992710366519</v>
      </c>
      <c r="F50" s="880">
        <f>+F46*F47</f>
        <v>96.492646817527628</v>
      </c>
      <c r="G50" s="880">
        <f>AVERAGE(C50:F50)</f>
        <v>96.138292957944145</v>
      </c>
      <c r="H50" s="880">
        <f>+H46*H47</f>
        <v>53.126093957852</v>
      </c>
      <c r="I50" s="880">
        <f>+I46*I47</f>
        <v>57.80584815375488</v>
      </c>
      <c r="J50" s="880">
        <f>+J46*J47</f>
        <v>73.183067619571204</v>
      </c>
      <c r="K50" s="880">
        <f>+K46*K47</f>
        <v>74.098002690093367</v>
      </c>
      <c r="L50" s="880">
        <f>AVERAGE(H50:K50)</f>
        <v>64.553253105317864</v>
      </c>
      <c r="N50" s="110"/>
      <c r="O50" s="881"/>
    </row>
    <row r="51" spans="2:16">
      <c r="B51" s="849" t="s">
        <v>755</v>
      </c>
      <c r="C51" s="880">
        <f>+C50*C49/100</f>
        <v>76.832843447022853</v>
      </c>
      <c r="D51" s="880">
        <f>+D50*D49/100</f>
        <v>76.022075728148778</v>
      </c>
      <c r="E51" s="880" t="e">
        <f>+E50*E49/100</f>
        <v>#VALUE!</v>
      </c>
      <c r="F51" s="880">
        <f>+F50*F49/100</f>
        <v>77.008362902959973</v>
      </c>
      <c r="G51" s="880" t="e">
        <f>AVERAGE(C51:F51)</f>
        <v>#VALUE!</v>
      </c>
      <c r="H51" s="880">
        <f>+H50*H49/100</f>
        <v>42.398604018600402</v>
      </c>
      <c r="I51" s="880">
        <f>+I50*I49/100</f>
        <v>46.133398547516528</v>
      </c>
      <c r="J51" s="880">
        <f>+J50*J49/100</f>
        <v>58.405571983709812</v>
      </c>
      <c r="K51" s="880">
        <f>+K50*K49/100</f>
        <v>59.13575873127261</v>
      </c>
      <c r="L51" s="880">
        <f>AVERAGE(H51:K51)</f>
        <v>51.518333320274834</v>
      </c>
      <c r="N51" s="110"/>
      <c r="O51" s="881"/>
    </row>
    <row r="52" spans="2:16" ht="15" thickBot="1">
      <c r="B52" s="850" t="s">
        <v>763</v>
      </c>
      <c r="C52" s="880">
        <f>+(0.68-(AVERAGE(C41,0.15)))/((AVERAGE(C35,C39))-(AVERAGE(C41,0.15)))*100</f>
        <v>2.5783460853160047</v>
      </c>
      <c r="D52" s="880">
        <f>+(0.68-(AVERAGE(D41,0.15)))/((AVERAGE(D35,D39))-(AVERAGE(D41,0.15)))*100</f>
        <v>2.5239338555265447</v>
      </c>
      <c r="E52" s="880">
        <f>+(0.68-(AVERAGE(E41,0.15)))/((AVERAGE(E35,E39))-(AVERAGE(E41,0.15)))*100</f>
        <v>2.5275404097601153</v>
      </c>
      <c r="F52" s="880">
        <f>+(0.68-(AVERAGE(F41,0.15)))/((AVERAGE(F35,F39))-(AVERAGE(F41,0.15)))*100</f>
        <v>2.6374101497054534</v>
      </c>
      <c r="G52" s="880">
        <f>AVERAGE(C52:F52)</f>
        <v>2.56680762507703</v>
      </c>
      <c r="H52" s="880">
        <f>+(2.32-(AVERAGE(H41,0.15)))/((AVERAGE(H35,H39))-(AVERAGE(H41,0.15)))*100</f>
        <v>3.0889235569422766</v>
      </c>
      <c r="I52" s="880">
        <f>+(2.32-(AVERAGE(I41,0.15)))/((AVERAGE(I35,I39))-(AVERAGE(I41,0.15)))*100</f>
        <v>4.7968224870149703</v>
      </c>
      <c r="J52" s="880">
        <f>+(2.32-(AVERAGE(J41,0.15)))/((AVERAGE(J35,J39))-(AVERAGE(J41,0.15)))*100</f>
        <v>4.8654244306418208</v>
      </c>
      <c r="K52" s="880">
        <f>+(2.32-(AVERAGE(K41,0.15)))/((AVERAGE(K35,K39))-(AVERAGE(K41,0.15)))*100</f>
        <v>5.737199259716224</v>
      </c>
      <c r="L52" s="880">
        <f>AVERAGE(H52:K52)</f>
        <v>4.6220924335788229</v>
      </c>
      <c r="N52" s="110"/>
      <c r="O52" s="881"/>
    </row>
    <row r="54" spans="2:16">
      <c r="B54" s="4" t="s">
        <v>884</v>
      </c>
      <c r="C54" s="110">
        <f>+AVERAGE(C35,C39)</f>
        <v>19.27</v>
      </c>
      <c r="D54" s="110"/>
      <c r="E54" s="110"/>
      <c r="F54" s="110">
        <f t="shared" ref="F54" si="2">+AVERAGE(F35,F39)</f>
        <v>18.695</v>
      </c>
      <c r="G54" s="880">
        <f>AVERAGE(C54:F54)</f>
        <v>18.982500000000002</v>
      </c>
    </row>
    <row r="55" spans="2:16">
      <c r="B55" s="4" t="s">
        <v>909</v>
      </c>
      <c r="C55" s="4">
        <f>C38*(C37-C41)/(C37*(C38-C41))*100</f>
        <v>94.068523015219782</v>
      </c>
      <c r="F55" s="4">
        <f>F38*(F37-F41)/(F37*(F38-F41))*100</f>
        <v>98.757374442159218</v>
      </c>
    </row>
    <row r="56" spans="2:16">
      <c r="B56" s="4" t="s">
        <v>940</v>
      </c>
      <c r="C56" s="4">
        <f>C35*(C34-C36)/(C34*(C35-C36))*100</f>
        <v>32.839634941329855</v>
      </c>
      <c r="F56" s="4">
        <f t="shared" ref="F56" si="3">F35*(F34-F36)/(F34*(F35-F36))*100</f>
        <v>48.254312275590713</v>
      </c>
    </row>
    <row r="57" spans="2:16">
      <c r="B57" s="4" t="s">
        <v>941</v>
      </c>
      <c r="C57" s="4">
        <f>C39*(C38-C40)/(C38*(C39-C40))*100</f>
        <v>0.47292739904212711</v>
      </c>
      <c r="F57" s="4">
        <f>F39*(F38-F40)/(F38*(F39-F40))*100</f>
        <v>21.032210462039487</v>
      </c>
    </row>
    <row r="60" spans="2:16" ht="18.5">
      <c r="B60" s="1395" t="s">
        <v>428</v>
      </c>
      <c r="C60" s="1395"/>
    </row>
    <row r="61" spans="2:16" ht="15" thickBot="1"/>
    <row r="62" spans="2:16" ht="15" thickBot="1">
      <c r="B62" s="95"/>
      <c r="C62" s="1398" t="s">
        <v>970</v>
      </c>
      <c r="D62" s="1399"/>
      <c r="E62" s="1399"/>
      <c r="F62" s="1399"/>
      <c r="G62" s="1399"/>
      <c r="H62" s="1399"/>
      <c r="I62" s="1000"/>
      <c r="J62" s="1398" t="s">
        <v>17</v>
      </c>
      <c r="K62" s="1399"/>
      <c r="L62" s="1399"/>
      <c r="M62" s="1399"/>
      <c r="N62" s="1399"/>
      <c r="O62" s="1399"/>
      <c r="P62" s="1400"/>
    </row>
    <row r="63" spans="2:16">
      <c r="B63" s="95"/>
      <c r="C63" s="891">
        <v>45922</v>
      </c>
      <c r="D63" s="882">
        <v>45922</v>
      </c>
      <c r="E63" s="959">
        <v>45923</v>
      </c>
      <c r="F63" s="882">
        <v>45923</v>
      </c>
      <c r="G63" s="961">
        <v>45924</v>
      </c>
      <c r="H63" s="963">
        <v>45925</v>
      </c>
      <c r="I63" s="1401" t="s">
        <v>757</v>
      </c>
      <c r="J63" s="891">
        <v>45922</v>
      </c>
      <c r="K63" s="882">
        <v>45922</v>
      </c>
      <c r="L63" s="882">
        <v>45923</v>
      </c>
      <c r="M63" s="882">
        <v>45923</v>
      </c>
      <c r="N63" s="882">
        <v>45924</v>
      </c>
      <c r="O63" s="882">
        <v>45925</v>
      </c>
      <c r="P63" s="1401" t="s">
        <v>757</v>
      </c>
    </row>
    <row r="64" spans="2:16" ht="15" thickBot="1">
      <c r="B64" s="95"/>
      <c r="C64" s="894" t="s">
        <v>759</v>
      </c>
      <c r="D64" s="883" t="s">
        <v>758</v>
      </c>
      <c r="E64" s="960" t="s">
        <v>759</v>
      </c>
      <c r="F64" s="883" t="s">
        <v>758</v>
      </c>
      <c r="G64" s="962" t="s">
        <v>759</v>
      </c>
      <c r="H64" s="964" t="s">
        <v>758</v>
      </c>
      <c r="I64" s="1402"/>
      <c r="J64" s="894" t="s">
        <v>759</v>
      </c>
      <c r="K64" s="883" t="s">
        <v>758</v>
      </c>
      <c r="L64" s="883" t="s">
        <v>759</v>
      </c>
      <c r="M64" s="883" t="s">
        <v>758</v>
      </c>
      <c r="N64" s="883" t="s">
        <v>759</v>
      </c>
      <c r="O64" s="883" t="s">
        <v>758</v>
      </c>
      <c r="P64" s="1403"/>
    </row>
    <row r="65" spans="1:16">
      <c r="A65" s="95"/>
      <c r="B65" s="848" t="s">
        <v>744</v>
      </c>
      <c r="C65" s="886">
        <v>2.2959999999999998</v>
      </c>
      <c r="D65" s="884">
        <v>2.2839999999999998</v>
      </c>
      <c r="E65" s="884">
        <v>2.8570000000000002</v>
      </c>
      <c r="F65" s="884">
        <v>1.7849999999999999</v>
      </c>
      <c r="G65" s="884">
        <v>2.64</v>
      </c>
      <c r="H65" s="884">
        <v>1.89</v>
      </c>
      <c r="I65" s="885">
        <f>+AVERAGE(C65:D65,F65,H65)</f>
        <v>2.0637500000000002</v>
      </c>
      <c r="J65" s="965">
        <v>5.56</v>
      </c>
      <c r="K65" s="884">
        <v>5.21</v>
      </c>
      <c r="L65" s="884">
        <v>8.43</v>
      </c>
      <c r="M65" s="884">
        <v>5.29</v>
      </c>
      <c r="N65" s="884">
        <v>7.01</v>
      </c>
      <c r="O65" s="884">
        <v>4.9000000000000004</v>
      </c>
      <c r="P65" s="885">
        <f>+AVERAGE(J65,M65:N65)</f>
        <v>5.9533333333333331</v>
      </c>
    </row>
    <row r="66" spans="1:16">
      <c r="A66" s="95"/>
      <c r="B66" s="849" t="s">
        <v>746</v>
      </c>
      <c r="C66" s="875">
        <v>25.77</v>
      </c>
      <c r="D66" s="649">
        <v>23.75</v>
      </c>
      <c r="E66" s="649">
        <v>19.13</v>
      </c>
      <c r="F66" s="649">
        <v>23.84</v>
      </c>
      <c r="G66" s="649">
        <v>26.16</v>
      </c>
      <c r="H66" s="876">
        <v>18.72</v>
      </c>
      <c r="I66" s="874">
        <f t="shared" ref="I66:I72" si="4">+AVERAGE(C66:D66,F66,H66)</f>
        <v>23.02</v>
      </c>
      <c r="J66" s="873">
        <v>17.100000000000001</v>
      </c>
      <c r="K66" s="649">
        <v>16.899999999999999</v>
      </c>
      <c r="L66" s="649">
        <v>28</v>
      </c>
      <c r="M66" s="649">
        <v>20.6</v>
      </c>
      <c r="N66" s="649">
        <v>24.5</v>
      </c>
      <c r="O66" s="649">
        <v>27.1</v>
      </c>
      <c r="P66" s="874">
        <f>+AVERAGE(J66,M66:N66)</f>
        <v>20.733333333333334</v>
      </c>
    </row>
    <row r="67" spans="1:16">
      <c r="A67" s="95"/>
      <c r="B67" s="849" t="s">
        <v>745</v>
      </c>
      <c r="C67" s="875">
        <v>1.6850000000000001</v>
      </c>
      <c r="D67" s="649">
        <v>1.069</v>
      </c>
      <c r="E67" s="649">
        <v>0.86</v>
      </c>
      <c r="F67" s="649">
        <v>0.69899999999999995</v>
      </c>
      <c r="G67" s="649">
        <v>1.27</v>
      </c>
      <c r="H67" s="649">
        <v>0.78</v>
      </c>
      <c r="I67" s="874">
        <f t="shared" si="4"/>
        <v>1.0582499999999999</v>
      </c>
      <c r="J67" s="873">
        <v>6.15</v>
      </c>
      <c r="K67" s="649">
        <v>5.99</v>
      </c>
      <c r="L67" s="649">
        <v>4.33</v>
      </c>
      <c r="M67" s="649">
        <v>4.59</v>
      </c>
      <c r="N67" s="649">
        <v>4.54</v>
      </c>
      <c r="O67" s="649">
        <v>3.55</v>
      </c>
      <c r="P67" s="874">
        <f t="shared" ref="P67:P71" si="5">+AVERAGE(J67,M67:N67)</f>
        <v>5.0933333333333337</v>
      </c>
    </row>
    <row r="68" spans="1:16">
      <c r="A68" s="95"/>
      <c r="B68" s="849" t="s">
        <v>747</v>
      </c>
      <c r="C68" s="875">
        <v>2.085</v>
      </c>
      <c r="D68" s="649">
        <v>1.512</v>
      </c>
      <c r="E68" s="649">
        <v>2.1280000000000001</v>
      </c>
      <c r="F68" s="649">
        <v>1.982</v>
      </c>
      <c r="G68" s="649">
        <v>1.81</v>
      </c>
      <c r="H68" s="649">
        <v>1.33</v>
      </c>
      <c r="I68" s="874">
        <f t="shared" si="4"/>
        <v>1.72725</v>
      </c>
      <c r="J68" s="873">
        <v>6.33</v>
      </c>
      <c r="K68" s="649">
        <v>6.43</v>
      </c>
      <c r="L68" s="876">
        <v>9.24</v>
      </c>
      <c r="M68" s="649">
        <v>5.99</v>
      </c>
      <c r="N68" s="876">
        <v>6.28</v>
      </c>
      <c r="O68" s="649">
        <v>5.03</v>
      </c>
      <c r="P68" s="874">
        <f t="shared" si="5"/>
        <v>6.2</v>
      </c>
    </row>
    <row r="69" spans="1:16">
      <c r="A69" s="95"/>
      <c r="B69" s="849" t="s">
        <v>748</v>
      </c>
      <c r="C69" s="875">
        <v>5.92</v>
      </c>
      <c r="D69" s="649">
        <v>5.31</v>
      </c>
      <c r="E69" s="876">
        <v>1.984</v>
      </c>
      <c r="F69" s="649">
        <v>3.843</v>
      </c>
      <c r="G69" s="649">
        <v>2.27</v>
      </c>
      <c r="H69" s="649">
        <v>2.4500000000000002</v>
      </c>
      <c r="I69" s="874">
        <f t="shared" si="4"/>
        <v>4.3807499999999999</v>
      </c>
      <c r="J69" s="873">
        <v>10.3</v>
      </c>
      <c r="K69" s="876">
        <v>12.4</v>
      </c>
      <c r="L69" s="876">
        <v>5.98</v>
      </c>
      <c r="M69" s="649">
        <v>7.91</v>
      </c>
      <c r="N69" s="876">
        <v>5.77</v>
      </c>
      <c r="O69" s="649">
        <v>6.56</v>
      </c>
      <c r="P69" s="874">
        <f t="shared" si="5"/>
        <v>7.9933333333333332</v>
      </c>
    </row>
    <row r="70" spans="1:16">
      <c r="A70" s="95"/>
      <c r="B70" s="849" t="s">
        <v>749</v>
      </c>
      <c r="C70" s="875">
        <v>23.39</v>
      </c>
      <c r="D70" s="876">
        <v>9.83</v>
      </c>
      <c r="E70" s="649">
        <v>17.79</v>
      </c>
      <c r="F70" s="649">
        <v>15.93</v>
      </c>
      <c r="G70" s="649">
        <v>25.33</v>
      </c>
      <c r="H70" s="649">
        <v>16.71</v>
      </c>
      <c r="I70" s="874">
        <f t="shared" si="4"/>
        <v>16.465</v>
      </c>
      <c r="J70" s="873">
        <v>21.6</v>
      </c>
      <c r="K70" s="876">
        <v>12.4</v>
      </c>
      <c r="L70" s="649">
        <v>22.8</v>
      </c>
      <c r="M70" s="649">
        <v>19.399999999999999</v>
      </c>
      <c r="N70" s="649">
        <v>21.7</v>
      </c>
      <c r="O70" s="649">
        <v>18</v>
      </c>
      <c r="P70" s="874">
        <f t="shared" si="5"/>
        <v>20.900000000000002</v>
      </c>
    </row>
    <row r="71" spans="1:16">
      <c r="A71" s="95"/>
      <c r="B71" s="849" t="s">
        <v>750</v>
      </c>
      <c r="C71" s="875">
        <v>2.8260000000000001</v>
      </c>
      <c r="D71" s="649">
        <v>3.22</v>
      </c>
      <c r="E71" s="649">
        <v>1.8160000000000001</v>
      </c>
      <c r="F71" s="895">
        <v>2.5299999999999998</v>
      </c>
      <c r="G71" s="876">
        <v>1.58</v>
      </c>
      <c r="H71" s="649">
        <v>1.605</v>
      </c>
      <c r="I71" s="874">
        <f t="shared" si="4"/>
        <v>2.5452500000000002</v>
      </c>
      <c r="J71" s="873">
        <v>7.32</v>
      </c>
      <c r="K71" s="649">
        <v>8.59</v>
      </c>
      <c r="L71" s="649">
        <v>6.68</v>
      </c>
      <c r="M71" s="895">
        <v>6.97</v>
      </c>
      <c r="N71" s="876">
        <v>2.6</v>
      </c>
      <c r="O71" s="649">
        <v>5.03</v>
      </c>
      <c r="P71" s="874">
        <f t="shared" si="5"/>
        <v>5.63</v>
      </c>
    </row>
    <row r="72" spans="1:16" ht="15" thickBot="1">
      <c r="A72" s="95"/>
      <c r="B72" s="850" t="s">
        <v>751</v>
      </c>
      <c r="C72" s="879">
        <v>0.154</v>
      </c>
      <c r="D72" s="877">
        <v>0.13900000000000001</v>
      </c>
      <c r="E72" s="877">
        <v>0.25800000000000001</v>
      </c>
      <c r="F72" s="896">
        <v>0.21</v>
      </c>
      <c r="G72" s="889">
        <v>0.12</v>
      </c>
      <c r="H72" s="877">
        <v>0.14399999999999999</v>
      </c>
      <c r="I72" s="878">
        <f t="shared" si="4"/>
        <v>0.16175</v>
      </c>
      <c r="J72" s="897">
        <v>3.81</v>
      </c>
      <c r="K72" s="877">
        <v>4.07</v>
      </c>
      <c r="L72" s="877">
        <v>2.63</v>
      </c>
      <c r="M72" s="896">
        <v>3.22</v>
      </c>
      <c r="N72" s="889">
        <v>5.12</v>
      </c>
      <c r="O72" s="877">
        <v>2.38</v>
      </c>
      <c r="P72" s="878">
        <f>+AVERAGE(J72,M72:N72)</f>
        <v>4.05</v>
      </c>
    </row>
    <row r="73" spans="1:16" ht="15" thickBot="1">
      <c r="B73" s="95"/>
      <c r="C73" s="95"/>
      <c r="D73" s="95"/>
      <c r="E73" s="95">
        <v>0.27</v>
      </c>
      <c r="F73" s="95"/>
      <c r="G73" s="117" t="s">
        <v>944</v>
      </c>
      <c r="H73" s="95"/>
      <c r="I73" s="95"/>
      <c r="J73" s="95"/>
      <c r="K73" s="95"/>
      <c r="L73" s="117"/>
      <c r="M73" s="95"/>
      <c r="N73" s="95"/>
      <c r="O73" s="95"/>
      <c r="P73" s="95"/>
    </row>
    <row r="74" spans="1:16">
      <c r="B74" s="848" t="s">
        <v>756</v>
      </c>
      <c r="C74" s="886">
        <f>+C66/C65</f>
        <v>11.223867595818817</v>
      </c>
      <c r="D74" s="884">
        <f t="shared" ref="D74" si="6">+D66/D65</f>
        <v>10.398423817863398</v>
      </c>
      <c r="E74" s="884">
        <f>+E66/E65</f>
        <v>6.6958347917395864</v>
      </c>
      <c r="F74" s="884">
        <f>+F66/F65</f>
        <v>13.355742296918768</v>
      </c>
      <c r="G74" s="884">
        <f>+G66/G65</f>
        <v>9.9090909090909083</v>
      </c>
      <c r="H74" s="884">
        <f>+H66/H65</f>
        <v>9.9047619047619051</v>
      </c>
      <c r="I74" s="885">
        <f>+AVERAGE(C74:D74,F74,H74)</f>
        <v>11.220698903840722</v>
      </c>
      <c r="J74" s="886">
        <f t="shared" ref="J74:M74" si="7">+J66/J65</f>
        <v>3.0755395683453242</v>
      </c>
      <c r="K74" s="884">
        <f t="shared" si="7"/>
        <v>3.2437619961612283</v>
      </c>
      <c r="L74" s="884">
        <f t="shared" si="7"/>
        <v>3.3214709371293001</v>
      </c>
      <c r="M74" s="884">
        <f t="shared" si="7"/>
        <v>3.8941398865784502</v>
      </c>
      <c r="N74" s="884">
        <f>+N66/N65</f>
        <v>3.495007132667618</v>
      </c>
      <c r="O74" s="884">
        <f>+O66/O65</f>
        <v>5.5306122448979593</v>
      </c>
      <c r="P74" s="885">
        <f>+AVERAGE(J74,M74:N74)</f>
        <v>3.4882288625304643</v>
      </c>
    </row>
    <row r="75" spans="1:16" ht="15" thickBot="1">
      <c r="B75" s="850" t="s">
        <v>764</v>
      </c>
      <c r="C75" s="875">
        <f>+C70/C69</f>
        <v>3.9510135135135136</v>
      </c>
      <c r="D75" s="649">
        <f t="shared" ref="D75" si="8">+D70/D69</f>
        <v>1.8512241054613938</v>
      </c>
      <c r="E75" s="649">
        <f>+E70/E69</f>
        <v>8.966733870967742</v>
      </c>
      <c r="F75" s="649">
        <f>+F70/F69</f>
        <v>4.1451990632318498</v>
      </c>
      <c r="G75" s="649">
        <f>+G70/G69</f>
        <v>11.158590308370043</v>
      </c>
      <c r="H75" s="649">
        <f>+H70/H69</f>
        <v>6.8204081632653057</v>
      </c>
      <c r="I75" s="874">
        <f t="shared" ref="I75" si="9">+AVERAGE(C75:D75,F75,H75)</f>
        <v>4.1919612113680156</v>
      </c>
      <c r="J75" s="875">
        <f t="shared" ref="J75:M75" si="10">+J70/J69</f>
        <v>2.0970873786407767</v>
      </c>
      <c r="K75" s="649">
        <f t="shared" si="10"/>
        <v>1</v>
      </c>
      <c r="L75" s="649">
        <f t="shared" si="10"/>
        <v>3.8127090301003341</v>
      </c>
      <c r="M75" s="649">
        <f t="shared" si="10"/>
        <v>2.4525916561314789</v>
      </c>
      <c r="N75" s="649">
        <f>+N70/N69</f>
        <v>3.760831889081456</v>
      </c>
      <c r="O75" s="649">
        <f>+O70/O69</f>
        <v>2.7439024390243905</v>
      </c>
      <c r="P75" s="874">
        <f>+AVERAGE(J75,M75:N75)</f>
        <v>2.7701703079512376</v>
      </c>
    </row>
    <row r="76" spans="1:16" ht="15" thickBot="1">
      <c r="B76" s="95"/>
      <c r="C76" s="629"/>
      <c r="D76" s="95"/>
      <c r="E76" s="95"/>
      <c r="F76" s="95"/>
      <c r="G76" s="95"/>
      <c r="H76" s="95"/>
      <c r="I76" s="887"/>
      <c r="J76" s="629"/>
      <c r="K76" s="95"/>
      <c r="L76" s="95"/>
      <c r="M76" s="95"/>
      <c r="N76" s="95"/>
      <c r="O76" s="95"/>
      <c r="P76" s="887"/>
    </row>
    <row r="77" spans="1:16">
      <c r="B77" s="848" t="s">
        <v>752</v>
      </c>
      <c r="C77" s="649">
        <f>+(C65-C72)/(AVERAGE(C66,C70)-C72)*100</f>
        <v>8.7693441414885775</v>
      </c>
      <c r="D77" s="649">
        <f>+(D65-D72)/(AVERAGE(D66,D70)-D72)*100</f>
        <v>12.882109182631671</v>
      </c>
      <c r="E77" s="649">
        <f t="shared" ref="E77:G77" si="11">+(E65-E72)/(AVERAGE(E66,E70)-E72)*100</f>
        <v>14.278650697725526</v>
      </c>
      <c r="F77" s="649">
        <f t="shared" si="11"/>
        <v>8.0050825921219833</v>
      </c>
      <c r="G77" s="649">
        <f t="shared" si="11"/>
        <v>9.8341463414634163</v>
      </c>
      <c r="H77" s="649">
        <f>+(H65-H72)/(AVERAGE(H66,H70)-H72)*100</f>
        <v>9.9368277275055483</v>
      </c>
      <c r="I77" s="874">
        <f>+AVERAGE(C77:D77,F77,H77)</f>
        <v>9.8983409109369447</v>
      </c>
      <c r="J77" s="875">
        <f t="shared" ref="J77:M77" si="12">+(J65-J72)/(J70-J72)*100</f>
        <v>9.8369870713884158</v>
      </c>
      <c r="K77" s="649">
        <f t="shared" si="12"/>
        <v>13.685474189675867</v>
      </c>
      <c r="L77" s="649">
        <f t="shared" si="12"/>
        <v>28.755577590480907</v>
      </c>
      <c r="M77" s="649">
        <f t="shared" si="12"/>
        <v>12.793572311495675</v>
      </c>
      <c r="N77" s="649">
        <f>+(N65-N72)/(N70-N72)*100</f>
        <v>11.399276236429433</v>
      </c>
      <c r="O77" s="649">
        <f>+(O65-O72)/(O70-O72)*100</f>
        <v>16.133162612035854</v>
      </c>
      <c r="P77" s="874">
        <f>+AVERAGE(J77,M77:N77)</f>
        <v>11.343278539771175</v>
      </c>
    </row>
    <row r="78" spans="1:16" ht="15" thickBot="1">
      <c r="B78" s="850" t="s">
        <v>753</v>
      </c>
      <c r="C78" s="649">
        <f>AVERAGE(C66,C70)/C65</f>
        <v>10.705574912891986</v>
      </c>
      <c r="D78" s="649">
        <f t="shared" ref="D78:H78" si="13">AVERAGE(D66,D70)/D65</f>
        <v>7.3511383537653243</v>
      </c>
      <c r="E78" s="649">
        <f t="shared" si="13"/>
        <v>6.4613230661533079</v>
      </c>
      <c r="F78" s="649">
        <f t="shared" si="13"/>
        <v>11.140056022408963</v>
      </c>
      <c r="G78" s="649">
        <f t="shared" si="13"/>
        <v>9.7518939393939377</v>
      </c>
      <c r="H78" s="649">
        <f t="shared" si="13"/>
        <v>9.3730158730158735</v>
      </c>
      <c r="I78" s="874">
        <f t="shared" ref="I78:I82" si="14">+AVERAGE(C78:D78,F78,H78)</f>
        <v>9.642446290520537</v>
      </c>
      <c r="J78" s="875">
        <f t="shared" ref="J78:M78" si="15">J70/J65</f>
        <v>3.884892086330936</v>
      </c>
      <c r="K78" s="649">
        <f t="shared" si="15"/>
        <v>2.3800383877159308</v>
      </c>
      <c r="L78" s="649">
        <f t="shared" si="15"/>
        <v>2.7046263345195731</v>
      </c>
      <c r="M78" s="649">
        <f t="shared" si="15"/>
        <v>3.6672967863894135</v>
      </c>
      <c r="N78" s="649">
        <f>N70/N65</f>
        <v>3.0955777460770326</v>
      </c>
      <c r="O78" s="649">
        <f>O70/O65</f>
        <v>3.6734693877551017</v>
      </c>
      <c r="P78" s="874">
        <f>+AVERAGE(J78,M78:N78)</f>
        <v>3.5492555395991272</v>
      </c>
    </row>
    <row r="79" spans="1:16" ht="15" thickBot="1">
      <c r="B79" s="95"/>
      <c r="C79" s="629"/>
      <c r="D79" s="95"/>
      <c r="E79" s="95"/>
      <c r="F79" s="95"/>
      <c r="G79" s="95"/>
      <c r="H79" s="95"/>
      <c r="I79" s="887"/>
      <c r="J79" s="629"/>
      <c r="K79" s="95"/>
      <c r="L79" s="95"/>
      <c r="M79" s="95"/>
      <c r="N79" s="95"/>
      <c r="O79" s="95"/>
      <c r="P79" s="887"/>
    </row>
    <row r="80" spans="1:16">
      <c r="B80" s="848" t="s">
        <v>754</v>
      </c>
      <c r="C80" s="875">
        <f>+AVERAGE('13. Pilotaje Rougher'!$K$37:$K$52)</f>
        <v>84.376281394866425</v>
      </c>
      <c r="D80" s="649">
        <f>+AVERAGE('13. Pilotaje Rougher'!$K$37:$K$52)</f>
        <v>84.376281394866425</v>
      </c>
      <c r="E80" s="649">
        <f>+AVERAGE('13. Pilotaje Rougher'!$K$37:$K$52)</f>
        <v>84.376281394866425</v>
      </c>
      <c r="F80" s="649">
        <f>+AVERAGE('13. Pilotaje Rougher'!$K$37:$K$52)</f>
        <v>84.376281394866425</v>
      </c>
      <c r="G80" s="649">
        <f>+AVERAGE('13. Pilotaje Rougher'!$K$37:$K$52)</f>
        <v>84.376281394866425</v>
      </c>
      <c r="H80" s="649">
        <f>+AVERAGE('13. Pilotaje Rougher'!$K$37:$K$52)</f>
        <v>84.376281394866425</v>
      </c>
      <c r="I80" s="874">
        <f t="shared" si="14"/>
        <v>84.376281394866425</v>
      </c>
      <c r="J80" s="875">
        <f>+AVERAGE('13. Pilotaje Rougher'!$K$37:$R$52)</f>
        <v>26.162527864063538</v>
      </c>
      <c r="K80" s="875">
        <f>+AVERAGE('13. Pilotaje Rougher'!$K$37:$R$52)</f>
        <v>26.162527864063538</v>
      </c>
      <c r="L80" s="875">
        <f>+AVERAGE('13. Pilotaje Rougher'!$K$37:$R$52)</f>
        <v>26.162527864063538</v>
      </c>
      <c r="M80" s="875">
        <f>+AVERAGE('13. Pilotaje Rougher'!$K$37:$R$52)</f>
        <v>26.162527864063538</v>
      </c>
      <c r="N80" s="875">
        <f>+AVERAGE('13. Pilotaje Rougher'!$K$37:$R$52)</f>
        <v>26.162527864063538</v>
      </c>
      <c r="O80" s="875">
        <f>+AVERAGE('13. Pilotaje Rougher'!$K$37:$R$52)</f>
        <v>26.162527864063538</v>
      </c>
      <c r="P80" s="874">
        <f t="shared" ref="P80" si="16">AVERAGE(J80:O80)</f>
        <v>26.162527864063538</v>
      </c>
    </row>
    <row r="81" spans="2:33">
      <c r="B81" s="849" t="s">
        <v>761</v>
      </c>
      <c r="C81" s="875">
        <f>+C77*C78</f>
        <v>93.880870643636428</v>
      </c>
      <c r="D81" s="649">
        <f t="shared" ref="D81" si="17">+D77*D78</f>
        <v>94.698166889836159</v>
      </c>
      <c r="E81" s="649">
        <f>+E77*E78</f>
        <v>92.258975106759962</v>
      </c>
      <c r="F81" s="649">
        <f>+F77*F78</f>
        <v>89.17706854024965</v>
      </c>
      <c r="G81" s="876">
        <f>+G77*G78</f>
        <v>95.901552106430159</v>
      </c>
      <c r="H81" s="649">
        <f>+H77*H78</f>
        <v>93.138044017333755</v>
      </c>
      <c r="I81" s="874">
        <f t="shared" si="14"/>
        <v>92.723537522763991</v>
      </c>
      <c r="J81" s="875">
        <f t="shared" ref="J81:M81" si="18">+J77*J78</f>
        <v>38.215633226976585</v>
      </c>
      <c r="K81" s="649">
        <f t="shared" si="18"/>
        <v>32.571953925524134</v>
      </c>
      <c r="L81" s="649">
        <f t="shared" si="18"/>
        <v>77.773092415535558</v>
      </c>
      <c r="M81" s="649">
        <f t="shared" si="18"/>
        <v>46.917826624388667</v>
      </c>
      <c r="N81" s="649">
        <f>+N77*N78</f>
        <v>35.287345838875702</v>
      </c>
      <c r="O81" s="649">
        <f>+O77*O78</f>
        <v>59.264678982988841</v>
      </c>
      <c r="P81" s="874">
        <f>+AVERAGE(J81,M81:N81)</f>
        <v>40.140268563413649</v>
      </c>
    </row>
    <row r="82" spans="2:33">
      <c r="B82" s="849" t="s">
        <v>755</v>
      </c>
      <c r="C82" s="875">
        <f>+C81*C80/100</f>
        <v>79.213187590225218</v>
      </c>
      <c r="D82" s="649">
        <f t="shared" ref="D82" si="19">+D81*D80/100</f>
        <v>79.902791770748379</v>
      </c>
      <c r="E82" s="649">
        <f>+E81*E80/100</f>
        <v>77.844692448099551</v>
      </c>
      <c r="F82" s="649">
        <f>+F81*F80/100</f>
        <v>75.244294291213947</v>
      </c>
      <c r="G82" s="649">
        <f>+G81*G80/100</f>
        <v>80.918163467365957</v>
      </c>
      <c r="H82" s="649">
        <f>+H81*H80/100</f>
        <v>78.58641810574008</v>
      </c>
      <c r="I82" s="874">
        <f t="shared" si="14"/>
        <v>78.236672939481906</v>
      </c>
      <c r="J82" s="875">
        <f t="shared" ref="J82:M82" si="20">+J81*J80/100</f>
        <v>9.9981756914360727</v>
      </c>
      <c r="K82" s="649">
        <f t="shared" si="20"/>
        <v>8.5216465216351889</v>
      </c>
      <c r="L82" s="649">
        <f t="shared" si="20"/>
        <v>20.347406973958378</v>
      </c>
      <c r="M82" s="649">
        <f t="shared" si="20"/>
        <v>12.274889463818706</v>
      </c>
      <c r="N82" s="649">
        <f>+N81*N80/100</f>
        <v>9.2320616875843218</v>
      </c>
      <c r="O82" s="649">
        <f>+O81*O80/100</f>
        <v>15.505138152472263</v>
      </c>
      <c r="P82" s="874">
        <f>+AVERAGE(J82,M82:N82)</f>
        <v>10.501708947613032</v>
      </c>
    </row>
    <row r="83" spans="2:33" ht="15" thickBot="1">
      <c r="B83" s="850" t="s">
        <v>763</v>
      </c>
      <c r="C83" s="888">
        <f t="shared" ref="C83:N83" si="21">+(0.68-(AVERAGE(C72,0.13)))/((AVERAGE(C66,C70))-(AVERAGE(C72,0.13)))*100</f>
        <v>2.2014894835911289</v>
      </c>
      <c r="D83" s="889">
        <f t="shared" si="21"/>
        <v>3.2751943802347574</v>
      </c>
      <c r="E83" s="889">
        <f t="shared" si="21"/>
        <v>2.6606810467535311</v>
      </c>
      <c r="F83" s="889">
        <f t="shared" si="21"/>
        <v>2.5868627948262746</v>
      </c>
      <c r="G83" s="889">
        <f t="shared" si="21"/>
        <v>2.1662763466042159</v>
      </c>
      <c r="H83" s="889">
        <f t="shared" si="21"/>
        <v>3.0890886335191721</v>
      </c>
      <c r="I83" s="890">
        <f t="shared" si="21"/>
        <v>2.7255968821161809</v>
      </c>
      <c r="J83" s="888">
        <f t="shared" si="21"/>
        <v>-7.4223245109321043</v>
      </c>
      <c r="K83" s="889">
        <f t="shared" si="21"/>
        <v>-11.314741035856574</v>
      </c>
      <c r="L83" s="889">
        <f t="shared" si="21"/>
        <v>-2.9142381348875932</v>
      </c>
      <c r="M83" s="889">
        <f t="shared" si="21"/>
        <v>-5.4297407912687587</v>
      </c>
      <c r="N83" s="889">
        <f t="shared" si="21"/>
        <v>-9.4993894993894976</v>
      </c>
      <c r="O83" s="889">
        <f>+(0.68-(AVERAGE(O72,0.13)))/((AVERAGE(O66,O70))-(AVERAGE(O72,0.13)))*100</f>
        <v>-2.7001643578304755</v>
      </c>
      <c r="P83" s="890" t="s">
        <v>639</v>
      </c>
    </row>
    <row r="85" spans="2:33">
      <c r="C85" s="95" t="s">
        <v>792</v>
      </c>
      <c r="D85" s="95" t="s">
        <v>792</v>
      </c>
      <c r="E85" s="1396" t="s">
        <v>793</v>
      </c>
      <c r="F85" s="1396"/>
      <c r="G85" s="1396" t="s">
        <v>793</v>
      </c>
      <c r="H85" s="1396"/>
    </row>
    <row r="86" spans="2:33">
      <c r="B86" s="898"/>
      <c r="C86" s="95"/>
      <c r="D86" s="95"/>
      <c r="E86" s="1396" t="s">
        <v>795</v>
      </c>
      <c r="F86" s="1396"/>
      <c r="G86" s="1396" t="s">
        <v>795</v>
      </c>
      <c r="H86" s="1396"/>
    </row>
    <row r="87" spans="2:33">
      <c r="C87" s="95"/>
      <c r="D87" s="95"/>
      <c r="E87" s="1396" t="s">
        <v>794</v>
      </c>
      <c r="F87" s="1396"/>
      <c r="G87" s="1396" t="s">
        <v>794</v>
      </c>
      <c r="H87" s="1396"/>
    </row>
    <row r="88" spans="2:33">
      <c r="B88" s="898"/>
    </row>
    <row r="89" spans="2:33">
      <c r="B89" s="4" t="s">
        <v>884</v>
      </c>
      <c r="C89" s="110">
        <f>+AVERAGE(C66,C70)</f>
        <v>24.58</v>
      </c>
      <c r="D89" s="110">
        <f t="shared" ref="D89:H89" si="22">+AVERAGE(D66,D70)</f>
        <v>16.79</v>
      </c>
      <c r="E89" s="110"/>
      <c r="F89" s="110">
        <f t="shared" si="22"/>
        <v>19.884999999999998</v>
      </c>
      <c r="G89" s="110"/>
      <c r="H89" s="110">
        <f t="shared" si="22"/>
        <v>17.715</v>
      </c>
      <c r="I89" s="110">
        <f>+AVERAGE(C89:H89)</f>
        <v>19.7425</v>
      </c>
    </row>
    <row r="90" spans="2:33">
      <c r="B90" s="4" t="s">
        <v>909</v>
      </c>
      <c r="C90" s="4">
        <f>C69*(C68-C72)/(C68*(C69-C72))*100</f>
        <v>95.087468006864029</v>
      </c>
      <c r="D90" s="4">
        <f>D69*(D68-D72)/(D68*(D69-D72))*100</f>
        <v>93.247829009770598</v>
      </c>
      <c r="F90" s="4">
        <f>F69*(F68-F72)/(F68*(F69-F72))*100</f>
        <v>94.57254014453784</v>
      </c>
      <c r="H90" s="4">
        <f>H69*(H68-H72)/(H68*(H69-H72))*100</f>
        <v>94.741406856256006</v>
      </c>
    </row>
    <row r="91" spans="2:33">
      <c r="B91" s="4" t="s">
        <v>940</v>
      </c>
      <c r="C91" s="4">
        <f>C66*(C65-C67)/(C65*(C66-C67))*100</f>
        <v>28.47325348160803</v>
      </c>
      <c r="D91" s="4">
        <f t="shared" ref="D91:H91" si="23">D66*(D65-D67)/(D65*(D66-D67))*100</f>
        <v>55.703385823835042</v>
      </c>
      <c r="F91" s="4">
        <f t="shared" si="23"/>
        <v>62.678087094135002</v>
      </c>
      <c r="H91" s="4">
        <f t="shared" si="23"/>
        <v>61.283643892339533</v>
      </c>
    </row>
    <row r="92" spans="2:33" ht="15" thickBot="1">
      <c r="B92" s="4" t="s">
        <v>941</v>
      </c>
      <c r="C92" s="4">
        <f t="shared" ref="C92:D92" si="24">C70*(C69-C71)/(C69*(C70-C71))*100</f>
        <v>59.445807288517862</v>
      </c>
      <c r="D92" s="4">
        <f t="shared" si="24"/>
        <v>58.533409688567517</v>
      </c>
      <c r="F92" s="4">
        <f>F70*(F69-F71)/(F69*(F70-F71))*100</f>
        <v>40.616763955398646</v>
      </c>
      <c r="H92" s="4">
        <f t="shared" ref="H92" si="25">H70*(H69-H71)/(H69*(H70-H71))*100</f>
        <v>38.154550797478883</v>
      </c>
    </row>
    <row r="93" spans="2:33" ht="15" thickBot="1">
      <c r="C93" s="1393" t="s">
        <v>1</v>
      </c>
      <c r="D93" s="1394"/>
      <c r="E93" s="1393" t="s">
        <v>17</v>
      </c>
      <c r="F93" s="1394"/>
      <c r="U93" s="1001"/>
      <c r="V93" s="1001"/>
      <c r="W93" s="1001"/>
      <c r="X93" s="1001"/>
      <c r="Y93" s="1001"/>
      <c r="Z93" s="1001"/>
      <c r="AA93" s="1001"/>
      <c r="AB93" s="1001"/>
      <c r="AC93" s="1001"/>
      <c r="AD93" s="1001"/>
      <c r="AE93" s="1001"/>
      <c r="AF93" s="1001"/>
      <c r="AG93" s="1001"/>
    </row>
    <row r="94" spans="2:33">
      <c r="C94" s="1391" t="s">
        <v>757</v>
      </c>
      <c r="D94" s="1392"/>
      <c r="E94" s="1391" t="s">
        <v>757</v>
      </c>
      <c r="F94" s="1392"/>
      <c r="U94" s="1001"/>
      <c r="V94" s="1001"/>
      <c r="W94" s="1001"/>
      <c r="X94" s="1001"/>
      <c r="Y94" s="1001"/>
      <c r="Z94" s="1001"/>
      <c r="AA94" s="1001"/>
      <c r="AB94" s="1001"/>
      <c r="AC94" s="1001"/>
      <c r="AD94" s="1001"/>
      <c r="AE94" s="1001"/>
      <c r="AF94" s="1001"/>
      <c r="AG94" s="1001"/>
    </row>
    <row r="95" spans="2:33" ht="15" thickBot="1">
      <c r="C95" s="892" t="s">
        <v>800</v>
      </c>
      <c r="D95" s="911" t="s">
        <v>801</v>
      </c>
      <c r="E95" s="892" t="s">
        <v>800</v>
      </c>
      <c r="F95" s="911" t="s">
        <v>801</v>
      </c>
      <c r="J95" s="1002" t="s">
        <v>901</v>
      </c>
      <c r="K95" s="1003" t="s">
        <v>902</v>
      </c>
      <c r="M95" s="1446" t="s">
        <v>1179</v>
      </c>
      <c r="N95" s="1446"/>
      <c r="O95" s="1186"/>
      <c r="P95" s="1446" t="s">
        <v>1181</v>
      </c>
      <c r="Q95" s="1446"/>
      <c r="U95" s="1001"/>
      <c r="V95" s="1001"/>
      <c r="W95" s="1001"/>
      <c r="X95" s="1001"/>
      <c r="Y95" s="1001"/>
      <c r="Z95" s="1001"/>
      <c r="AA95" s="1001"/>
      <c r="AB95" s="1001"/>
      <c r="AC95" s="1001"/>
      <c r="AD95" s="1001"/>
      <c r="AE95" s="1001"/>
      <c r="AF95" s="1001"/>
      <c r="AG95" s="1001"/>
    </row>
    <row r="96" spans="2:33">
      <c r="B96" s="848" t="s">
        <v>744</v>
      </c>
      <c r="C96" s="872">
        <f>+AVERAGE(C34,F34)</f>
        <v>4.6105</v>
      </c>
      <c r="D96" s="874">
        <f>+I65</f>
        <v>2.0637500000000002</v>
      </c>
      <c r="E96" s="872">
        <v>4.55</v>
      </c>
      <c r="F96" s="871">
        <v>3.9830000000000001</v>
      </c>
      <c r="I96" s="848" t="s">
        <v>21</v>
      </c>
      <c r="J96" s="886">
        <f>+AVERAGE('13. Pilotaje Rougher'!$F$20:$F$36)</f>
        <v>0.67582352941176471</v>
      </c>
      <c r="K96" s="885">
        <f>+AVERAGE('13. Pilotaje Rougher'!$F$37:$F$52)</f>
        <v>0.68168749999999989</v>
      </c>
      <c r="M96" s="1065" t="s">
        <v>1056</v>
      </c>
      <c r="N96" s="1182">
        <f>'Pilotaje Cleaner Alto Flujo '!G53</f>
        <v>3.2132499999999999</v>
      </c>
      <c r="O96" s="1186"/>
      <c r="P96" s="1065" t="s">
        <v>1056</v>
      </c>
      <c r="Q96" s="1182">
        <f>J106</f>
        <v>0.23</v>
      </c>
      <c r="U96" s="1001"/>
      <c r="V96" s="1001"/>
      <c r="W96" s="1001"/>
      <c r="X96" s="1001"/>
      <c r="Y96" s="1001"/>
      <c r="Z96" s="1001"/>
      <c r="AA96" s="1001"/>
      <c r="AB96" s="1001"/>
      <c r="AC96" s="1001"/>
      <c r="AD96" s="1001"/>
      <c r="AE96" s="1001"/>
      <c r="AF96" s="1001"/>
      <c r="AG96" s="1001"/>
    </row>
    <row r="97" spans="2:33">
      <c r="B97" s="849" t="s">
        <v>746</v>
      </c>
      <c r="C97" s="875">
        <f>+AVERAGE(C35,F35)</f>
        <v>21.674999999999997</v>
      </c>
      <c r="D97" s="874">
        <f>+I66</f>
        <v>23.02</v>
      </c>
      <c r="E97" s="875">
        <v>20.99</v>
      </c>
      <c r="F97" s="874">
        <v>23.34</v>
      </c>
      <c r="I97" s="849" t="s">
        <v>23</v>
      </c>
      <c r="J97" s="875">
        <f>+AVERAGE('13. Pilotaje Rougher'!$G$20:$G$36)</f>
        <v>0.15441176470588236</v>
      </c>
      <c r="K97" s="874">
        <f>+AVERAGE('13. Pilotaje Rougher'!$G$37:$G$52)</f>
        <v>0.13150000000000001</v>
      </c>
      <c r="M97" s="1065" t="s">
        <v>1096</v>
      </c>
      <c r="N97" s="1182">
        <f>'Pilotaje Cleaner Alto Flujo '!G54</f>
        <v>84.376281394866425</v>
      </c>
      <c r="O97" s="1186"/>
      <c r="P97" s="1065" t="s">
        <v>1096</v>
      </c>
      <c r="Q97" s="1182">
        <f>+Q98*Q99</f>
        <v>4.6052806348007893</v>
      </c>
      <c r="U97" s="1001"/>
      <c r="V97" s="1001"/>
      <c r="W97" s="1001"/>
      <c r="X97" s="1001"/>
      <c r="Y97" s="1001"/>
      <c r="Z97" s="1001"/>
      <c r="AA97" s="1001"/>
      <c r="AB97" s="1001"/>
      <c r="AC97" s="1001"/>
      <c r="AD97" s="1001"/>
      <c r="AE97" s="1001"/>
      <c r="AF97" s="1001"/>
      <c r="AG97" s="1001"/>
    </row>
    <row r="98" spans="2:33">
      <c r="B98" s="849" t="s">
        <v>745</v>
      </c>
      <c r="C98" s="875">
        <f t="shared" ref="C98:C102" si="26">+AVERAGE(C36,F36)</f>
        <v>2.9889999999999999</v>
      </c>
      <c r="D98" s="874">
        <f t="shared" ref="D98:D102" si="27">+I67</f>
        <v>1.0582499999999999</v>
      </c>
      <c r="E98" s="875">
        <v>3.29</v>
      </c>
      <c r="F98" s="874">
        <v>1.9</v>
      </c>
      <c r="I98" s="849" t="s">
        <v>22</v>
      </c>
      <c r="J98" s="875">
        <f>+AVERAGE('13. Pilotaje Rougher'!$H$20:$H$36)</f>
        <v>5.1583529411764708</v>
      </c>
      <c r="K98" s="874">
        <f>+AVERAGE('13. Pilotaje Rougher'!$H$37:$H$52)</f>
        <v>3.2132499999999999</v>
      </c>
      <c r="M98" s="1065" t="s">
        <v>1178</v>
      </c>
      <c r="N98" s="1182">
        <f>'Pilotaje Cleaner Alto Flujo '!G55</f>
        <v>17.853086720207671</v>
      </c>
      <c r="O98" s="1186"/>
      <c r="P98" s="1065" t="s">
        <v>1178</v>
      </c>
      <c r="Q98" s="1182">
        <f>(J105-J109)/(J106-J109)*100</f>
        <v>95.28926322181286</v>
      </c>
      <c r="U98" s="1001"/>
      <c r="V98" s="1001"/>
      <c r="W98" s="1001"/>
      <c r="X98" s="1001"/>
      <c r="Y98" s="1001"/>
      <c r="Z98" s="1001"/>
      <c r="AA98" s="1001"/>
      <c r="AB98" s="1001"/>
      <c r="AC98" s="1001"/>
      <c r="AD98" s="1001"/>
      <c r="AE98" s="1001"/>
      <c r="AF98" s="1001"/>
      <c r="AG98" s="1001"/>
    </row>
    <row r="99" spans="2:33">
      <c r="B99" s="849" t="s">
        <v>747</v>
      </c>
      <c r="C99" s="875">
        <f t="shared" si="26"/>
        <v>3.3</v>
      </c>
      <c r="D99" s="874">
        <f>+I68</f>
        <v>1.72725</v>
      </c>
      <c r="E99" s="875">
        <v>2.1349999999999998</v>
      </c>
      <c r="F99" s="874">
        <v>2.9729999999999999</v>
      </c>
      <c r="I99" s="849" t="str">
        <f t="shared" ref="I99:K100" si="28">B96</f>
        <v>Alim. 1° Cl</v>
      </c>
      <c r="J99" s="875">
        <f t="shared" si="28"/>
        <v>4.6105</v>
      </c>
      <c r="K99" s="874">
        <f t="shared" si="28"/>
        <v>2.0637500000000002</v>
      </c>
      <c r="M99" s="1065" t="s">
        <v>753</v>
      </c>
      <c r="N99" s="1182">
        <f>'Pilotaje Cleaner Alto Flujo '!G56</f>
        <v>4.7136701201063547</v>
      </c>
      <c r="O99" s="1186"/>
      <c r="P99" s="1065" t="s">
        <v>753</v>
      </c>
      <c r="Q99" s="1182">
        <f>J106/J105</f>
        <v>4.832948098339987E-2</v>
      </c>
      <c r="U99" s="1001"/>
      <c r="V99" s="1001"/>
      <c r="W99" s="1001"/>
      <c r="X99" s="1001"/>
      <c r="Y99" s="1001"/>
      <c r="Z99" s="1001"/>
      <c r="AA99" s="1001"/>
      <c r="AB99" s="1001"/>
      <c r="AC99" s="1001"/>
      <c r="AD99" s="1001"/>
      <c r="AE99" s="1001"/>
      <c r="AF99" s="1001"/>
      <c r="AG99" s="1001"/>
    </row>
    <row r="100" spans="2:33">
      <c r="B100" s="849" t="s">
        <v>748</v>
      </c>
      <c r="C100" s="875">
        <f t="shared" si="26"/>
        <v>5.1739999999999995</v>
      </c>
      <c r="D100" s="874">
        <f t="shared" si="27"/>
        <v>4.3807499999999999</v>
      </c>
      <c r="E100" s="875">
        <v>4.5679999999999996</v>
      </c>
      <c r="F100" s="874">
        <v>3.952</v>
      </c>
      <c r="I100" s="849" t="str">
        <f t="shared" si="28"/>
        <v>Conc. 1° Cl</v>
      </c>
      <c r="J100" s="875">
        <f t="shared" si="28"/>
        <v>21.674999999999997</v>
      </c>
      <c r="K100" s="874">
        <f t="shared" si="28"/>
        <v>23.02</v>
      </c>
      <c r="M100" s="1186"/>
      <c r="N100" s="1186"/>
      <c r="O100" s="1186"/>
      <c r="P100" s="1186"/>
      <c r="Q100" s="1186"/>
      <c r="U100" s="1001"/>
      <c r="V100" s="1001"/>
      <c r="W100" s="1001"/>
      <c r="X100" s="1001"/>
      <c r="Y100" s="1001"/>
      <c r="Z100" s="1001"/>
      <c r="AA100" s="1001"/>
      <c r="AB100" s="1001"/>
      <c r="AC100" s="1001"/>
      <c r="AD100" s="1001"/>
      <c r="AE100" s="1001"/>
      <c r="AF100" s="1001"/>
      <c r="AG100" s="1001"/>
    </row>
    <row r="101" spans="2:33">
      <c r="B101" s="849" t="s">
        <v>749</v>
      </c>
      <c r="C101" s="875">
        <f t="shared" si="26"/>
        <v>16.29</v>
      </c>
      <c r="D101" s="874">
        <f t="shared" si="27"/>
        <v>16.465</v>
      </c>
      <c r="E101" s="875">
        <v>17.55</v>
      </c>
      <c r="F101" s="874">
        <v>14.98</v>
      </c>
      <c r="I101" s="849" t="s">
        <v>745</v>
      </c>
      <c r="J101" s="875">
        <f t="shared" ref="J101" si="29">C98</f>
        <v>2.9889999999999999</v>
      </c>
      <c r="K101" s="874">
        <f>D98</f>
        <v>1.0582499999999999</v>
      </c>
      <c r="M101" s="1447" t="s">
        <v>1180</v>
      </c>
      <c r="N101" s="1448"/>
      <c r="O101" s="1186"/>
      <c r="P101" s="1447" t="s">
        <v>1182</v>
      </c>
      <c r="Q101" s="1448"/>
      <c r="U101" s="1001"/>
      <c r="V101" s="1001"/>
      <c r="W101" s="1001"/>
      <c r="X101" s="1001"/>
      <c r="Y101" s="1001"/>
      <c r="Z101" s="1001"/>
      <c r="AA101" s="1001"/>
      <c r="AB101" s="1001"/>
      <c r="AC101" s="1001"/>
      <c r="AD101" s="1001"/>
      <c r="AE101" s="1001"/>
      <c r="AF101" s="1001"/>
      <c r="AG101" s="1001"/>
    </row>
    <row r="102" spans="2:33">
      <c r="B102" s="849" t="s">
        <v>750</v>
      </c>
      <c r="C102" s="875">
        <f t="shared" si="26"/>
        <v>4.7590000000000003</v>
      </c>
      <c r="D102" s="874">
        <f t="shared" si="27"/>
        <v>2.5452500000000002</v>
      </c>
      <c r="E102" s="875">
        <v>4.5519999999999996</v>
      </c>
      <c r="F102" s="874">
        <v>4.8650000000000002</v>
      </c>
      <c r="I102" s="849" t="s">
        <v>747</v>
      </c>
      <c r="J102" s="875">
        <f t="shared" ref="J102:J103" si="30">C99</f>
        <v>3.3</v>
      </c>
      <c r="K102" s="874">
        <f>D99</f>
        <v>1.72725</v>
      </c>
      <c r="M102" s="1065" t="s">
        <v>1056</v>
      </c>
      <c r="N102" s="1182">
        <f>K100</f>
        <v>23.02</v>
      </c>
      <c r="O102" s="1186"/>
      <c r="P102" s="1065" t="s">
        <v>1056</v>
      </c>
      <c r="Q102" s="1182">
        <f>J107</f>
        <v>0</v>
      </c>
      <c r="U102" s="1001"/>
      <c r="V102" s="1001"/>
      <c r="W102" s="1001"/>
      <c r="X102" s="1001"/>
      <c r="Y102" s="1001"/>
      <c r="Z102" s="1001"/>
      <c r="AA102" s="1001"/>
      <c r="AB102" s="1001"/>
      <c r="AC102" s="1001"/>
      <c r="AD102" s="1001"/>
      <c r="AE102" s="1001"/>
      <c r="AF102" s="1001"/>
      <c r="AG102" s="1001"/>
    </row>
    <row r="103" spans="2:33" ht="15" thickBot="1">
      <c r="B103" s="850" t="s">
        <v>751</v>
      </c>
      <c r="C103" s="879">
        <f>+AVERAGE(C41,F41)</f>
        <v>0.23</v>
      </c>
      <c r="D103" s="910">
        <f>+I72</f>
        <v>0.16175</v>
      </c>
      <c r="E103" s="879">
        <v>0.22600000000000001</v>
      </c>
      <c r="F103" s="910">
        <v>0.253</v>
      </c>
      <c r="I103" s="849" t="s">
        <v>748</v>
      </c>
      <c r="J103" s="875">
        <f t="shared" si="30"/>
        <v>5.1739999999999995</v>
      </c>
      <c r="K103" s="874">
        <f>D100</f>
        <v>4.3807499999999999</v>
      </c>
      <c r="M103" s="1065" t="s">
        <v>1096</v>
      </c>
      <c r="N103" s="1182">
        <f>+N104*N105</f>
        <v>51.069706797162084</v>
      </c>
      <c r="O103" s="1186"/>
      <c r="P103" s="1065" t="s">
        <v>1096</v>
      </c>
      <c r="Q103" s="1182">
        <f>+Q104*Q105</f>
        <v>0</v>
      </c>
      <c r="U103" s="1001"/>
      <c r="V103" s="1001"/>
      <c r="W103" s="1001"/>
      <c r="X103" s="1001"/>
      <c r="Y103" s="1001"/>
      <c r="Z103" s="1001"/>
      <c r="AA103" s="1001"/>
      <c r="AB103" s="1001"/>
      <c r="AC103" s="1001"/>
      <c r="AD103" s="1001"/>
      <c r="AE103" s="1001"/>
      <c r="AF103" s="1001"/>
      <c r="AG103" s="1001"/>
    </row>
    <row r="104" spans="2:33" ht="15" thickBot="1">
      <c r="I104" s="849" t="str">
        <f t="shared" ref="I104:J105" si="31">B101</f>
        <v>Conc. Cl-SCV</v>
      </c>
      <c r="J104" s="875">
        <f t="shared" si="31"/>
        <v>16.29</v>
      </c>
      <c r="K104" s="874">
        <f>D101</f>
        <v>16.465</v>
      </c>
      <c r="M104" s="1065" t="s">
        <v>1178</v>
      </c>
      <c r="N104" s="1182">
        <f>+(K99-K101)/(K100-K101)*100</f>
        <v>4.5784147438159541</v>
      </c>
      <c r="O104" s="1186"/>
      <c r="P104" s="1065" t="s">
        <v>1178</v>
      </c>
      <c r="Q104" s="1182">
        <f>(J106-J108)/(J107-J108)*100</f>
        <v>99.711806511248682</v>
      </c>
      <c r="U104" s="1001"/>
      <c r="V104" s="1001"/>
      <c r="W104" s="1001"/>
      <c r="X104" s="1001"/>
      <c r="Y104" s="1001"/>
      <c r="Z104" s="1001"/>
      <c r="AA104" s="1001"/>
      <c r="AB104" s="1001"/>
      <c r="AC104" s="1001"/>
      <c r="AD104" s="1001"/>
      <c r="AE104" s="1001"/>
      <c r="AF104" s="1001"/>
      <c r="AG104" s="1001"/>
    </row>
    <row r="105" spans="2:33">
      <c r="B105" s="848" t="s">
        <v>756</v>
      </c>
      <c r="C105" s="912">
        <f>+C97/C96</f>
        <v>4.7012254636156596</v>
      </c>
      <c r="D105" s="913">
        <f>+D97/D96</f>
        <v>11.154451847365232</v>
      </c>
      <c r="E105" s="912">
        <f>+E97/E96</f>
        <v>4.6131868131868128</v>
      </c>
      <c r="F105" s="913">
        <f>+F97/F96</f>
        <v>5.8599045945267383</v>
      </c>
      <c r="I105" s="849" t="str">
        <f t="shared" si="31"/>
        <v>Cola Cl-SCV</v>
      </c>
      <c r="J105" s="875">
        <f t="shared" si="31"/>
        <v>4.7590000000000003</v>
      </c>
      <c r="K105" s="874">
        <f>D102</f>
        <v>2.5452500000000002</v>
      </c>
      <c r="M105" s="1065" t="s">
        <v>753</v>
      </c>
      <c r="N105" s="1182">
        <f>+K100/K99</f>
        <v>11.154451847365232</v>
      </c>
      <c r="O105" s="1186"/>
      <c r="P105" s="1065" t="s">
        <v>753</v>
      </c>
      <c r="Q105" s="1182">
        <f>J107/J106</f>
        <v>0</v>
      </c>
      <c r="U105" s="1001"/>
      <c r="V105" s="1001"/>
      <c r="W105" s="1001"/>
      <c r="X105" s="1001"/>
      <c r="Y105" s="1001"/>
      <c r="Z105" s="1001"/>
      <c r="AA105" s="1001"/>
      <c r="AB105" s="1001"/>
      <c r="AC105" s="1001"/>
      <c r="AD105" s="1001"/>
      <c r="AE105" s="1001"/>
      <c r="AF105" s="1001"/>
      <c r="AG105" s="1001"/>
    </row>
    <row r="106" spans="2:33" ht="15" thickBot="1">
      <c r="B106" s="850" t="s">
        <v>764</v>
      </c>
      <c r="C106" s="914">
        <f>+C101/C100</f>
        <v>3.1484344800927717</v>
      </c>
      <c r="D106" s="915">
        <f>+D101/D100</f>
        <v>3.758488843234606</v>
      </c>
      <c r="E106" s="914">
        <f>+E101/E100</f>
        <v>3.8419439579684767</v>
      </c>
      <c r="F106" s="915">
        <f>+F101/F100</f>
        <v>3.7904858299595143</v>
      </c>
      <c r="I106" s="850" t="s">
        <v>751</v>
      </c>
      <c r="J106" s="879">
        <v>0.23</v>
      </c>
      <c r="K106" s="910">
        <v>0.16175</v>
      </c>
      <c r="M106" s="1186"/>
      <c r="N106" s="1186"/>
      <c r="O106" s="1186"/>
      <c r="P106" s="1186"/>
      <c r="Q106" s="1186"/>
      <c r="U106" s="1001"/>
      <c r="V106" s="1001"/>
      <c r="W106" s="1001"/>
      <c r="X106" s="1001"/>
      <c r="Y106" s="1001"/>
      <c r="Z106" s="1001"/>
      <c r="AA106" s="1001"/>
      <c r="AB106" s="1001"/>
      <c r="AC106" s="1001"/>
      <c r="AD106" s="1001"/>
      <c r="AE106" s="1001"/>
      <c r="AF106" s="1001"/>
      <c r="AG106" s="1001"/>
    </row>
    <row r="107" spans="2:33" ht="15" thickBot="1">
      <c r="M107" s="1447" t="s">
        <v>1183</v>
      </c>
      <c r="N107" s="1448"/>
      <c r="O107" s="1186"/>
      <c r="P107" s="1186"/>
      <c r="Q107" s="1186"/>
      <c r="U107" s="1001"/>
      <c r="V107" s="1001"/>
      <c r="W107" s="1001"/>
      <c r="X107" s="1001"/>
      <c r="Y107" s="1001"/>
      <c r="Z107" s="1001"/>
      <c r="AA107" s="1001"/>
      <c r="AB107" s="1001"/>
      <c r="AC107" s="1001"/>
      <c r="AD107" s="1001"/>
      <c r="AE107" s="1001"/>
      <c r="AF107" s="1001"/>
      <c r="AG107" s="1001"/>
    </row>
    <row r="108" spans="2:33">
      <c r="B108" s="848" t="s">
        <v>752</v>
      </c>
      <c r="C108" s="912">
        <f>+(C96-C103)/(C101-C103)*100</f>
        <v>27.275840597758403</v>
      </c>
      <c r="D108" s="913">
        <f>+(D96-D103)/(D101-D103)*100</f>
        <v>11.666385536626136</v>
      </c>
      <c r="E108" s="912">
        <f>+(E96-E103)/(E101-E103)*100</f>
        <v>24.959593627337796</v>
      </c>
      <c r="F108" s="913">
        <f>+(F96-F103)/(F101-F103)*100</f>
        <v>25.32762952400353</v>
      </c>
      <c r="I108" s="848" t="str">
        <f t="shared" ref="I108:K111" si="32">B111</f>
        <v>Rec Ro</v>
      </c>
      <c r="J108" s="886">
        <f t="shared" si="32"/>
        <v>79.807493568485683</v>
      </c>
      <c r="K108" s="885">
        <f t="shared" si="32"/>
        <v>84.376281394866425</v>
      </c>
      <c r="M108" s="1065" t="s">
        <v>1056</v>
      </c>
      <c r="N108" s="1182">
        <f>AVERAGE(K104,K100)</f>
        <v>19.7425</v>
      </c>
      <c r="O108" s="1186"/>
      <c r="P108" s="1186"/>
      <c r="Q108" s="1186"/>
      <c r="U108" s="1001"/>
      <c r="V108" s="1001"/>
      <c r="W108" s="1001"/>
      <c r="X108" s="1001"/>
      <c r="Y108" s="1001"/>
      <c r="Z108" s="1001"/>
      <c r="AA108" s="1001"/>
      <c r="AB108" s="1001"/>
      <c r="AC108" s="1001"/>
      <c r="AD108" s="1001"/>
      <c r="AE108" s="1001"/>
      <c r="AF108" s="1001"/>
      <c r="AG108" s="1001"/>
    </row>
    <row r="109" spans="2:33" ht="15" thickBot="1">
      <c r="B109" s="850" t="s">
        <v>753</v>
      </c>
      <c r="C109" s="914">
        <f>C101/C96</f>
        <v>3.5332393449734298</v>
      </c>
      <c r="D109" s="915">
        <f>D101/D96</f>
        <v>7.9781950333131428</v>
      </c>
      <c r="E109" s="914">
        <f>E101/E96</f>
        <v>3.8571428571428577</v>
      </c>
      <c r="F109" s="915">
        <f>F101/F96</f>
        <v>3.7609841827768014</v>
      </c>
      <c r="I109" s="849" t="str">
        <f t="shared" si="32"/>
        <v>Rec Cleaner</v>
      </c>
      <c r="J109" s="875">
        <f t="shared" si="32"/>
        <v>96.37207316722359</v>
      </c>
      <c r="K109" s="874">
        <f t="shared" si="32"/>
        <v>93.076699145026922</v>
      </c>
      <c r="M109" s="1065" t="s">
        <v>1096</v>
      </c>
      <c r="N109" s="1182">
        <f>J91</f>
        <v>0</v>
      </c>
      <c r="O109" s="1186"/>
      <c r="P109" s="1186"/>
      <c r="Q109" s="1186"/>
      <c r="U109" s="1001"/>
      <c r="V109" s="1001"/>
      <c r="W109" s="1001"/>
      <c r="X109" s="1001"/>
      <c r="Y109" s="1001"/>
      <c r="Z109" s="1001"/>
      <c r="AA109" s="1001"/>
      <c r="AB109" s="1001"/>
      <c r="AC109" s="1001"/>
      <c r="AD109" s="1001"/>
      <c r="AE109" s="1001"/>
      <c r="AF109" s="1001"/>
      <c r="AG109" s="1001"/>
    </row>
    <row r="110" spans="2:33" ht="15" thickBot="1">
      <c r="I110" s="849" t="str">
        <f t="shared" si="32"/>
        <v>Rec Global</v>
      </c>
      <c r="J110" s="875">
        <f t="shared" si="32"/>
        <v>76.912136094748291</v>
      </c>
      <c r="K110" s="874">
        <f t="shared" si="32"/>
        <v>78.534657583661144</v>
      </c>
      <c r="M110" s="1065" t="s">
        <v>1178</v>
      </c>
      <c r="N110" s="1182">
        <f>J86</f>
        <v>0</v>
      </c>
      <c r="O110" s="1186"/>
      <c r="P110" s="1186"/>
      <c r="Q110" s="1186"/>
      <c r="U110" s="1001"/>
      <c r="V110" s="1001"/>
      <c r="W110" s="1001"/>
      <c r="X110" s="1001"/>
      <c r="Y110" s="1001"/>
      <c r="Z110" s="1001"/>
      <c r="AA110" s="1001"/>
      <c r="AB110" s="1001"/>
      <c r="AC110" s="1001"/>
      <c r="AD110" s="1001"/>
      <c r="AE110" s="1001"/>
      <c r="AF110" s="1001"/>
      <c r="AG110" s="1001"/>
    </row>
    <row r="111" spans="2:33" ht="15" thickBot="1">
      <c r="B111" s="848" t="s">
        <v>754</v>
      </c>
      <c r="C111" s="1004">
        <f>+AVERAGE('13. Pilotaje Rougher'!$K$20:$K$36)</f>
        <v>79.807493568485683</v>
      </c>
      <c r="D111" s="1005">
        <f>+AVERAGE('13. Pilotaje Rougher'!$K$37:$K$52)</f>
        <v>84.376281394866425</v>
      </c>
      <c r="E111" s="912">
        <f>+AVERAGE('13. Pilotaje Rougher'!$K$20:$K$36)</f>
        <v>79.807493568485683</v>
      </c>
      <c r="F111" s="913">
        <f>+AVERAGE('13. Pilotaje Rougher'!$K$20:$K$36)</f>
        <v>79.807493568485683</v>
      </c>
      <c r="I111" s="850" t="str">
        <f t="shared" si="32"/>
        <v>Rp Global</v>
      </c>
      <c r="J111" s="879">
        <f t="shared" si="32"/>
        <v>2.6074231741386198</v>
      </c>
      <c r="K111" s="878">
        <f t="shared" si="32"/>
        <v>2.6759331942077824</v>
      </c>
      <c r="M111" s="1065" t="s">
        <v>753</v>
      </c>
      <c r="N111" s="1182">
        <f>J87</f>
        <v>0</v>
      </c>
      <c r="O111" s="1186"/>
      <c r="P111" s="1186"/>
      <c r="Q111" s="1186"/>
      <c r="U111" s="1001"/>
      <c r="V111" s="1001"/>
      <c r="W111" s="1001"/>
      <c r="X111" s="1001"/>
      <c r="Y111" s="1001"/>
      <c r="Z111" s="1001"/>
      <c r="AA111" s="1001"/>
      <c r="AB111" s="1001"/>
      <c r="AC111" s="1001"/>
      <c r="AD111" s="1001"/>
      <c r="AE111" s="1001"/>
      <c r="AF111" s="1001"/>
      <c r="AG111" s="1001"/>
    </row>
    <row r="112" spans="2:33">
      <c r="B112" s="849" t="s">
        <v>761</v>
      </c>
      <c r="C112" s="1006">
        <f>+C108*C109</f>
        <v>96.37207316722359</v>
      </c>
      <c r="D112" s="1007">
        <f>+D108*D109</f>
        <v>93.076699145026922</v>
      </c>
      <c r="E112" s="916">
        <f>+E108*E109</f>
        <v>96.272718276874372</v>
      </c>
      <c r="F112" s="917">
        <f>+F108*F109</f>
        <v>95.256814027008005</v>
      </c>
      <c r="U112" s="1001"/>
      <c r="V112" s="1001"/>
      <c r="W112" s="1001"/>
      <c r="X112" s="1001"/>
      <c r="Y112" s="1001"/>
      <c r="Z112" s="1001"/>
      <c r="AA112" s="1001"/>
      <c r="AB112" s="1001"/>
      <c r="AC112" s="1001"/>
      <c r="AD112" s="1001"/>
      <c r="AE112" s="1001"/>
      <c r="AF112" s="1001"/>
      <c r="AG112" s="1001"/>
    </row>
    <row r="113" spans="2:33">
      <c r="B113" s="849" t="s">
        <v>755</v>
      </c>
      <c r="C113" s="1006">
        <f>+C112*C111/100</f>
        <v>76.912136094748291</v>
      </c>
      <c r="D113" s="1007">
        <f>+D112*D111/100</f>
        <v>78.534657583661144</v>
      </c>
      <c r="E113" s="916">
        <f>+E112*E111/100</f>
        <v>76.832843447022853</v>
      </c>
      <c r="F113" s="917">
        <f>+F112*F111/100</f>
        <v>76.022075728148778</v>
      </c>
      <c r="U113" s="1001"/>
      <c r="V113" s="1001"/>
      <c r="W113" s="1001"/>
      <c r="X113" s="1001"/>
      <c r="Y113" s="1001"/>
      <c r="Z113" s="1001"/>
      <c r="AA113" s="1001"/>
      <c r="AB113" s="1001"/>
      <c r="AC113" s="1001"/>
      <c r="AD113" s="1001"/>
      <c r="AE113" s="1001"/>
      <c r="AF113" s="1001"/>
      <c r="AG113" s="1001"/>
    </row>
    <row r="114" spans="2:33" ht="15" thickBot="1">
      <c r="B114" s="850" t="s">
        <v>763</v>
      </c>
      <c r="C114" s="1008">
        <f>+(0.68-(AVERAGE(C103,0.15)))/((AVERAGE(C97,C101))-(AVERAGE(C103,0.15)))*100</f>
        <v>2.6074231741386198</v>
      </c>
      <c r="D114" s="1009">
        <f>+(0.68-(AVERAGE(D103,0.15)))/((AVERAGE(D97,D101))-(AVERAGE(D103,0.15)))*100</f>
        <v>2.6759331942077824</v>
      </c>
      <c r="E114" s="914">
        <f>+(0.68-(AVERAGE(E103,0.15)))/((AVERAGE(E97,E101))-(AVERAGE(E103,0.15)))*100</f>
        <v>2.5783460853160047</v>
      </c>
      <c r="F114" s="915">
        <f>+(0.68-(AVERAGE(F103,0.15)))/((AVERAGE(F97,F101))-(AVERAGE(F103,0.15)))*100</f>
        <v>2.5239338555265447</v>
      </c>
      <c r="U114" s="1001"/>
      <c r="V114" s="1001"/>
      <c r="W114" s="1001"/>
      <c r="X114" s="1001"/>
      <c r="Y114" s="1001"/>
      <c r="Z114" s="1001"/>
      <c r="AA114" s="1001"/>
      <c r="AB114" s="1001"/>
      <c r="AC114" s="1001"/>
      <c r="AD114" s="1001"/>
      <c r="AE114" s="1001"/>
      <c r="AF114" s="1001"/>
      <c r="AG114" s="1001"/>
    </row>
    <row r="115" spans="2:33">
      <c r="U115" s="1001"/>
      <c r="V115" s="1001"/>
      <c r="W115" s="1001"/>
      <c r="X115" s="1001"/>
      <c r="Y115" s="1001"/>
      <c r="Z115" s="1001"/>
      <c r="AA115" s="1001"/>
      <c r="AB115" s="1001"/>
      <c r="AC115" s="1001"/>
      <c r="AD115" s="1001"/>
      <c r="AE115" s="1001"/>
      <c r="AF115" s="1001"/>
      <c r="AG115" s="1001"/>
    </row>
    <row r="116" spans="2:33">
      <c r="U116" s="1001"/>
      <c r="V116" s="1001"/>
      <c r="W116" s="1001"/>
      <c r="X116" s="1001"/>
      <c r="Y116" s="1001"/>
      <c r="Z116" s="1001"/>
      <c r="AA116" s="1001"/>
      <c r="AB116" s="1001"/>
      <c r="AC116" s="1001"/>
      <c r="AD116" s="1001"/>
      <c r="AE116" s="1001"/>
      <c r="AF116" s="1001"/>
      <c r="AG116" s="1001"/>
    </row>
    <row r="117" spans="2:33">
      <c r="U117" s="1001"/>
      <c r="V117" s="1001"/>
      <c r="W117" s="1001"/>
      <c r="X117" s="1001"/>
      <c r="Y117" s="1001"/>
      <c r="Z117" s="1001"/>
      <c r="AA117" s="1001"/>
      <c r="AB117" s="1001"/>
      <c r="AC117" s="1001"/>
      <c r="AD117" s="1001"/>
      <c r="AE117" s="1001"/>
      <c r="AF117" s="1001"/>
      <c r="AG117" s="1001"/>
    </row>
    <row r="118" spans="2:33">
      <c r="U118" s="1001"/>
      <c r="V118" s="1001"/>
      <c r="W118" s="1001"/>
      <c r="X118" s="1001"/>
      <c r="Y118" s="1001"/>
      <c r="Z118" s="1001"/>
      <c r="AA118" s="1001"/>
      <c r="AB118" s="1001"/>
      <c r="AC118" s="1001"/>
      <c r="AD118" s="1001"/>
      <c r="AE118" s="1001"/>
      <c r="AF118" s="1001"/>
      <c r="AG118" s="1001"/>
    </row>
    <row r="119" spans="2:33">
      <c r="C119" s="4" t="s">
        <v>744</v>
      </c>
      <c r="D119" s="4" t="s">
        <v>746</v>
      </c>
      <c r="E119" s="4" t="s">
        <v>745</v>
      </c>
      <c r="F119" s="4" t="s">
        <v>747</v>
      </c>
      <c r="G119" s="4" t="s">
        <v>748</v>
      </c>
      <c r="H119" s="4" t="s">
        <v>749</v>
      </c>
      <c r="I119" s="4" t="s">
        <v>750</v>
      </c>
      <c r="J119" s="4" t="s">
        <v>751</v>
      </c>
      <c r="K119" s="4" t="s">
        <v>756</v>
      </c>
      <c r="L119" s="4" t="s">
        <v>764</v>
      </c>
      <c r="M119" s="4" t="s">
        <v>753</v>
      </c>
      <c r="N119" s="4" t="s">
        <v>897</v>
      </c>
      <c r="O119" s="4" t="s">
        <v>763</v>
      </c>
      <c r="P119" s="4" t="s">
        <v>761</v>
      </c>
      <c r="Q119" s="4" t="s">
        <v>755</v>
      </c>
      <c r="R119" s="4" t="s">
        <v>909</v>
      </c>
      <c r="S119" s="4" t="s">
        <v>884</v>
      </c>
      <c r="U119" s="1001"/>
      <c r="V119" s="1001"/>
      <c r="W119" s="1001"/>
      <c r="X119" s="1001"/>
      <c r="Y119" s="1001"/>
      <c r="Z119" s="1001"/>
      <c r="AA119" s="1001"/>
      <c r="AB119" s="1001"/>
      <c r="AC119" s="1001"/>
      <c r="AD119" s="1001"/>
      <c r="AE119" s="1001"/>
      <c r="AF119" s="1001"/>
      <c r="AG119" s="1001"/>
    </row>
    <row r="120" spans="2:33">
      <c r="B120" s="4" t="s">
        <v>966</v>
      </c>
      <c r="C120" s="4">
        <v>4.55</v>
      </c>
      <c r="D120" s="4">
        <v>20.99</v>
      </c>
      <c r="E120" s="4">
        <v>3.29</v>
      </c>
      <c r="F120" s="4">
        <v>2.1349999999999998</v>
      </c>
      <c r="G120" s="4">
        <v>4.5679999999999996</v>
      </c>
      <c r="H120" s="4">
        <v>17.55</v>
      </c>
      <c r="I120" s="4">
        <v>4.5519999999999996</v>
      </c>
      <c r="J120" s="4">
        <v>0.22600000000000001</v>
      </c>
      <c r="K120" s="4">
        <v>4.6131868131868128</v>
      </c>
      <c r="L120" s="4">
        <v>3.8419439579684767</v>
      </c>
      <c r="M120" s="4">
        <v>3.8571428571428577</v>
      </c>
      <c r="N120" s="4">
        <v>24.959593627337796</v>
      </c>
      <c r="O120" s="4">
        <v>2.5783460853160047</v>
      </c>
      <c r="P120" s="4">
        <v>96.272718276874372</v>
      </c>
      <c r="Q120" s="4">
        <v>76.832843447022853</v>
      </c>
      <c r="R120" s="4">
        <v>94.068523015219782</v>
      </c>
      <c r="S120" s="4">
        <f>+AVERAGE(D120,H120)</f>
        <v>19.27</v>
      </c>
      <c r="U120" s="1001"/>
      <c r="V120" s="1001"/>
      <c r="W120" s="1001"/>
      <c r="X120" s="1001"/>
      <c r="Y120" s="1001"/>
      <c r="Z120" s="1001"/>
      <c r="AA120" s="1001"/>
      <c r="AB120" s="1001"/>
      <c r="AC120" s="1001"/>
      <c r="AD120" s="1001"/>
      <c r="AE120" s="1001"/>
      <c r="AF120" s="1001"/>
      <c r="AG120" s="1001"/>
    </row>
    <row r="121" spans="2:33">
      <c r="B121" s="4" t="s">
        <v>966</v>
      </c>
      <c r="C121" s="4">
        <v>4.6710000000000003</v>
      </c>
      <c r="D121" s="4">
        <v>22.36</v>
      </c>
      <c r="E121" s="4">
        <v>2.6880000000000002</v>
      </c>
      <c r="F121" s="4">
        <v>4.4649999999999999</v>
      </c>
      <c r="G121" s="4">
        <v>5.78</v>
      </c>
      <c r="H121" s="4">
        <v>15.03</v>
      </c>
      <c r="I121" s="4">
        <v>4.9660000000000002</v>
      </c>
      <c r="J121" s="4">
        <v>0.23400000000000001</v>
      </c>
      <c r="K121" s="4">
        <v>4.786983515307214</v>
      </c>
      <c r="L121" s="4">
        <v>2.6003460207612457</v>
      </c>
      <c r="M121" s="4">
        <v>3.2177263969171479</v>
      </c>
      <c r="N121" s="4">
        <v>29.98783454987835</v>
      </c>
      <c r="O121" s="4">
        <v>2.6374101497054534</v>
      </c>
      <c r="P121" s="4">
        <v>96.492646817527628</v>
      </c>
      <c r="Q121" s="4">
        <v>77.008362902959973</v>
      </c>
      <c r="R121" s="4">
        <v>98.757374442159218</v>
      </c>
      <c r="S121" s="4">
        <f t="shared" ref="S121:S125" si="33">+AVERAGE(D121,H121)</f>
        <v>18.695</v>
      </c>
      <c r="U121" s="1001"/>
      <c r="V121" s="1001"/>
      <c r="W121" s="1001"/>
      <c r="X121" s="1001"/>
      <c r="Y121" s="1001"/>
      <c r="Z121" s="1001"/>
      <c r="AA121" s="1001"/>
      <c r="AB121" s="1001"/>
      <c r="AC121" s="1001"/>
      <c r="AD121" s="1001"/>
      <c r="AE121" s="1001"/>
      <c r="AF121" s="1001"/>
      <c r="AG121" s="1001"/>
    </row>
    <row r="122" spans="2:33">
      <c r="B122" s="4" t="s">
        <v>967</v>
      </c>
      <c r="C122" s="4">
        <v>2.2959999999999998</v>
      </c>
      <c r="D122" s="4">
        <v>25.77</v>
      </c>
      <c r="E122" s="4">
        <v>1.6850000000000001</v>
      </c>
      <c r="F122" s="4">
        <v>2.085</v>
      </c>
      <c r="G122" s="4">
        <v>5.92</v>
      </c>
      <c r="H122" s="4">
        <v>23.39</v>
      </c>
      <c r="I122" s="4">
        <v>2.8260000000000001</v>
      </c>
      <c r="J122" s="4">
        <v>0.154</v>
      </c>
      <c r="K122" s="4">
        <v>11.223867595818817</v>
      </c>
      <c r="L122" s="4">
        <v>3.9510135135135136</v>
      </c>
      <c r="M122" s="4">
        <v>10.705574912891986</v>
      </c>
      <c r="N122" s="4">
        <v>8.7693441414885775</v>
      </c>
      <c r="O122" s="4">
        <v>2.2014894835911289</v>
      </c>
      <c r="P122" s="4">
        <v>93.880870643636428</v>
      </c>
      <c r="Q122" s="4">
        <v>79.213187590225218</v>
      </c>
      <c r="R122" s="4">
        <v>80.150649350649346</v>
      </c>
      <c r="S122" s="4">
        <f t="shared" si="33"/>
        <v>24.58</v>
      </c>
      <c r="U122" s="1001"/>
      <c r="V122" s="1001"/>
      <c r="W122" s="1001"/>
      <c r="X122" s="1001"/>
      <c r="Y122" s="1001"/>
      <c r="Z122" s="1001"/>
      <c r="AA122" s="1001"/>
      <c r="AB122" s="1001"/>
      <c r="AC122" s="1001"/>
      <c r="AD122" s="1001"/>
      <c r="AE122" s="1001"/>
      <c r="AF122" s="1001"/>
      <c r="AG122" s="1001"/>
    </row>
    <row r="123" spans="2:33">
      <c r="B123" s="4" t="s">
        <v>967</v>
      </c>
      <c r="C123" s="4">
        <v>2.2839999999999998</v>
      </c>
      <c r="D123" s="4">
        <v>23.75</v>
      </c>
      <c r="E123" s="4">
        <v>1.069</v>
      </c>
      <c r="F123" s="4">
        <v>1.512</v>
      </c>
      <c r="G123" s="4">
        <v>5.31</v>
      </c>
      <c r="H123" s="4">
        <v>9.83</v>
      </c>
      <c r="I123" s="4">
        <v>3.22</v>
      </c>
      <c r="J123" s="4">
        <v>0.13900000000000001</v>
      </c>
      <c r="K123" s="4">
        <v>10.398423817863398</v>
      </c>
      <c r="L123" s="4">
        <v>1.8512241054613938</v>
      </c>
      <c r="M123" s="4">
        <v>7.3511383537653243</v>
      </c>
      <c r="N123" s="4">
        <v>12.882109182631671</v>
      </c>
      <c r="O123" s="4">
        <v>3.2751943802347574</v>
      </c>
      <c r="P123" s="4">
        <v>94.698166889836159</v>
      </c>
      <c r="Q123" s="4">
        <v>79.902791770748379</v>
      </c>
      <c r="R123" s="4">
        <v>57.760575539568336</v>
      </c>
      <c r="S123" s="4">
        <f t="shared" si="33"/>
        <v>16.79</v>
      </c>
      <c r="U123" s="1001"/>
      <c r="V123" s="1001"/>
      <c r="W123" s="1001"/>
      <c r="X123" s="1001"/>
      <c r="Y123" s="1001"/>
      <c r="Z123" s="1001"/>
      <c r="AA123" s="1001"/>
      <c r="AB123" s="1001"/>
      <c r="AC123" s="1001"/>
      <c r="AD123" s="1001"/>
      <c r="AE123" s="1001"/>
      <c r="AF123" s="1001"/>
      <c r="AG123" s="1001"/>
    </row>
    <row r="124" spans="2:33">
      <c r="B124" s="4" t="s">
        <v>967</v>
      </c>
      <c r="C124" s="4">
        <v>1.7849999999999999</v>
      </c>
      <c r="D124" s="4">
        <v>23.84</v>
      </c>
      <c r="E124" s="4">
        <v>0.69899999999999995</v>
      </c>
      <c r="F124" s="4">
        <v>1.982</v>
      </c>
      <c r="G124" s="4">
        <v>3.843</v>
      </c>
      <c r="H124" s="4">
        <v>15.93</v>
      </c>
      <c r="I124" s="4">
        <v>2.5299999999999998</v>
      </c>
      <c r="J124" s="4">
        <v>0.21</v>
      </c>
      <c r="K124" s="4">
        <v>13.355742296918768</v>
      </c>
      <c r="L124" s="4">
        <v>4.1451990632318498</v>
      </c>
      <c r="M124" s="4">
        <v>11.140056022408963</v>
      </c>
      <c r="N124" s="4">
        <v>8.0050825921219833</v>
      </c>
      <c r="O124" s="4">
        <v>2.5868627948262746</v>
      </c>
      <c r="P124" s="4">
        <v>89.17706854024965</v>
      </c>
      <c r="Q124" s="4">
        <v>75.244294291213947</v>
      </c>
      <c r="R124" s="1001">
        <v>36.270600000000002</v>
      </c>
      <c r="S124" s="4">
        <f t="shared" si="33"/>
        <v>19.884999999999998</v>
      </c>
      <c r="U124" s="1001"/>
      <c r="V124" s="1001"/>
      <c r="W124" s="1001"/>
      <c r="X124" s="1001"/>
      <c r="Y124" s="1001"/>
      <c r="Z124" s="1001"/>
      <c r="AA124" s="1001"/>
      <c r="AB124" s="1001"/>
      <c r="AC124" s="1001"/>
      <c r="AD124" s="1001"/>
      <c r="AE124" s="1001"/>
      <c r="AF124" s="1001"/>
      <c r="AG124" s="1001"/>
    </row>
    <row r="125" spans="2:33">
      <c r="B125" s="4" t="s">
        <v>967</v>
      </c>
      <c r="C125" s="4">
        <v>1.89</v>
      </c>
      <c r="D125" s="4">
        <v>18.72</v>
      </c>
      <c r="E125" s="4">
        <v>0.78</v>
      </c>
      <c r="F125" s="4">
        <v>1.33</v>
      </c>
      <c r="G125" s="4">
        <v>2.4500000000000002</v>
      </c>
      <c r="H125" s="4">
        <v>16.71</v>
      </c>
      <c r="I125" s="4">
        <v>1.605</v>
      </c>
      <c r="J125" s="4">
        <v>0.14399999999999999</v>
      </c>
      <c r="K125" s="4">
        <v>9.9047619047619051</v>
      </c>
      <c r="L125" s="4">
        <v>6.8204081632653057</v>
      </c>
      <c r="M125" s="4">
        <v>9.3730158730158735</v>
      </c>
      <c r="N125" s="4">
        <v>9.9368277275055483</v>
      </c>
      <c r="O125" s="4">
        <v>3.0890886335191721</v>
      </c>
      <c r="P125" s="4">
        <v>93.138044017333755</v>
      </c>
      <c r="Q125" s="4">
        <v>78.58641810574008</v>
      </c>
      <c r="R125" s="1001">
        <v>22.628472222222229</v>
      </c>
      <c r="S125" s="4">
        <f t="shared" si="33"/>
        <v>17.715</v>
      </c>
    </row>
  </sheetData>
  <mergeCells count="25">
    <mergeCell ref="M95:N95"/>
    <mergeCell ref="P95:Q95"/>
    <mergeCell ref="M101:N101"/>
    <mergeCell ref="P101:Q101"/>
    <mergeCell ref="M107:N107"/>
    <mergeCell ref="B60:C60"/>
    <mergeCell ref="B29:C29"/>
    <mergeCell ref="C31:F31"/>
    <mergeCell ref="H31:L31"/>
    <mergeCell ref="G32:G33"/>
    <mergeCell ref="L32:L33"/>
    <mergeCell ref="C62:H62"/>
    <mergeCell ref="J62:P62"/>
    <mergeCell ref="I63:I64"/>
    <mergeCell ref="P63:P64"/>
    <mergeCell ref="E85:F85"/>
    <mergeCell ref="G85:H85"/>
    <mergeCell ref="C94:D94"/>
    <mergeCell ref="E94:F94"/>
    <mergeCell ref="E86:F86"/>
    <mergeCell ref="G86:H86"/>
    <mergeCell ref="E87:F87"/>
    <mergeCell ref="G87:H87"/>
    <mergeCell ref="C93:D93"/>
    <mergeCell ref="E93:F93"/>
  </mergeCells>
  <pageMargins left="0.7" right="0.7" top="0.75" bottom="0.75" header="0.3" footer="0.3"/>
  <pageSetup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785BD-E420-494E-BBB2-5E67F302E93C}">
  <dimension ref="A1:AP68"/>
  <sheetViews>
    <sheetView workbookViewId="0"/>
  </sheetViews>
  <sheetFormatPr baseColWidth="10" defaultRowHeight="14.5"/>
  <cols>
    <col min="2" max="2" width="16.1796875" customWidth="1"/>
    <col min="3" max="5" width="10.26953125" bestFit="1" customWidth="1"/>
    <col min="6" max="6" width="11.54296875" bestFit="1" customWidth="1"/>
    <col min="7" max="7" width="10.26953125" bestFit="1" customWidth="1"/>
    <col min="8" max="8" width="8.26953125" bestFit="1" customWidth="1"/>
    <col min="9" max="9" width="10.26953125" bestFit="1" customWidth="1"/>
    <col min="10" max="10" width="10.26953125" customWidth="1"/>
    <col min="12" max="12" width="19.54296875" bestFit="1" customWidth="1"/>
    <col min="16" max="16" width="11.81640625" customWidth="1"/>
    <col min="52" max="52" width="11" customWidth="1"/>
    <col min="53" max="53" width="19.54296875" bestFit="1" customWidth="1"/>
  </cols>
  <sheetData>
    <row r="1" spans="1:6" ht="23.5">
      <c r="A1" t="s">
        <v>639</v>
      </c>
      <c r="B1" s="1449" t="s">
        <v>1202</v>
      </c>
      <c r="C1" s="1449"/>
      <c r="D1" s="1449"/>
      <c r="E1" s="1449"/>
      <c r="F1" s="1449"/>
    </row>
    <row r="27" spans="2:42">
      <c r="B27" s="1443" t="s">
        <v>971</v>
      </c>
      <c r="C27" s="1444"/>
      <c r="D27" s="1444"/>
      <c r="E27" s="1444"/>
      <c r="F27" s="1444"/>
      <c r="G27" s="1444"/>
      <c r="H27" s="1444"/>
      <c r="I27" s="1444"/>
      <c r="J27" s="1445"/>
      <c r="M27" s="1440" t="s">
        <v>1006</v>
      </c>
      <c r="N27" s="1440"/>
      <c r="O27" s="1440"/>
      <c r="P27" s="1440"/>
      <c r="Q27" s="1440"/>
      <c r="R27" s="1440"/>
      <c r="S27" s="1104"/>
      <c r="AP27" s="2"/>
    </row>
    <row r="28" spans="2:42">
      <c r="B28" s="1092"/>
      <c r="C28" s="1440" t="s">
        <v>981</v>
      </c>
      <c r="D28" s="1440"/>
      <c r="E28" s="1440"/>
      <c r="F28" s="1440"/>
      <c r="G28" s="1443" t="s">
        <v>17</v>
      </c>
      <c r="H28" s="1444"/>
      <c r="I28" s="1444"/>
      <c r="J28" s="1445"/>
      <c r="M28" s="1074"/>
      <c r="N28" s="1453" t="s">
        <v>1</v>
      </c>
      <c r="O28" s="1453"/>
      <c r="P28" s="1075" t="s">
        <v>1152</v>
      </c>
      <c r="Q28" s="1453" t="s">
        <v>17</v>
      </c>
      <c r="R28" s="1453"/>
      <c r="S28" s="1075" t="s">
        <v>1152</v>
      </c>
    </row>
    <row r="29" spans="2:42">
      <c r="B29" s="1074"/>
      <c r="C29" s="1450">
        <v>45929</v>
      </c>
      <c r="D29" s="1450"/>
      <c r="E29" s="1076">
        <v>45930</v>
      </c>
      <c r="F29" s="1451" t="s">
        <v>757</v>
      </c>
      <c r="G29" s="1450">
        <v>45929</v>
      </c>
      <c r="H29" s="1450"/>
      <c r="I29" s="1076">
        <v>45930</v>
      </c>
      <c r="J29" s="1450" t="s">
        <v>757</v>
      </c>
      <c r="M29" s="1074"/>
      <c r="N29" s="1077">
        <v>45923</v>
      </c>
      <c r="O29" s="1077">
        <v>45924</v>
      </c>
      <c r="P29" s="1077"/>
      <c r="Q29" s="1077">
        <v>45923</v>
      </c>
      <c r="R29" s="1077">
        <v>45924</v>
      </c>
      <c r="S29" s="1077"/>
    </row>
    <row r="30" spans="2:42">
      <c r="B30" s="1074"/>
      <c r="C30" s="1074" t="s">
        <v>975</v>
      </c>
      <c r="D30" s="1074" t="s">
        <v>976</v>
      </c>
      <c r="E30" s="1074" t="s">
        <v>975</v>
      </c>
      <c r="F30" s="1452"/>
      <c r="G30" s="1074" t="s">
        <v>975</v>
      </c>
      <c r="H30" s="1074" t="s">
        <v>976</v>
      </c>
      <c r="I30" s="1074" t="s">
        <v>975</v>
      </c>
      <c r="J30" s="1450"/>
      <c r="M30" s="1074"/>
      <c r="N30" s="1074" t="s">
        <v>1007</v>
      </c>
      <c r="O30" s="1074" t="s">
        <v>1007</v>
      </c>
      <c r="P30" s="1074"/>
      <c r="Q30" s="1074" t="s">
        <v>1007</v>
      </c>
      <c r="R30" s="1074" t="s">
        <v>1007</v>
      </c>
      <c r="S30" s="1074"/>
    </row>
    <row r="31" spans="2:42">
      <c r="B31" s="1070" t="s">
        <v>982</v>
      </c>
      <c r="C31" s="1180">
        <v>2.407</v>
      </c>
      <c r="D31" s="1180">
        <v>3.1829999999999998</v>
      </c>
      <c r="E31" s="1180">
        <v>2.0840000000000001</v>
      </c>
      <c r="F31" s="801">
        <f>AVERAGE(C31:E31)</f>
        <v>2.5579999999999998</v>
      </c>
      <c r="G31" s="1181">
        <v>6.62</v>
      </c>
      <c r="H31" s="1181">
        <v>9.93</v>
      </c>
      <c r="I31" s="1181">
        <v>5.14</v>
      </c>
      <c r="J31" s="904">
        <f>AVERAGE(G31:I31)</f>
        <v>7.23</v>
      </c>
      <c r="M31" s="1074" t="s">
        <v>980</v>
      </c>
      <c r="N31" s="801">
        <v>0.27300000000000002</v>
      </c>
      <c r="O31" s="801">
        <v>0.22</v>
      </c>
      <c r="P31" s="801">
        <f>AVERAGE(N31:O31)</f>
        <v>0.2465</v>
      </c>
      <c r="Q31" s="1073">
        <v>2.65</v>
      </c>
      <c r="R31" s="1073">
        <v>3.2</v>
      </c>
      <c r="S31" s="801">
        <f>AVERAGE(Q31:R31)</f>
        <v>2.9249999999999998</v>
      </c>
    </row>
    <row r="32" spans="2:42">
      <c r="B32" s="1070" t="s">
        <v>983</v>
      </c>
      <c r="C32" s="1180">
        <v>23.63</v>
      </c>
      <c r="D32" s="1180">
        <v>33.18</v>
      </c>
      <c r="E32" s="1180">
        <v>31.01</v>
      </c>
      <c r="F32" s="801">
        <f t="shared" ref="F32:F38" si="0">AVERAGE(C32:E32)</f>
        <v>29.273333333333337</v>
      </c>
      <c r="G32" s="1181">
        <v>25.1</v>
      </c>
      <c r="H32" s="1181">
        <v>23.1</v>
      </c>
      <c r="I32" s="1181">
        <v>25.4</v>
      </c>
      <c r="J32" s="904">
        <f t="shared" ref="J32:J38" si="1">AVERAGE(G32:I32)</f>
        <v>24.533333333333331</v>
      </c>
      <c r="M32" s="1074" t="s">
        <v>979</v>
      </c>
      <c r="N32" s="1074"/>
      <c r="O32" s="801">
        <v>2.5979999999999999</v>
      </c>
      <c r="P32" s="801">
        <f>AVERAGE(N32:O32)</f>
        <v>2.5979999999999999</v>
      </c>
      <c r="Q32" s="1074"/>
      <c r="R32" s="1073">
        <v>6.8</v>
      </c>
      <c r="S32" s="801">
        <f>AVERAGE(Q32:R32)</f>
        <v>6.8</v>
      </c>
    </row>
    <row r="33" spans="2:16">
      <c r="B33" s="1070" t="s">
        <v>984</v>
      </c>
      <c r="C33" s="1180">
        <v>0.83</v>
      </c>
      <c r="D33" s="1180">
        <v>1.738</v>
      </c>
      <c r="E33" s="1180">
        <v>1.107</v>
      </c>
      <c r="F33" s="801">
        <f t="shared" si="0"/>
        <v>1.2249999999999999</v>
      </c>
      <c r="G33" s="1181">
        <v>5.41</v>
      </c>
      <c r="H33" s="1181">
        <v>7.17</v>
      </c>
      <c r="I33" s="1181">
        <v>4.2699999999999996</v>
      </c>
      <c r="J33" s="904">
        <f t="shared" si="1"/>
        <v>5.6166666666666671</v>
      </c>
    </row>
    <row r="34" spans="2:16">
      <c r="B34" s="1070" t="s">
        <v>985</v>
      </c>
      <c r="C34" s="1180">
        <v>1.8740000000000001</v>
      </c>
      <c r="D34" s="1180">
        <v>3.2669999999999999</v>
      </c>
      <c r="E34" s="1180">
        <v>2.6659999999999999</v>
      </c>
      <c r="F34" s="801">
        <f t="shared" si="0"/>
        <v>2.6023333333333336</v>
      </c>
      <c r="G34" s="1181">
        <v>8.9499999999999993</v>
      </c>
      <c r="H34" s="1181">
        <v>8.2799999999999994</v>
      </c>
      <c r="I34" s="1181">
        <v>8.4700000000000006</v>
      </c>
      <c r="J34" s="904">
        <f t="shared" si="1"/>
        <v>8.5666666666666647</v>
      </c>
    </row>
    <row r="35" spans="2:16">
      <c r="B35" s="1070" t="s">
        <v>986</v>
      </c>
      <c r="C35" s="1180">
        <v>3.3660000000000001</v>
      </c>
      <c r="D35" s="1180">
        <v>11.06</v>
      </c>
      <c r="E35" s="1180">
        <v>8.67</v>
      </c>
      <c r="F35" s="801">
        <f t="shared" si="0"/>
        <v>7.698666666666667</v>
      </c>
      <c r="G35" s="1181">
        <v>18.600000000000001</v>
      </c>
      <c r="H35" s="1181">
        <v>15.4</v>
      </c>
      <c r="I35" s="1181">
        <v>17.399999999999999</v>
      </c>
      <c r="J35" s="904">
        <f t="shared" si="1"/>
        <v>17.133333333333333</v>
      </c>
      <c r="P35" s="251"/>
    </row>
    <row r="36" spans="2:16">
      <c r="B36" s="1070" t="s">
        <v>987</v>
      </c>
      <c r="C36" s="1180">
        <v>10.81</v>
      </c>
      <c r="D36" s="1180">
        <v>24.59</v>
      </c>
      <c r="E36" s="1180">
        <v>18.100000000000001</v>
      </c>
      <c r="F36" s="801">
        <f t="shared" si="0"/>
        <v>17.833333333333332</v>
      </c>
      <c r="G36" s="1181">
        <v>24.2</v>
      </c>
      <c r="H36" s="1155">
        <v>24.3</v>
      </c>
      <c r="I36" s="1181">
        <v>20.2</v>
      </c>
      <c r="J36" s="904">
        <f t="shared" si="1"/>
        <v>22.900000000000002</v>
      </c>
    </row>
    <row r="37" spans="2:16">
      <c r="B37" s="1070" t="s">
        <v>988</v>
      </c>
      <c r="C37" s="1180">
        <v>2.9369999999999998</v>
      </c>
      <c r="D37" s="1180">
        <v>6.53</v>
      </c>
      <c r="E37" s="1180">
        <v>5.46</v>
      </c>
      <c r="F37" s="801">
        <f t="shared" si="0"/>
        <v>4.9756666666666662</v>
      </c>
      <c r="G37" s="1181">
        <v>13.4</v>
      </c>
      <c r="H37" s="1155">
        <v>14.3</v>
      </c>
      <c r="I37" s="1181">
        <v>12.4</v>
      </c>
      <c r="J37" s="904">
        <f t="shared" si="1"/>
        <v>13.366666666666667</v>
      </c>
    </row>
    <row r="38" spans="2:16">
      <c r="B38" s="1072" t="s">
        <v>989</v>
      </c>
      <c r="C38" s="1180">
        <v>0.154</v>
      </c>
      <c r="D38" s="1180">
        <v>0.26100000000000001</v>
      </c>
      <c r="E38" s="1180">
        <v>0.188</v>
      </c>
      <c r="F38" s="801">
        <f t="shared" si="0"/>
        <v>0.20099999999999998</v>
      </c>
      <c r="G38" s="1181">
        <v>4.55</v>
      </c>
      <c r="H38" s="1155">
        <v>3.89</v>
      </c>
      <c r="I38" s="1181">
        <v>4.1399999999999997</v>
      </c>
      <c r="J38" s="904">
        <f t="shared" si="1"/>
        <v>4.1933333333333325</v>
      </c>
    </row>
    <row r="39" spans="2:16" ht="15" thickBot="1">
      <c r="B39" s="1074"/>
      <c r="C39" s="1074"/>
      <c r="D39" s="1074"/>
      <c r="E39" s="1074"/>
      <c r="F39" s="1074"/>
      <c r="G39" s="1074"/>
      <c r="H39" s="1074"/>
      <c r="I39" s="1074"/>
      <c r="J39" s="1074"/>
    </row>
    <row r="40" spans="2:16">
      <c r="B40" s="848" t="s">
        <v>1149</v>
      </c>
      <c r="C40" s="1059">
        <f>C32/C31</f>
        <v>9.8171998338180302</v>
      </c>
      <c r="D40" s="1059">
        <f t="shared" ref="D40:I40" si="2">D32/D31</f>
        <v>10.424128180961358</v>
      </c>
      <c r="E40" s="1059">
        <f>E32/E31</f>
        <v>14.880038387715931</v>
      </c>
      <c r="F40" s="1059">
        <f t="shared" si="2"/>
        <v>11.443836330466512</v>
      </c>
      <c r="G40" s="1059">
        <f t="shared" si="2"/>
        <v>3.7915407854984897</v>
      </c>
      <c r="H40" s="1059">
        <f t="shared" si="2"/>
        <v>2.3262839879154082</v>
      </c>
      <c r="I40" s="1059">
        <f t="shared" si="2"/>
        <v>4.9416342412451364</v>
      </c>
      <c r="J40" s="1059">
        <f t="shared" ref="J40" si="3">J32/J31</f>
        <v>3.3932687874596583</v>
      </c>
    </row>
    <row r="41" spans="2:16">
      <c r="B41" s="849" t="s">
        <v>1150</v>
      </c>
      <c r="C41" s="1059">
        <f>C36/C35</f>
        <v>3.2115270350564469</v>
      </c>
      <c r="D41" s="1059">
        <f t="shared" ref="D41:H41" si="4">D36/D35</f>
        <v>2.2233273056057863</v>
      </c>
      <c r="E41" s="1059">
        <f t="shared" si="4"/>
        <v>2.0876585928489044</v>
      </c>
      <c r="F41" s="1059">
        <f t="shared" si="4"/>
        <v>2.3164184274333217</v>
      </c>
      <c r="G41" s="1059">
        <f t="shared" si="4"/>
        <v>1.3010752688172043</v>
      </c>
      <c r="H41" s="1059">
        <f t="shared" si="4"/>
        <v>1.5779220779220779</v>
      </c>
      <c r="I41" s="1059">
        <f>I36/I35</f>
        <v>1.1609195402298851</v>
      </c>
      <c r="J41" s="1059">
        <f>J36/J35</f>
        <v>1.3365758754863815</v>
      </c>
    </row>
    <row r="42" spans="2:16" ht="15" thickBot="1">
      <c r="B42" s="1074"/>
      <c r="C42" s="1074"/>
      <c r="D42" s="1074"/>
      <c r="E42" s="1074"/>
      <c r="F42" s="1074"/>
      <c r="G42" s="1074"/>
      <c r="H42" s="1074"/>
      <c r="I42" s="1074"/>
      <c r="J42" s="1074"/>
    </row>
    <row r="43" spans="2:16">
      <c r="B43" s="848" t="s">
        <v>1151</v>
      </c>
      <c r="C43" s="1086">
        <f>(C31-C38)/(AVERAGE(C36,C32)-C38)*100</f>
        <v>13.201687565920544</v>
      </c>
      <c r="D43" s="1086">
        <f t="shared" ref="D43:I43" si="5">(D31-D38)/(AVERAGE(D36,D32)-D38)*100</f>
        <v>10.208216880939073</v>
      </c>
      <c r="E43" s="1086">
        <f t="shared" si="5"/>
        <v>7.7810153075881319</v>
      </c>
      <c r="F43" s="1086">
        <f>AVERAGE(C43:E43)</f>
        <v>10.396973251482583</v>
      </c>
      <c r="G43" s="1086">
        <f t="shared" si="5"/>
        <v>10.298507462686569</v>
      </c>
      <c r="H43" s="1086">
        <f t="shared" si="5"/>
        <v>30.489651691065113</v>
      </c>
      <c r="I43" s="1086">
        <f t="shared" si="5"/>
        <v>5.3590568060021448</v>
      </c>
      <c r="J43" s="1086">
        <f>AVERAGE(G43:I43)</f>
        <v>15.382405319917941</v>
      </c>
    </row>
    <row r="44" spans="2:16">
      <c r="B44" s="849" t="s">
        <v>753</v>
      </c>
      <c r="C44" s="1086">
        <f>AVERAGE(C36,C32)/C31</f>
        <v>7.1541337764852511</v>
      </c>
      <c r="D44" s="1086">
        <f t="shared" ref="D44:I44" si="6">AVERAGE(D36,D32)/D31</f>
        <v>9.0747722274583733</v>
      </c>
      <c r="E44" s="1086">
        <f t="shared" si="6"/>
        <v>11.782629558541267</v>
      </c>
      <c r="F44" s="1086">
        <f>AVERAGE(C44:E44)</f>
        <v>9.3371785208282976</v>
      </c>
      <c r="G44" s="1086">
        <f t="shared" si="6"/>
        <v>3.7235649546827791</v>
      </c>
      <c r="H44" s="1086">
        <f t="shared" si="6"/>
        <v>2.3867069486404837</v>
      </c>
      <c r="I44" s="1086">
        <f t="shared" si="6"/>
        <v>4.4357976653696491</v>
      </c>
      <c r="J44" s="1086">
        <f>AVERAGE(G44:I44)</f>
        <v>3.5153565228976369</v>
      </c>
    </row>
    <row r="45" spans="2:16" ht="15" thickBot="1"/>
    <row r="46" spans="2:16">
      <c r="B46" s="848" t="s">
        <v>754</v>
      </c>
      <c r="C46" s="1086">
        <f>'Pilotaje Cleaner'!$I$80</f>
        <v>84.376281394866425</v>
      </c>
      <c r="D46" s="1086">
        <f>'Pilotaje Cleaner'!$I$80</f>
        <v>84.376281394866425</v>
      </c>
      <c r="E46" s="1086">
        <f>'Pilotaje Cleaner'!$I$80</f>
        <v>84.376281394866425</v>
      </c>
      <c r="F46" s="1086">
        <f>AVERAGE(C46:E46)</f>
        <v>84.376281394866425</v>
      </c>
      <c r="G46" s="1086">
        <f>'Pilotaje Cleaner'!$P$80</f>
        <v>26.162527864063538</v>
      </c>
      <c r="H46" s="1086">
        <f>'Pilotaje Cleaner'!$P$80</f>
        <v>26.162527864063538</v>
      </c>
      <c r="I46" s="1086">
        <f>'Pilotaje Cleaner'!$P$80</f>
        <v>26.162527864063538</v>
      </c>
      <c r="J46" s="1086">
        <f>'Pilotaje Cleaner'!$P$80</f>
        <v>26.162527864063538</v>
      </c>
    </row>
    <row r="47" spans="2:16">
      <c r="B47" s="849" t="s">
        <v>761</v>
      </c>
      <c r="C47" s="1086">
        <f>C43*C44</f>
        <v>94.446638921957529</v>
      </c>
      <c r="D47" s="1086">
        <f t="shared" ref="D47:I47" si="7">D43*D44</f>
        <v>92.637243043017634</v>
      </c>
      <c r="E47" s="1086">
        <f t="shared" si="7"/>
        <v>91.680820958649988</v>
      </c>
      <c r="F47" s="1086">
        <f>+AVERAGE(C47:E47)</f>
        <v>92.92156764120837</v>
      </c>
      <c r="G47" s="1086">
        <f t="shared" si="7"/>
        <v>38.347161473598774</v>
      </c>
      <c r="H47" s="1086">
        <f t="shared" si="7"/>
        <v>72.769863552693181</v>
      </c>
      <c r="I47" s="1086">
        <f t="shared" si="7"/>
        <v>23.771691668647644</v>
      </c>
      <c r="J47" s="1086">
        <f>AVERAGE(G47:I47)</f>
        <v>44.96290556497987</v>
      </c>
    </row>
    <row r="48" spans="2:16">
      <c r="B48" s="849" t="s">
        <v>755</v>
      </c>
      <c r="C48" s="1086">
        <f>C46*C47/100</f>
        <v>79.690561824784311</v>
      </c>
      <c r="D48" s="1086">
        <f t="shared" ref="D48:J48" si="8">D46*D47/100</f>
        <v>78.16386086642288</v>
      </c>
      <c r="E48" s="1086">
        <f t="shared" si="8"/>
        <v>77.356867477194186</v>
      </c>
      <c r="F48" s="1086">
        <f t="shared" si="8"/>
        <v>78.403763389467116</v>
      </c>
      <c r="G48" s="1086">
        <f t="shared" si="8"/>
        <v>10.032586805607718</v>
      </c>
      <c r="H48" s="1086">
        <f t="shared" si="8"/>
        <v>19.038435828614368</v>
      </c>
      <c r="I48" s="1086">
        <f t="shared" si="8"/>
        <v>6.2192754565692105</v>
      </c>
      <c r="J48" s="1086">
        <f t="shared" si="8"/>
        <v>11.763432696930433</v>
      </c>
    </row>
    <row r="49" spans="2:27" ht="15" thickBot="1">
      <c r="B49" s="850" t="s">
        <v>763</v>
      </c>
      <c r="C49" s="1086">
        <f>+(0.68-(AVERAGE(C38,0.13)))/((AVERAGE(C36,C32))-(AVERAGE(C38,0.13)))*100</f>
        <v>3.1502517859234107</v>
      </c>
      <c r="D49" s="1086">
        <f t="shared" ref="D49:J49" si="9">+(0.68-(AVERAGE(D38,0.13)))/((AVERAGE(D36,D32))-(AVERAGE(D38,0.13)))*100</f>
        <v>1.6887711532093626</v>
      </c>
      <c r="E49" s="1086">
        <f t="shared" si="9"/>
        <v>2.1355959993441549</v>
      </c>
      <c r="F49" s="1086">
        <f>+AVERAGE(C49:E49)</f>
        <v>2.3248729794923091</v>
      </c>
      <c r="G49" s="1086">
        <f t="shared" si="9"/>
        <v>-7.4406095921111595</v>
      </c>
      <c r="H49" s="1086">
        <f t="shared" si="9"/>
        <v>-6.1318579990779156</v>
      </c>
      <c r="I49" s="1086">
        <f t="shared" si="9"/>
        <v>-7.0408903943866425</v>
      </c>
      <c r="J49" s="1086">
        <f t="shared" si="9"/>
        <v>-6.8738885022809821</v>
      </c>
    </row>
    <row r="51" spans="2:27" ht="68" thickBot="1">
      <c r="N51" s="1183" t="s">
        <v>1086</v>
      </c>
      <c r="O51" s="1183" t="s">
        <v>1184</v>
      </c>
      <c r="P51" s="1183" t="s">
        <v>1185</v>
      </c>
      <c r="Q51" s="1183" t="s">
        <v>1186</v>
      </c>
      <c r="R51" s="1183" t="s">
        <v>1187</v>
      </c>
      <c r="S51" s="1183" t="s">
        <v>1188</v>
      </c>
      <c r="T51" s="1183" t="s">
        <v>1189</v>
      </c>
      <c r="U51" s="1183" t="s">
        <v>1190</v>
      </c>
      <c r="V51" s="1183" t="s">
        <v>1163</v>
      </c>
      <c r="W51" s="1183" t="s">
        <v>1191</v>
      </c>
      <c r="X51" s="1183" t="s">
        <v>1192</v>
      </c>
      <c r="Y51" s="1183" t="s">
        <v>1193</v>
      </c>
      <c r="Z51" s="1183" t="s">
        <v>1194</v>
      </c>
      <c r="AA51" s="1184"/>
    </row>
    <row r="52" spans="2:27" ht="15" thickBot="1">
      <c r="C52" s="848" t="s">
        <v>981</v>
      </c>
      <c r="D52" s="848" t="s">
        <v>17</v>
      </c>
      <c r="F52" s="1446" t="s">
        <v>1179</v>
      </c>
      <c r="G52" s="1446"/>
      <c r="H52" s="1186"/>
      <c r="I52" s="1446" t="s">
        <v>1181</v>
      </c>
      <c r="J52" s="1446"/>
      <c r="N52" s="1039" t="s">
        <v>1</v>
      </c>
      <c r="O52" s="1039" t="s">
        <v>31</v>
      </c>
      <c r="P52" s="1059">
        <v>0.68168749999999989</v>
      </c>
      <c r="Q52" s="1059">
        <v>0.13150000000000001</v>
      </c>
      <c r="R52" s="1059">
        <v>3.2132499999999999</v>
      </c>
      <c r="S52" s="1059">
        <v>2.5579999999999998</v>
      </c>
      <c r="T52" s="1059">
        <v>29.273333333333337</v>
      </c>
      <c r="U52" s="1059">
        <v>1.2249999999999999</v>
      </c>
      <c r="V52" s="1059">
        <v>2.6023333333333336</v>
      </c>
      <c r="W52" s="1059">
        <v>7.698666666666667</v>
      </c>
      <c r="X52" s="1059">
        <v>17.833333333333332</v>
      </c>
      <c r="Y52" s="1059">
        <v>4.9756666666666662</v>
      </c>
      <c r="Z52" s="1059">
        <v>0.20099999999999998</v>
      </c>
      <c r="AA52" s="1184"/>
    </row>
    <row r="53" spans="2:27">
      <c r="B53" s="848" t="s">
        <v>21</v>
      </c>
      <c r="C53" s="871">
        <f>+AVERAGE('13. Pilotaje Rougher'!$F$37:$F$52)</f>
        <v>0.68168749999999989</v>
      </c>
      <c r="D53" s="871"/>
      <c r="F53" s="1065" t="s">
        <v>1056</v>
      </c>
      <c r="G53" s="1182">
        <f>C55</f>
        <v>3.2132499999999999</v>
      </c>
      <c r="H53" s="1186"/>
      <c r="I53" s="1065" t="s">
        <v>1056</v>
      </c>
      <c r="J53" s="1182">
        <f>C60</f>
        <v>7.698666666666667</v>
      </c>
    </row>
    <row r="54" spans="2:27">
      <c r="B54" s="849" t="s">
        <v>23</v>
      </c>
      <c r="C54" s="871">
        <f>+AVERAGE('13. Pilotaje Rougher'!$G$37:$G$52)</f>
        <v>0.13150000000000001</v>
      </c>
      <c r="D54" s="871"/>
      <c r="F54" s="1065" t="s">
        <v>1096</v>
      </c>
      <c r="G54" s="1182">
        <f>F46</f>
        <v>84.376281394866425</v>
      </c>
      <c r="H54" s="1186"/>
      <c r="I54" s="1065" t="s">
        <v>1096</v>
      </c>
      <c r="J54" s="1182">
        <f>+J55*J56</f>
        <v>94.749933188727098</v>
      </c>
    </row>
    <row r="55" spans="2:27" ht="15" thickBot="1">
      <c r="B55" s="849" t="s">
        <v>22</v>
      </c>
      <c r="C55" s="871">
        <f>+AVERAGE('13. Pilotaje Rougher'!$H$37:$H$52)</f>
        <v>3.2132499999999999</v>
      </c>
      <c r="D55" s="871"/>
      <c r="F55" s="1065" t="s">
        <v>1178</v>
      </c>
      <c r="G55" s="1182">
        <f>+(C53-C54)/(C55-C54)*100</f>
        <v>17.853086720207671</v>
      </c>
      <c r="H55" s="1186"/>
      <c r="I55" s="1065" t="s">
        <v>1178</v>
      </c>
      <c r="J55" s="1182">
        <f>(C59-C63)/(C60-C63)*100</f>
        <v>32.02774196416663</v>
      </c>
    </row>
    <row r="56" spans="2:27" ht="15" thickBot="1">
      <c r="B56" s="848" t="s">
        <v>982</v>
      </c>
      <c r="C56" s="871">
        <f>F31</f>
        <v>2.5579999999999998</v>
      </c>
      <c r="D56" s="871">
        <f>J31</f>
        <v>7.23</v>
      </c>
      <c r="F56" s="1065" t="s">
        <v>753</v>
      </c>
      <c r="G56" s="1182">
        <f>C55/C53</f>
        <v>4.7136701201063547</v>
      </c>
      <c r="H56" s="1186"/>
      <c r="I56" s="1065" t="s">
        <v>753</v>
      </c>
      <c r="J56" s="1182">
        <f>C60/C59</f>
        <v>2.9583706929678493</v>
      </c>
    </row>
    <row r="57" spans="2:27" ht="15" thickBot="1">
      <c r="B57" s="848" t="s">
        <v>983</v>
      </c>
      <c r="C57" s="871">
        <f t="shared" ref="C57:C63" si="10">F32</f>
        <v>29.273333333333337</v>
      </c>
      <c r="D57" s="871">
        <f t="shared" ref="D57:D63" si="11">J32</f>
        <v>24.533333333333331</v>
      </c>
      <c r="F57" s="1186"/>
      <c r="G57" s="1186"/>
      <c r="H57" s="1186"/>
      <c r="I57" s="1186"/>
      <c r="J57" s="1186"/>
    </row>
    <row r="58" spans="2:27" ht="15" thickBot="1">
      <c r="B58" s="848" t="s">
        <v>984</v>
      </c>
      <c r="C58" s="871">
        <f t="shared" si="10"/>
        <v>1.2249999999999999</v>
      </c>
      <c r="D58" s="871">
        <f t="shared" si="11"/>
        <v>5.6166666666666671</v>
      </c>
      <c r="F58" s="1447" t="s">
        <v>1180</v>
      </c>
      <c r="G58" s="1448"/>
      <c r="H58" s="1186"/>
      <c r="I58" s="1447" t="s">
        <v>1182</v>
      </c>
      <c r="J58" s="1448"/>
    </row>
    <row r="59" spans="2:27" ht="15" thickBot="1">
      <c r="B59" s="848" t="s">
        <v>985</v>
      </c>
      <c r="C59" s="871">
        <f t="shared" si="10"/>
        <v>2.6023333333333336</v>
      </c>
      <c r="D59" s="871">
        <f t="shared" si="11"/>
        <v>8.5666666666666647</v>
      </c>
      <c r="F59" s="1065" t="s">
        <v>1056</v>
      </c>
      <c r="G59" s="1182">
        <f>C57</f>
        <v>29.273333333333337</v>
      </c>
      <c r="H59" s="1186"/>
      <c r="I59" s="1065" t="s">
        <v>1056</v>
      </c>
      <c r="J59" s="1182">
        <f>C61</f>
        <v>17.833333333333332</v>
      </c>
    </row>
    <row r="60" spans="2:27" ht="15" thickBot="1">
      <c r="B60" s="848" t="s">
        <v>986</v>
      </c>
      <c r="C60" s="871">
        <f t="shared" si="10"/>
        <v>7.698666666666667</v>
      </c>
      <c r="D60" s="871">
        <f t="shared" si="11"/>
        <v>17.133333333333333</v>
      </c>
      <c r="F60" s="1065" t="s">
        <v>1096</v>
      </c>
      <c r="G60" s="1182">
        <f>+G61*G62</f>
        <v>54.386952861769053</v>
      </c>
      <c r="H60" s="1186"/>
      <c r="I60" s="1065" t="s">
        <v>1096</v>
      </c>
      <c r="J60" s="1182">
        <f>+J61*J62</f>
        <v>49.057169869345941</v>
      </c>
    </row>
    <row r="61" spans="2:27" ht="15" thickBot="1">
      <c r="B61" s="848" t="s">
        <v>987</v>
      </c>
      <c r="C61" s="871">
        <f t="shared" si="10"/>
        <v>17.833333333333332</v>
      </c>
      <c r="D61" s="871">
        <f t="shared" si="11"/>
        <v>22.900000000000002</v>
      </c>
      <c r="F61" s="1065" t="s">
        <v>1178</v>
      </c>
      <c r="G61" s="1182">
        <f>+(C56-C58)/(C57-C58)*100</f>
        <v>4.7525105472695932</v>
      </c>
      <c r="H61" s="1186"/>
      <c r="I61" s="1065" t="s">
        <v>1178</v>
      </c>
      <c r="J61" s="1182">
        <f>(C60-C62)/(C61-C62)*100</f>
        <v>21.178026080418952</v>
      </c>
    </row>
    <row r="62" spans="2:27" ht="15" thickBot="1">
      <c r="B62" s="848" t="s">
        <v>988</v>
      </c>
      <c r="C62" s="871">
        <f t="shared" si="10"/>
        <v>4.9756666666666662</v>
      </c>
      <c r="D62" s="871">
        <f t="shared" si="11"/>
        <v>13.366666666666667</v>
      </c>
      <c r="F62" s="1065" t="s">
        <v>753</v>
      </c>
      <c r="G62" s="1182">
        <f>+C57/C56</f>
        <v>11.443836330466512</v>
      </c>
      <c r="H62" s="1186"/>
      <c r="I62" s="1065" t="s">
        <v>753</v>
      </c>
      <c r="J62" s="1182">
        <f>C61/C60</f>
        <v>2.3164184274333217</v>
      </c>
    </row>
    <row r="63" spans="2:27">
      <c r="B63" s="848" t="s">
        <v>989</v>
      </c>
      <c r="C63" s="871">
        <f t="shared" si="10"/>
        <v>0.20099999999999998</v>
      </c>
      <c r="D63" s="871">
        <f t="shared" si="11"/>
        <v>4.1933333333333325</v>
      </c>
      <c r="F63" s="1186"/>
      <c r="G63" s="1186"/>
      <c r="H63" s="1186"/>
      <c r="I63" s="1186"/>
      <c r="J63" s="1186"/>
    </row>
    <row r="64" spans="2:27">
      <c r="F64" s="1447" t="s">
        <v>1183</v>
      </c>
      <c r="G64" s="1448"/>
      <c r="H64" s="1186"/>
      <c r="I64" s="1186"/>
      <c r="J64" s="1186"/>
    </row>
    <row r="65" spans="6:10">
      <c r="F65" s="1065" t="s">
        <v>1056</v>
      </c>
      <c r="G65" s="1182">
        <f>AVERAGE(C61,C57)</f>
        <v>23.553333333333335</v>
      </c>
      <c r="H65" s="1186"/>
      <c r="I65" s="1186"/>
      <c r="J65" s="1186"/>
    </row>
    <row r="66" spans="6:10">
      <c r="F66" s="1065" t="s">
        <v>1096</v>
      </c>
      <c r="G66" s="1182">
        <f>C48</f>
        <v>79.690561824784311</v>
      </c>
      <c r="H66" s="1186"/>
      <c r="I66" s="1186"/>
      <c r="J66" s="1186"/>
    </row>
    <row r="67" spans="6:10">
      <c r="F67" s="1065" t="s">
        <v>1178</v>
      </c>
      <c r="G67" s="1182">
        <f>C43</f>
        <v>13.201687565920544</v>
      </c>
      <c r="H67" s="1186"/>
      <c r="I67" s="1186"/>
      <c r="J67" s="1186"/>
    </row>
    <row r="68" spans="6:10">
      <c r="F68" s="1065" t="s">
        <v>753</v>
      </c>
      <c r="G68" s="1182">
        <f>C44</f>
        <v>7.1541337764852511</v>
      </c>
      <c r="H68" s="1186"/>
      <c r="I68" s="1186"/>
      <c r="J68" s="1186"/>
    </row>
  </sheetData>
  <mergeCells count="16">
    <mergeCell ref="M27:R27"/>
    <mergeCell ref="N28:O28"/>
    <mergeCell ref="Q28:R28"/>
    <mergeCell ref="I58:J58"/>
    <mergeCell ref="F58:G58"/>
    <mergeCell ref="F64:G64"/>
    <mergeCell ref="B1:F1"/>
    <mergeCell ref="F52:G52"/>
    <mergeCell ref="I52:J52"/>
    <mergeCell ref="J29:J30"/>
    <mergeCell ref="B27:J27"/>
    <mergeCell ref="G28:J28"/>
    <mergeCell ref="F29:F30"/>
    <mergeCell ref="G29:H29"/>
    <mergeCell ref="C29:D29"/>
    <mergeCell ref="C28:F28"/>
  </mergeCells>
  <phoneticPr fontId="4" type="noConversion"/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BEBCB-BB5C-4BB2-93FC-425BAF28003A}">
  <dimension ref="B2:O11"/>
  <sheetViews>
    <sheetView workbookViewId="0"/>
  </sheetViews>
  <sheetFormatPr baseColWidth="10" defaultRowHeight="14.5"/>
  <sheetData>
    <row r="2" spans="2:15">
      <c r="B2" s="1454" t="s">
        <v>1073</v>
      </c>
      <c r="C2" s="1455"/>
      <c r="D2" s="1455"/>
      <c r="E2" s="1455"/>
      <c r="F2" s="1455"/>
      <c r="G2" s="1455"/>
      <c r="H2" s="1455"/>
      <c r="I2" s="1455"/>
      <c r="J2" s="1455"/>
      <c r="K2" s="1455"/>
      <c r="L2" s="1455"/>
      <c r="M2" s="1455"/>
      <c r="N2" s="1455"/>
      <c r="O2" s="1455"/>
    </row>
    <row r="3" spans="2:15">
      <c r="D3" s="1456" t="s">
        <v>1203</v>
      </c>
      <c r="E3" s="1456"/>
      <c r="F3" s="1456"/>
      <c r="G3" s="1456"/>
      <c r="H3" s="1456"/>
      <c r="I3" s="1456"/>
      <c r="J3" s="1456" t="s">
        <v>33</v>
      </c>
      <c r="K3" s="1456"/>
      <c r="L3" s="1456"/>
      <c r="M3" s="1456"/>
      <c r="N3" s="1456"/>
      <c r="O3" s="1456"/>
    </row>
    <row r="4" spans="2:15">
      <c r="B4" s="1078"/>
      <c r="C4" s="1074"/>
      <c r="D4" s="1074" t="s">
        <v>997</v>
      </c>
      <c r="E4" s="1073" t="s">
        <v>998</v>
      </c>
      <c r="F4" s="1074" t="s">
        <v>999</v>
      </c>
      <c r="G4" s="1074" t="s">
        <v>1000</v>
      </c>
      <c r="H4" s="1074" t="s">
        <v>1001</v>
      </c>
      <c r="I4" s="1074" t="s">
        <v>1002</v>
      </c>
      <c r="J4" s="1074" t="s">
        <v>997</v>
      </c>
      <c r="K4" s="1073" t="s">
        <v>998</v>
      </c>
      <c r="L4" s="1074" t="s">
        <v>999</v>
      </c>
      <c r="M4" s="1074" t="s">
        <v>1000</v>
      </c>
      <c r="N4" s="1074" t="s">
        <v>1001</v>
      </c>
      <c r="O4" s="1074" t="s">
        <v>1002</v>
      </c>
    </row>
    <row r="5" spans="2:15">
      <c r="B5" s="1074" t="s">
        <v>1</v>
      </c>
      <c r="C5" s="1074" t="s">
        <v>1074</v>
      </c>
      <c r="D5" s="1074"/>
      <c r="E5" s="800">
        <v>1.6</v>
      </c>
      <c r="F5" s="800">
        <v>1.1000000000000001</v>
      </c>
      <c r="G5" s="800">
        <v>1.01</v>
      </c>
      <c r="H5" s="800">
        <v>1.04</v>
      </c>
      <c r="I5" s="800">
        <v>0.78</v>
      </c>
      <c r="J5" s="1074"/>
      <c r="K5" s="906">
        <v>22.8</v>
      </c>
      <c r="L5" s="906">
        <v>38.5</v>
      </c>
      <c r="M5" s="906">
        <v>20.3</v>
      </c>
      <c r="N5" s="906">
        <v>13</v>
      </c>
      <c r="O5" s="906">
        <v>147</v>
      </c>
    </row>
    <row r="6" spans="2:15">
      <c r="B6" s="1074" t="s">
        <v>17</v>
      </c>
      <c r="C6" s="1074" t="s">
        <v>1074</v>
      </c>
      <c r="D6" s="1074"/>
      <c r="E6" s="800">
        <v>27.9</v>
      </c>
      <c r="F6" s="800">
        <v>35.4</v>
      </c>
      <c r="G6" s="800">
        <v>30.6</v>
      </c>
      <c r="H6" s="800">
        <v>22.6</v>
      </c>
      <c r="I6" s="800">
        <v>4.71</v>
      </c>
      <c r="J6" s="1074"/>
      <c r="K6" s="1074"/>
      <c r="L6" s="1074"/>
      <c r="M6" s="1074"/>
      <c r="N6" s="1074"/>
      <c r="O6" s="1074"/>
    </row>
    <row r="7" spans="2:15">
      <c r="B7" s="1443" t="s">
        <v>1075</v>
      </c>
      <c r="C7" s="1444"/>
      <c r="D7" s="1444"/>
      <c r="E7" s="1444"/>
      <c r="F7" s="1444"/>
      <c r="G7" s="1444"/>
      <c r="H7" s="1444"/>
      <c r="I7" s="1444"/>
      <c r="J7" s="1444"/>
      <c r="K7" s="1444"/>
      <c r="L7" s="1444"/>
      <c r="M7" s="1444"/>
      <c r="N7" s="1444"/>
      <c r="O7" s="1444"/>
    </row>
    <row r="8" spans="2:15">
      <c r="D8" s="1456" t="s">
        <v>1203</v>
      </c>
      <c r="E8" s="1456"/>
      <c r="F8" s="1456"/>
      <c r="G8" s="1456"/>
      <c r="H8" s="1456"/>
      <c r="I8" s="1456"/>
      <c r="J8" s="1456" t="s">
        <v>33</v>
      </c>
      <c r="K8" s="1456"/>
      <c r="L8" s="1456"/>
      <c r="M8" s="1456"/>
      <c r="N8" s="1456"/>
      <c r="O8" s="1456"/>
    </row>
    <row r="9" spans="2:15">
      <c r="B9" s="1078"/>
      <c r="C9" s="1074"/>
      <c r="D9" s="1074" t="s">
        <v>997</v>
      </c>
      <c r="E9" s="1073" t="s">
        <v>998</v>
      </c>
      <c r="F9" s="1074" t="s">
        <v>999</v>
      </c>
      <c r="G9" s="1074" t="s">
        <v>1000</v>
      </c>
      <c r="H9" s="1074" t="s">
        <v>1001</v>
      </c>
      <c r="I9" s="1074" t="s">
        <v>1002</v>
      </c>
      <c r="J9" s="1074" t="s">
        <v>997</v>
      </c>
      <c r="K9" s="1073" t="s">
        <v>998</v>
      </c>
      <c r="L9" s="1074" t="s">
        <v>999</v>
      </c>
      <c r="M9" s="1074" t="s">
        <v>1000</v>
      </c>
      <c r="N9" s="1074" t="s">
        <v>1001</v>
      </c>
      <c r="O9" s="1074" t="s">
        <v>1002</v>
      </c>
    </row>
    <row r="10" spans="2:15">
      <c r="B10" s="1074" t="s">
        <v>1</v>
      </c>
      <c r="C10" s="1074" t="s">
        <v>1074</v>
      </c>
      <c r="D10" s="1074"/>
      <c r="E10" s="800">
        <v>2.77</v>
      </c>
      <c r="F10" s="800">
        <v>1.93</v>
      </c>
      <c r="G10" s="800">
        <v>0.79</v>
      </c>
      <c r="H10" s="800">
        <v>0.48</v>
      </c>
      <c r="I10" s="800">
        <v>0.17</v>
      </c>
      <c r="J10" s="1074"/>
      <c r="K10" s="906">
        <v>11.3</v>
      </c>
      <c r="L10" s="906">
        <v>20</v>
      </c>
      <c r="M10" s="906">
        <v>17.100000000000001</v>
      </c>
      <c r="N10" s="906">
        <v>17.3</v>
      </c>
      <c r="O10" s="906">
        <v>176</v>
      </c>
    </row>
    <row r="11" spans="2:15">
      <c r="B11" s="1074" t="s">
        <v>17</v>
      </c>
      <c r="C11" s="1074" t="s">
        <v>1074</v>
      </c>
      <c r="D11" s="1074"/>
      <c r="E11" s="800">
        <v>10.7</v>
      </c>
      <c r="F11" s="800">
        <v>9.0500000000000007</v>
      </c>
      <c r="G11" s="800">
        <v>4.01</v>
      </c>
      <c r="H11" s="800">
        <v>2.4</v>
      </c>
      <c r="I11" s="800">
        <v>1.1200000000000001</v>
      </c>
      <c r="J11" s="1074"/>
      <c r="K11" s="1074"/>
      <c r="L11" s="1074"/>
      <c r="M11" s="1074"/>
      <c r="N11" s="1074"/>
      <c r="O11" s="1074"/>
    </row>
  </sheetData>
  <mergeCells count="6">
    <mergeCell ref="B2:O2"/>
    <mergeCell ref="B7:O7"/>
    <mergeCell ref="D8:I8"/>
    <mergeCell ref="J8:O8"/>
    <mergeCell ref="D3:I3"/>
    <mergeCell ref="J3:O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6CDE2-7572-4266-B233-69128AB2F262}">
  <dimension ref="B2:D9"/>
  <sheetViews>
    <sheetView workbookViewId="0"/>
  </sheetViews>
  <sheetFormatPr baseColWidth="10" defaultRowHeight="14.5"/>
  <cols>
    <col min="2" max="2" width="19.453125" bestFit="1" customWidth="1"/>
  </cols>
  <sheetData>
    <row r="2" spans="2:4">
      <c r="B2" t="s">
        <v>1077</v>
      </c>
    </row>
    <row r="3" spans="2:4">
      <c r="B3" s="1078" t="s">
        <v>1140</v>
      </c>
      <c r="C3" s="1074" t="s">
        <v>1</v>
      </c>
      <c r="D3" s="1074" t="s">
        <v>17</v>
      </c>
    </row>
    <row r="4" spans="2:4">
      <c r="B4" s="1074" t="s">
        <v>585</v>
      </c>
      <c r="C4" s="1074">
        <v>8.92</v>
      </c>
      <c r="D4" s="1074">
        <v>10.7</v>
      </c>
    </row>
    <row r="5" spans="2:4">
      <c r="B5" s="1074" t="s">
        <v>582</v>
      </c>
      <c r="C5" s="1074">
        <v>7.92</v>
      </c>
      <c r="D5" s="1074">
        <v>9.94</v>
      </c>
    </row>
    <row r="6" spans="2:4">
      <c r="B6" s="1074" t="s">
        <v>579</v>
      </c>
      <c r="C6" s="1074">
        <v>6.97</v>
      </c>
      <c r="D6" s="1074">
        <v>9.76</v>
      </c>
    </row>
    <row r="7" spans="2:4">
      <c r="B7" s="1074" t="s">
        <v>576</v>
      </c>
      <c r="C7" s="1074">
        <v>5.33</v>
      </c>
      <c r="D7" s="1074">
        <v>9.31</v>
      </c>
    </row>
    <row r="8" spans="2:4">
      <c r="B8" s="1074" t="s">
        <v>1010</v>
      </c>
      <c r="C8" s="1074">
        <v>2.4630000000000001</v>
      </c>
      <c r="D8" s="1074">
        <v>6.23</v>
      </c>
    </row>
    <row r="9" spans="2:4">
      <c r="B9" s="1074"/>
      <c r="C9" s="1074"/>
      <c r="D9" s="1074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98C7-DCEC-48D2-9ABF-3DB6B32E3847}">
  <dimension ref="B2:J23"/>
  <sheetViews>
    <sheetView workbookViewId="0"/>
  </sheetViews>
  <sheetFormatPr baseColWidth="10" defaultRowHeight="14.5"/>
  <sheetData>
    <row r="2" spans="2:10">
      <c r="B2" s="1440" t="s">
        <v>1008</v>
      </c>
      <c r="C2" s="1440"/>
      <c r="D2" s="1440"/>
      <c r="E2" s="1440"/>
      <c r="F2" s="1440"/>
      <c r="G2" s="1440"/>
      <c r="H2" s="1440"/>
      <c r="I2" s="1440"/>
      <c r="J2" s="1440"/>
    </row>
    <row r="3" spans="2:10">
      <c r="B3" s="1074"/>
      <c r="C3" s="1074"/>
      <c r="D3" s="1074" t="s">
        <v>975</v>
      </c>
      <c r="E3" s="1074" t="s">
        <v>997</v>
      </c>
      <c r="F3" s="1073" t="s">
        <v>998</v>
      </c>
      <c r="G3" s="1074" t="s">
        <v>999</v>
      </c>
      <c r="H3" s="1074" t="s">
        <v>1000</v>
      </c>
      <c r="I3" s="1074" t="s">
        <v>1001</v>
      </c>
      <c r="J3" s="1074" t="s">
        <v>1002</v>
      </c>
    </row>
    <row r="4" spans="2:10">
      <c r="B4" s="1074" t="s">
        <v>1</v>
      </c>
      <c r="C4" s="1074" t="s">
        <v>977</v>
      </c>
      <c r="D4" s="1077">
        <v>45922</v>
      </c>
      <c r="E4" s="801">
        <v>4.7409999999999997</v>
      </c>
      <c r="F4" s="801">
        <v>8.66</v>
      </c>
      <c r="G4" s="801">
        <v>10.4</v>
      </c>
      <c r="H4" s="801">
        <v>11.94</v>
      </c>
      <c r="I4" s="801">
        <v>10.55</v>
      </c>
      <c r="J4" s="801">
        <v>2.7469999999999999</v>
      </c>
    </row>
    <row r="5" spans="2:10">
      <c r="B5" s="1074"/>
      <c r="C5" s="1074" t="s">
        <v>978</v>
      </c>
      <c r="D5" s="1077">
        <v>45922</v>
      </c>
      <c r="E5" s="801">
        <v>11.12</v>
      </c>
      <c r="F5" s="801">
        <v>16.79</v>
      </c>
      <c r="G5" s="801">
        <v>20.58</v>
      </c>
      <c r="H5" s="801">
        <v>25.58</v>
      </c>
      <c r="I5" s="801">
        <v>30.17</v>
      </c>
      <c r="J5" s="801">
        <v>16.260000000000002</v>
      </c>
    </row>
    <row r="6" spans="2:10">
      <c r="B6" s="1074"/>
      <c r="C6" s="1074" t="s">
        <v>1009</v>
      </c>
      <c r="D6" s="1077">
        <v>45922</v>
      </c>
      <c r="E6" s="801">
        <v>7.92</v>
      </c>
      <c r="F6" s="801">
        <v>7.27</v>
      </c>
      <c r="G6" s="801">
        <v>6.86</v>
      </c>
      <c r="H6" s="801">
        <v>7.99</v>
      </c>
      <c r="I6" s="801">
        <v>8.6</v>
      </c>
      <c r="J6" s="801">
        <v>3.177</v>
      </c>
    </row>
    <row r="7" spans="2:10">
      <c r="B7" s="1074"/>
      <c r="C7" s="1074" t="s">
        <v>980</v>
      </c>
      <c r="D7" s="1077">
        <v>45922</v>
      </c>
      <c r="E7" s="801">
        <v>1.3260000000000001</v>
      </c>
      <c r="F7" s="801">
        <v>0.89400000000000002</v>
      </c>
      <c r="G7" s="801">
        <v>0.63200000000000001</v>
      </c>
      <c r="H7" s="801">
        <v>0.36299999999999999</v>
      </c>
      <c r="I7" s="801">
        <v>0.24199999999999999</v>
      </c>
      <c r="J7" s="801">
        <v>0.249</v>
      </c>
    </row>
    <row r="8" spans="2:10">
      <c r="B8" s="1074" t="s">
        <v>17</v>
      </c>
      <c r="C8" s="1074" t="s">
        <v>977</v>
      </c>
      <c r="D8" s="1077">
        <v>45922</v>
      </c>
      <c r="E8" s="1073">
        <v>11.1</v>
      </c>
      <c r="F8" s="1073">
        <v>15.7</v>
      </c>
      <c r="G8" s="1073">
        <v>17.600000000000001</v>
      </c>
      <c r="H8" s="1073">
        <v>17</v>
      </c>
      <c r="I8" s="1073">
        <v>14.2</v>
      </c>
      <c r="J8" s="1073">
        <v>3.38</v>
      </c>
    </row>
    <row r="9" spans="2:10">
      <c r="B9" s="1074"/>
      <c r="C9" s="1074" t="s">
        <v>978</v>
      </c>
      <c r="D9" s="1077">
        <v>45922</v>
      </c>
      <c r="E9" s="1073">
        <v>26</v>
      </c>
      <c r="F9" s="1073">
        <v>25.8</v>
      </c>
      <c r="G9" s="1073">
        <v>25.3</v>
      </c>
      <c r="H9" s="1073">
        <v>24</v>
      </c>
      <c r="I9" s="1073">
        <v>22.6</v>
      </c>
      <c r="J9" s="1073">
        <v>9.49</v>
      </c>
    </row>
    <row r="10" spans="2:10">
      <c r="B10" s="1074"/>
      <c r="C10" s="1074" t="s">
        <v>1009</v>
      </c>
      <c r="D10" s="1077">
        <v>45922</v>
      </c>
      <c r="E10" s="1073">
        <v>14.4</v>
      </c>
      <c r="F10" s="1073">
        <v>14.7</v>
      </c>
      <c r="G10" s="1073">
        <v>16.3</v>
      </c>
      <c r="H10" s="1073">
        <v>19.2</v>
      </c>
      <c r="I10" s="1073">
        <v>18.5</v>
      </c>
      <c r="J10" s="1073">
        <v>4.87</v>
      </c>
    </row>
    <row r="11" spans="2:10">
      <c r="B11" s="1074"/>
      <c r="C11" s="1074" t="s">
        <v>980</v>
      </c>
      <c r="D11" s="1077">
        <v>45922</v>
      </c>
      <c r="E11" s="1073">
        <v>9.02</v>
      </c>
      <c r="F11" s="1073">
        <v>18.100000000000001</v>
      </c>
      <c r="G11" s="1073">
        <v>20.9</v>
      </c>
      <c r="H11" s="906">
        <v>15.1</v>
      </c>
      <c r="I11" s="906">
        <v>8.9</v>
      </c>
      <c r="J11" s="906">
        <v>1.99</v>
      </c>
    </row>
    <row r="14" spans="2:10">
      <c r="B14" s="1440" t="s">
        <v>1008</v>
      </c>
      <c r="C14" s="1440"/>
      <c r="D14" s="1440"/>
      <c r="E14" s="1440"/>
      <c r="F14" s="1440"/>
      <c r="G14" s="1440"/>
      <c r="H14" s="1440"/>
      <c r="I14" s="1440"/>
      <c r="J14" s="1440"/>
    </row>
    <row r="15" spans="2:10">
      <c r="B15" s="1074"/>
      <c r="C15" s="1074"/>
      <c r="D15" s="1074" t="s">
        <v>975</v>
      </c>
      <c r="E15" s="1074" t="s">
        <v>997</v>
      </c>
      <c r="F15" s="1073" t="s">
        <v>998</v>
      </c>
      <c r="G15" s="1074" t="s">
        <v>999</v>
      </c>
      <c r="H15" s="1074" t="s">
        <v>1000</v>
      </c>
      <c r="I15" s="1074" t="s">
        <v>1001</v>
      </c>
      <c r="J15" s="1074" t="s">
        <v>1002</v>
      </c>
    </row>
    <row r="16" spans="2:10">
      <c r="B16" s="1074" t="s">
        <v>1</v>
      </c>
      <c r="C16" s="1074" t="s">
        <v>977</v>
      </c>
      <c r="D16" s="1077">
        <v>45901</v>
      </c>
      <c r="E16" s="801"/>
      <c r="F16" s="801">
        <v>3.7160000000000002</v>
      </c>
      <c r="G16" s="801">
        <v>5.59</v>
      </c>
      <c r="H16" s="801">
        <v>5.58</v>
      </c>
      <c r="I16" s="801">
        <v>4.6390000000000002</v>
      </c>
      <c r="J16" s="801">
        <v>1.5660000000000001</v>
      </c>
    </row>
    <row r="17" spans="2:10">
      <c r="B17" s="1074"/>
      <c r="C17" s="1074" t="s">
        <v>978</v>
      </c>
      <c r="D17" s="1077">
        <v>45901</v>
      </c>
      <c r="E17" s="801"/>
      <c r="F17" s="801">
        <v>13.24</v>
      </c>
      <c r="G17" s="801">
        <v>22.2</v>
      </c>
      <c r="H17" s="801">
        <v>28.34</v>
      </c>
      <c r="I17" s="801">
        <v>33.03</v>
      </c>
      <c r="J17" s="801">
        <v>23.14</v>
      </c>
    </row>
    <row r="18" spans="2:10">
      <c r="B18" s="1074"/>
      <c r="C18" s="1074" t="s">
        <v>1009</v>
      </c>
      <c r="D18" s="1077">
        <v>45901</v>
      </c>
      <c r="E18" s="801">
        <v>8.83</v>
      </c>
      <c r="F18" s="801">
        <v>9.91</v>
      </c>
      <c r="G18" s="801">
        <v>9.9</v>
      </c>
      <c r="H18" s="801">
        <v>11.04</v>
      </c>
      <c r="I18" s="801">
        <v>12.08</v>
      </c>
      <c r="J18" s="801">
        <v>3.278</v>
      </c>
    </row>
    <row r="19" spans="2:10">
      <c r="B19" s="1074"/>
      <c r="C19" s="1074" t="s">
        <v>980</v>
      </c>
      <c r="D19" s="1077">
        <v>45901</v>
      </c>
      <c r="E19" s="801"/>
      <c r="F19" s="801">
        <v>1.3580000000000001</v>
      </c>
      <c r="G19" s="801">
        <v>1.603</v>
      </c>
      <c r="H19" s="801">
        <v>0.52200000000000002</v>
      </c>
      <c r="I19" s="801">
        <v>0.19600000000000001</v>
      </c>
      <c r="J19" s="801">
        <v>0.156</v>
      </c>
    </row>
    <row r="20" spans="2:10">
      <c r="B20" s="1074" t="s">
        <v>17</v>
      </c>
      <c r="C20" s="1074" t="s">
        <v>977</v>
      </c>
      <c r="D20" s="1077">
        <v>45901</v>
      </c>
      <c r="E20" s="1073"/>
      <c r="F20" s="1073">
        <v>14.4</v>
      </c>
      <c r="G20" s="1073">
        <v>18.8</v>
      </c>
      <c r="H20" s="1073">
        <v>17</v>
      </c>
      <c r="I20" s="1073">
        <v>10.4</v>
      </c>
      <c r="J20" s="1073">
        <v>2.92</v>
      </c>
    </row>
    <row r="21" spans="2:10">
      <c r="B21" s="1074"/>
      <c r="C21" s="1074" t="s">
        <v>978</v>
      </c>
      <c r="D21" s="1077">
        <v>45901</v>
      </c>
      <c r="E21" s="1073"/>
      <c r="F21" s="1073">
        <v>31.2</v>
      </c>
      <c r="G21" s="1073">
        <v>28.6</v>
      </c>
      <c r="H21" s="1073">
        <v>25.7</v>
      </c>
      <c r="I21" s="1073">
        <v>22.8</v>
      </c>
      <c r="J21" s="1073">
        <v>12.7</v>
      </c>
    </row>
    <row r="22" spans="2:10">
      <c r="B22" s="1074"/>
      <c r="C22" s="1074" t="s">
        <v>1009</v>
      </c>
      <c r="D22" s="1077">
        <v>45901</v>
      </c>
      <c r="E22" s="1073">
        <v>13.6</v>
      </c>
      <c r="F22" s="1073">
        <v>17.3</v>
      </c>
      <c r="G22" s="1073">
        <v>19.899999999999999</v>
      </c>
      <c r="H22" s="1073">
        <v>21</v>
      </c>
      <c r="I22" s="1073">
        <v>20.7</v>
      </c>
      <c r="J22" s="1073">
        <v>5.87</v>
      </c>
    </row>
    <row r="23" spans="2:10">
      <c r="B23" s="1074"/>
      <c r="C23" s="1074" t="s">
        <v>980</v>
      </c>
      <c r="D23" s="1077">
        <v>45901</v>
      </c>
      <c r="E23" s="1073"/>
      <c r="F23" s="1073">
        <v>12.9</v>
      </c>
      <c r="G23" s="1073">
        <v>19.600000000000001</v>
      </c>
      <c r="H23" s="1073">
        <v>15.6</v>
      </c>
      <c r="I23" s="1073">
        <v>8.76</v>
      </c>
      <c r="J23" s="1073">
        <v>2.04</v>
      </c>
    </row>
  </sheetData>
  <mergeCells count="2">
    <mergeCell ref="B2:J2"/>
    <mergeCell ref="B14:J14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75A06-2863-43B3-97FB-E3F12B0F8BB9}">
  <dimension ref="C2:P11"/>
  <sheetViews>
    <sheetView workbookViewId="0"/>
  </sheetViews>
  <sheetFormatPr baseColWidth="10" defaultRowHeight="14.5"/>
  <cols>
    <col min="4" max="4" width="13.81640625" bestFit="1" customWidth="1"/>
  </cols>
  <sheetData>
    <row r="2" spans="3:16">
      <c r="C2" s="1458" t="s">
        <v>1073</v>
      </c>
      <c r="D2" s="1459"/>
      <c r="E2" s="1459"/>
      <c r="F2" s="1459"/>
      <c r="G2" s="1459"/>
      <c r="H2" s="1459"/>
      <c r="I2" s="1459"/>
      <c r="J2" s="1459"/>
      <c r="K2" s="1459"/>
      <c r="L2" s="1459"/>
      <c r="M2" s="1459"/>
      <c r="N2" s="1459"/>
      <c r="O2" s="1459"/>
      <c r="P2" s="1459"/>
    </row>
    <row r="3" spans="3:16">
      <c r="E3" s="1457" t="s">
        <v>1076</v>
      </c>
      <c r="F3" s="1457"/>
      <c r="G3" s="1457"/>
      <c r="H3" s="1457"/>
      <c r="I3" s="1457"/>
      <c r="J3" s="1457"/>
      <c r="K3" s="1457" t="s">
        <v>33</v>
      </c>
      <c r="L3" s="1457"/>
      <c r="M3" s="1457"/>
      <c r="N3" s="1457"/>
      <c r="O3" s="1457"/>
      <c r="P3" s="1457"/>
    </row>
    <row r="4" spans="3:16">
      <c r="C4" s="1078" t="s">
        <v>1073</v>
      </c>
      <c r="D4" s="1074"/>
      <c r="E4" s="1074" t="s">
        <v>997</v>
      </c>
      <c r="F4" s="1073" t="s">
        <v>998</v>
      </c>
      <c r="G4" s="1074" t="s">
        <v>999</v>
      </c>
      <c r="H4" s="1074" t="s">
        <v>1000</v>
      </c>
      <c r="I4" s="1074" t="s">
        <v>1001</v>
      </c>
      <c r="J4" s="1074" t="s">
        <v>1002</v>
      </c>
      <c r="K4" s="1074" t="s">
        <v>997</v>
      </c>
      <c r="L4" s="1073" t="s">
        <v>998</v>
      </c>
      <c r="M4" s="1074" t="s">
        <v>999</v>
      </c>
      <c r="N4" s="1074" t="s">
        <v>1000</v>
      </c>
      <c r="O4" s="1074" t="s">
        <v>1001</v>
      </c>
      <c r="P4" s="1074" t="s">
        <v>1002</v>
      </c>
    </row>
    <row r="5" spans="3:16">
      <c r="C5" s="1074" t="s">
        <v>1</v>
      </c>
      <c r="D5" s="1074" t="s">
        <v>1074</v>
      </c>
      <c r="E5" s="1074"/>
      <c r="F5" s="800">
        <v>1.6</v>
      </c>
      <c r="G5" s="800">
        <v>1.1000000000000001</v>
      </c>
      <c r="H5" s="800">
        <v>1.01</v>
      </c>
      <c r="I5" s="800">
        <v>1.04</v>
      </c>
      <c r="J5" s="800">
        <v>0.78</v>
      </c>
      <c r="K5" s="1074"/>
      <c r="L5" s="906">
        <v>22.8</v>
      </c>
      <c r="M5" s="906">
        <v>38.5</v>
      </c>
      <c r="N5" s="906">
        <v>20.3</v>
      </c>
      <c r="O5" s="906">
        <v>13</v>
      </c>
      <c r="P5" s="906">
        <v>147</v>
      </c>
    </row>
    <row r="6" spans="3:16">
      <c r="C6" s="1074" t="s">
        <v>17</v>
      </c>
      <c r="D6" s="1074" t="s">
        <v>1074</v>
      </c>
      <c r="E6" s="1074"/>
      <c r="F6" s="800">
        <v>27.9</v>
      </c>
      <c r="G6" s="800">
        <v>35.4</v>
      </c>
      <c r="H6" s="800">
        <v>30.6</v>
      </c>
      <c r="I6" s="800">
        <v>22.6</v>
      </c>
      <c r="J6" s="800">
        <v>4.71</v>
      </c>
      <c r="K6" s="1074"/>
      <c r="L6" s="1074"/>
      <c r="M6" s="1074"/>
      <c r="N6" s="1074"/>
      <c r="O6" s="1074"/>
      <c r="P6" s="1074"/>
    </row>
    <row r="8" spans="3:16">
      <c r="C8" s="1454" t="s">
        <v>1075</v>
      </c>
      <c r="D8" s="1455"/>
      <c r="E8" s="1455"/>
      <c r="F8" s="1455"/>
      <c r="G8" s="1455"/>
      <c r="H8" s="1455"/>
      <c r="I8" s="1455"/>
      <c r="J8" s="1455"/>
      <c r="K8" s="1455"/>
      <c r="L8" s="1455"/>
      <c r="M8" s="1455"/>
      <c r="N8" s="1455"/>
      <c r="O8" s="1455"/>
      <c r="P8" s="1455"/>
    </row>
    <row r="9" spans="3:16">
      <c r="C9" s="1078" t="s">
        <v>1075</v>
      </c>
      <c r="D9" s="1074"/>
      <c r="E9" s="1074" t="s">
        <v>997</v>
      </c>
      <c r="F9" s="1073" t="s">
        <v>998</v>
      </c>
      <c r="G9" s="1074" t="s">
        <v>999</v>
      </c>
      <c r="H9" s="1074" t="s">
        <v>1000</v>
      </c>
      <c r="I9" s="1074" t="s">
        <v>1001</v>
      </c>
      <c r="J9" s="1074" t="s">
        <v>1002</v>
      </c>
      <c r="K9" s="1074" t="s">
        <v>997</v>
      </c>
      <c r="L9" s="1073" t="s">
        <v>998</v>
      </c>
      <c r="M9" s="1074" t="s">
        <v>999</v>
      </c>
      <c r="N9" s="1074" t="s">
        <v>1000</v>
      </c>
      <c r="O9" s="1074" t="s">
        <v>1001</v>
      </c>
      <c r="P9" s="1074" t="s">
        <v>1002</v>
      </c>
    </row>
    <row r="10" spans="3:16">
      <c r="C10" s="1074" t="s">
        <v>1</v>
      </c>
      <c r="D10" s="1074" t="s">
        <v>1074</v>
      </c>
      <c r="E10" s="1074"/>
      <c r="F10" s="800">
        <v>2.77</v>
      </c>
      <c r="G10" s="800">
        <v>1.93</v>
      </c>
      <c r="H10" s="800">
        <v>0.79</v>
      </c>
      <c r="I10" s="800">
        <v>0.48</v>
      </c>
      <c r="J10" s="800">
        <v>0.17</v>
      </c>
      <c r="K10" s="1074"/>
      <c r="L10" s="906">
        <v>11.3</v>
      </c>
      <c r="M10" s="906">
        <v>20</v>
      </c>
      <c r="N10" s="906">
        <v>17.100000000000001</v>
      </c>
      <c r="O10" s="906">
        <v>17.3</v>
      </c>
      <c r="P10" s="906">
        <v>176</v>
      </c>
    </row>
    <row r="11" spans="3:16">
      <c r="C11" s="1074" t="s">
        <v>17</v>
      </c>
      <c r="D11" s="1074" t="s">
        <v>1074</v>
      </c>
      <c r="E11" s="1074"/>
      <c r="F11" s="800">
        <v>10.7</v>
      </c>
      <c r="G11" s="800">
        <v>9.0500000000000007</v>
      </c>
      <c r="H11" s="800">
        <v>4.01</v>
      </c>
      <c r="I11" s="800">
        <v>2.4</v>
      </c>
      <c r="J11" s="800">
        <v>1.1200000000000001</v>
      </c>
      <c r="K11" s="1074"/>
      <c r="L11" s="1074"/>
      <c r="M11" s="1074"/>
      <c r="N11" s="1074"/>
      <c r="O11" s="1074"/>
      <c r="P11" s="1074"/>
    </row>
  </sheetData>
  <mergeCells count="4">
    <mergeCell ref="E3:J3"/>
    <mergeCell ref="K3:P3"/>
    <mergeCell ref="C2:P2"/>
    <mergeCell ref="C8:P8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58872-09C4-42BC-8AD0-A0241F6C86D6}">
  <dimension ref="C3:O6"/>
  <sheetViews>
    <sheetView workbookViewId="0"/>
  </sheetViews>
  <sheetFormatPr baseColWidth="10" defaultRowHeight="14.5"/>
  <cols>
    <col min="13" max="13" width="16.1796875" bestFit="1" customWidth="1"/>
  </cols>
  <sheetData>
    <row r="3" spans="3:15">
      <c r="C3" s="1455" t="s">
        <v>1036</v>
      </c>
      <c r="D3" s="1455"/>
      <c r="E3" s="1455"/>
      <c r="F3" s="1455"/>
      <c r="G3" s="1455"/>
      <c r="H3" s="1455"/>
      <c r="I3" s="1455"/>
      <c r="J3" s="1455"/>
      <c r="K3" s="1460"/>
      <c r="M3" s="1454" t="s">
        <v>1141</v>
      </c>
      <c r="N3" s="1455"/>
      <c r="O3" s="1455"/>
    </row>
    <row r="4" spans="3:15">
      <c r="C4" s="1074"/>
      <c r="D4" s="1074"/>
      <c r="E4" s="1074" t="s">
        <v>975</v>
      </c>
      <c r="F4" s="1074" t="s">
        <v>997</v>
      </c>
      <c r="G4" s="1073" t="s">
        <v>998</v>
      </c>
      <c r="H4" s="1074" t="s">
        <v>999</v>
      </c>
      <c r="I4" s="1074" t="s">
        <v>1000</v>
      </c>
      <c r="J4" s="1074" t="s">
        <v>1001</v>
      </c>
      <c r="K4" s="1074" t="s">
        <v>1002</v>
      </c>
      <c r="N4" s="1074" t="s">
        <v>1</v>
      </c>
      <c r="O4" s="1074" t="s">
        <v>17</v>
      </c>
    </row>
    <row r="5" spans="3:15">
      <c r="C5" s="1074" t="s">
        <v>1</v>
      </c>
      <c r="D5" s="1074" t="s">
        <v>1037</v>
      </c>
      <c r="E5" s="1077"/>
      <c r="F5" s="1075">
        <v>11.75</v>
      </c>
      <c r="G5" s="1075">
        <v>15.81</v>
      </c>
      <c r="H5" s="1075">
        <v>19.45</v>
      </c>
      <c r="I5" s="1075">
        <v>27.79</v>
      </c>
      <c r="J5" s="1075">
        <v>33.29</v>
      </c>
      <c r="K5" s="1075">
        <v>38.72</v>
      </c>
      <c r="M5" s="1074" t="s">
        <v>1013</v>
      </c>
      <c r="N5" s="1074">
        <v>15.64</v>
      </c>
      <c r="O5" s="1074">
        <v>15.9</v>
      </c>
    </row>
    <row r="6" spans="3:15">
      <c r="C6" s="1074"/>
      <c r="D6" s="1074" t="s">
        <v>1038</v>
      </c>
      <c r="E6" s="1077"/>
      <c r="F6" s="801"/>
      <c r="G6" s="801"/>
      <c r="H6" s="1075">
        <v>2.87</v>
      </c>
      <c r="I6" s="1075">
        <v>2.21</v>
      </c>
      <c r="J6" s="1075">
        <v>1.48</v>
      </c>
      <c r="K6" s="1075">
        <v>0.71</v>
      </c>
      <c r="M6" s="1074" t="s">
        <v>1014</v>
      </c>
      <c r="N6" s="1074">
        <v>3.0470000000000002</v>
      </c>
      <c r="O6" s="1074">
        <v>6.67</v>
      </c>
    </row>
  </sheetData>
  <mergeCells count="2">
    <mergeCell ref="C3:K3"/>
    <mergeCell ref="M3:O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F0881-6440-41D6-9227-FF8804B875D3}">
  <dimension ref="B2:J5"/>
  <sheetViews>
    <sheetView workbookViewId="0"/>
  </sheetViews>
  <sheetFormatPr baseColWidth="10" defaultRowHeight="14.5"/>
  <sheetData>
    <row r="2" spans="2:10">
      <c r="B2" s="1455" t="s">
        <v>1041</v>
      </c>
      <c r="C2" s="1455"/>
      <c r="D2" s="1455"/>
      <c r="E2" s="1455"/>
      <c r="F2" s="1455"/>
      <c r="G2" s="1455"/>
      <c r="H2" s="1455"/>
      <c r="I2" s="1455"/>
      <c r="J2" s="1460"/>
    </row>
    <row r="3" spans="2:10">
      <c r="B3" s="1074"/>
      <c r="C3" s="1074"/>
      <c r="D3" s="1074" t="s">
        <v>975</v>
      </c>
      <c r="E3" s="1074" t="s">
        <v>997</v>
      </c>
      <c r="F3" s="1073" t="s">
        <v>998</v>
      </c>
      <c r="G3" s="1074" t="s">
        <v>999</v>
      </c>
      <c r="H3" s="1074" t="s">
        <v>1000</v>
      </c>
      <c r="I3" s="1074" t="s">
        <v>1001</v>
      </c>
      <c r="J3" s="1074" t="s">
        <v>1002</v>
      </c>
    </row>
    <row r="4" spans="2:10">
      <c r="B4" s="1074" t="s">
        <v>1</v>
      </c>
      <c r="C4" s="1074" t="s">
        <v>1039</v>
      </c>
      <c r="D4" s="1077"/>
      <c r="E4" s="1075">
        <v>7.67</v>
      </c>
      <c r="F4" s="1075">
        <v>8.9499999999999993</v>
      </c>
      <c r="G4" s="1075">
        <v>9.44</v>
      </c>
      <c r="H4" s="1075">
        <v>10.26</v>
      </c>
      <c r="I4" s="1075">
        <v>15.15</v>
      </c>
      <c r="J4" s="1075">
        <v>20.27</v>
      </c>
    </row>
    <row r="5" spans="2:10">
      <c r="B5" s="1074"/>
      <c r="C5" s="1074" t="s">
        <v>1040</v>
      </c>
      <c r="D5" s="1077"/>
      <c r="E5" s="801"/>
      <c r="F5" s="801"/>
      <c r="G5" s="1075">
        <v>4.99</v>
      </c>
      <c r="H5" s="1075">
        <v>2.75</v>
      </c>
      <c r="I5" s="1075">
        <v>1.86</v>
      </c>
      <c r="J5" s="1075">
        <v>0.56999999999999995</v>
      </c>
    </row>
  </sheetData>
  <mergeCells count="1">
    <mergeCell ref="B2:J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79A16-86F6-4AF5-B94F-932B7BF9F5BA}">
  <dimension ref="B2:AA33"/>
  <sheetViews>
    <sheetView workbookViewId="0"/>
  </sheetViews>
  <sheetFormatPr baseColWidth="10" defaultRowHeight="14.5"/>
  <cols>
    <col min="2" max="2" width="27.26953125" customWidth="1"/>
    <col min="8" max="8" width="20.453125" bestFit="1" customWidth="1"/>
    <col min="23" max="23" width="25.26953125" bestFit="1" customWidth="1"/>
    <col min="26" max="26" width="13.54296875" bestFit="1" customWidth="1"/>
    <col min="27" max="27" width="13.26953125" bestFit="1" customWidth="1"/>
  </cols>
  <sheetData>
    <row r="2" spans="2:27">
      <c r="B2" s="2" t="s">
        <v>1042</v>
      </c>
    </row>
    <row r="3" spans="2:27">
      <c r="B3" s="1071">
        <v>45988</v>
      </c>
    </row>
    <row r="4" spans="2:27">
      <c r="G4" s="1458" t="s">
        <v>1053</v>
      </c>
      <c r="H4" s="1459"/>
      <c r="I4" s="1459"/>
      <c r="J4" s="1459"/>
      <c r="K4" s="1459"/>
      <c r="L4" s="1459"/>
      <c r="M4" s="1459"/>
      <c r="N4" s="1459"/>
      <c r="O4" s="1459"/>
      <c r="P4" s="1459"/>
      <c r="Q4" s="1459"/>
      <c r="R4" s="1459"/>
      <c r="S4" s="1459"/>
      <c r="T4" s="1459"/>
      <c r="U4" s="1459"/>
      <c r="W4" s="1109"/>
      <c r="X4" s="1110" t="s">
        <v>1082</v>
      </c>
      <c r="Y4" s="1110" t="s">
        <v>1083</v>
      </c>
      <c r="Z4" s="1111" t="s">
        <v>1084</v>
      </c>
      <c r="AA4" s="1111" t="s">
        <v>1085</v>
      </c>
    </row>
    <row r="5" spans="2:27">
      <c r="B5" s="1455" t="s">
        <v>1042</v>
      </c>
      <c r="C5" s="1455"/>
      <c r="D5" s="1460"/>
      <c r="G5" s="1074"/>
      <c r="H5" s="1074"/>
      <c r="I5" s="1443" t="s">
        <v>1076</v>
      </c>
      <c r="J5" s="1444"/>
      <c r="K5" s="1444"/>
      <c r="L5" s="1444"/>
      <c r="M5" s="1444"/>
      <c r="N5" s="1444"/>
      <c r="O5" s="1445"/>
      <c r="P5" s="1454" t="s">
        <v>1055</v>
      </c>
      <c r="Q5" s="1455"/>
      <c r="R5" s="1455"/>
      <c r="S5" s="1455"/>
      <c r="T5" s="1455"/>
      <c r="U5" s="1455"/>
      <c r="W5" s="1110" t="s">
        <v>1122</v>
      </c>
      <c r="X5" s="924">
        <f>SUMPRODUCT(P7:U7,J7:O7)/SUM(P7:U7)</f>
        <v>1.8896150234741784</v>
      </c>
      <c r="Y5" s="924">
        <f>SUMPRODUCT(P7:U7,J9:O9)/SUM(P7:U7)</f>
        <v>4.4451173708920191</v>
      </c>
      <c r="Z5" s="1074"/>
      <c r="AA5" s="1074"/>
    </row>
    <row r="6" spans="2:27">
      <c r="B6" s="1074"/>
      <c r="C6" s="1075" t="s">
        <v>981</v>
      </c>
      <c r="D6" s="1075" t="s">
        <v>17</v>
      </c>
      <c r="G6" s="1074"/>
      <c r="H6" s="1074"/>
      <c r="I6" s="1074" t="s">
        <v>975</v>
      </c>
      <c r="J6" s="1074" t="s">
        <v>997</v>
      </c>
      <c r="K6" s="1073" t="s">
        <v>998</v>
      </c>
      <c r="L6" s="1074" t="s">
        <v>999</v>
      </c>
      <c r="M6" s="1074" t="s">
        <v>1000</v>
      </c>
      <c r="N6" s="1074" t="s">
        <v>1001</v>
      </c>
      <c r="O6" s="1074" t="s">
        <v>1002</v>
      </c>
      <c r="P6" s="1074" t="s">
        <v>997</v>
      </c>
      <c r="Q6" s="1073" t="s">
        <v>998</v>
      </c>
      <c r="R6" s="1074" t="s">
        <v>999</v>
      </c>
      <c r="S6" s="1074" t="s">
        <v>1000</v>
      </c>
      <c r="T6" s="1074" t="s">
        <v>1001</v>
      </c>
      <c r="U6" s="1074" t="s">
        <v>1002</v>
      </c>
      <c r="W6" s="1110" t="s">
        <v>1123</v>
      </c>
      <c r="X6" s="779">
        <f>SUMPRODUCT(P8:U8,J8:O8)/SUM(P8:U8)</f>
        <v>0.45333333333333337</v>
      </c>
      <c r="Y6" s="779">
        <f>SUMPRODUCT(P8:U8,J10:O10)/SUM(P8:U8)</f>
        <v>3.7660967609676099</v>
      </c>
      <c r="Z6" s="1074"/>
      <c r="AA6" s="1074"/>
    </row>
    <row r="7" spans="2:27">
      <c r="B7" s="1074"/>
      <c r="C7" s="1076">
        <v>45988</v>
      </c>
      <c r="D7" s="1076">
        <v>45988</v>
      </c>
      <c r="G7" s="1074" t="s">
        <v>1056</v>
      </c>
      <c r="H7" s="1078" t="s">
        <v>1051</v>
      </c>
      <c r="I7" s="1077"/>
      <c r="J7" s="1075">
        <v>5.35</v>
      </c>
      <c r="K7" s="1075">
        <v>6.64</v>
      </c>
      <c r="L7" s="1075">
        <v>7.18</v>
      </c>
      <c r="M7" s="1075">
        <v>6.66</v>
      </c>
      <c r="N7" s="1075">
        <v>4.26</v>
      </c>
      <c r="O7" s="1075">
        <v>1.23</v>
      </c>
      <c r="P7" s="1084">
        <v>0.5</v>
      </c>
      <c r="Q7" s="906">
        <v>2.1</v>
      </c>
      <c r="R7" s="906">
        <v>4.5</v>
      </c>
      <c r="S7" s="906">
        <v>17.3</v>
      </c>
      <c r="T7" s="906">
        <v>2.1</v>
      </c>
      <c r="U7" s="906">
        <v>186.5</v>
      </c>
      <c r="W7" s="1110" t="s">
        <v>1120</v>
      </c>
      <c r="X7" s="924">
        <v>2.6495935244893896</v>
      </c>
      <c r="Y7" s="924">
        <v>26.91</v>
      </c>
      <c r="Z7" s="924">
        <f>((X7-X5)/X7)*100</f>
        <v>28.682833573941068</v>
      </c>
      <c r="AA7" s="924">
        <f>((Y7-Y5)/Y7)*100</f>
        <v>83.481540799360772</v>
      </c>
    </row>
    <row r="8" spans="2:27">
      <c r="B8" s="1070" t="s">
        <v>1043</v>
      </c>
      <c r="C8" s="800">
        <v>3.7</v>
      </c>
      <c r="D8" s="800">
        <v>13.5</v>
      </c>
      <c r="G8" s="1074"/>
      <c r="H8" s="1078" t="s">
        <v>1052</v>
      </c>
      <c r="I8" s="1077"/>
      <c r="J8" s="1075">
        <v>1.07</v>
      </c>
      <c r="K8" s="1075">
        <v>1.32</v>
      </c>
      <c r="L8" s="1075">
        <v>1.51</v>
      </c>
      <c r="M8" s="1075">
        <v>1.25</v>
      </c>
      <c r="N8" s="1075">
        <v>0.68</v>
      </c>
      <c r="O8" s="1075">
        <v>0.32</v>
      </c>
      <c r="P8" s="1084">
        <v>1</v>
      </c>
      <c r="Q8" s="906">
        <v>2</v>
      </c>
      <c r="R8" s="906">
        <v>3.8</v>
      </c>
      <c r="S8" s="906">
        <v>16</v>
      </c>
      <c r="T8" s="906">
        <v>28.8</v>
      </c>
      <c r="U8" s="906">
        <v>192.3</v>
      </c>
      <c r="W8" s="1110" t="s">
        <v>1121</v>
      </c>
      <c r="X8" s="779">
        <v>0.52800000000000002</v>
      </c>
      <c r="Y8" s="779">
        <v>4.7395756332683812</v>
      </c>
      <c r="Z8" s="779">
        <f>((X8-X6)/X8)*100</f>
        <v>14.141414141414138</v>
      </c>
      <c r="AA8" s="779">
        <f>((Y8-Y6)/Y8)*100</f>
        <v>20.539367817398166</v>
      </c>
    </row>
    <row r="9" spans="2:27">
      <c r="B9" s="1070" t="s">
        <v>1044</v>
      </c>
      <c r="C9" s="800">
        <v>23.77</v>
      </c>
      <c r="D9" s="800">
        <v>16.8</v>
      </c>
      <c r="G9" s="1074" t="s">
        <v>1057</v>
      </c>
      <c r="H9" s="1074" t="s">
        <v>1051</v>
      </c>
      <c r="I9" s="1074"/>
      <c r="J9" s="1075" t="s">
        <v>1054</v>
      </c>
      <c r="K9" s="1075">
        <v>24.5</v>
      </c>
      <c r="L9" s="1075">
        <v>21.9</v>
      </c>
      <c r="M9" s="1075">
        <v>16.600000000000001</v>
      </c>
      <c r="N9" s="1083">
        <v>10</v>
      </c>
      <c r="O9" s="1075">
        <v>2.62</v>
      </c>
      <c r="W9" s="1110" t="s">
        <v>838</v>
      </c>
      <c r="X9" s="924">
        <v>2.14</v>
      </c>
      <c r="Y9" s="924">
        <v>5.36</v>
      </c>
      <c r="Z9" s="924">
        <f>((X9-X5)/X9)*100</f>
        <v>11.700232547935594</v>
      </c>
      <c r="AA9" s="924">
        <f>((Y9-Y5)/Y9)*100</f>
        <v>17.068705766939949</v>
      </c>
    </row>
    <row r="10" spans="2:27">
      <c r="B10" s="1070" t="s">
        <v>1045</v>
      </c>
      <c r="C10" s="800">
        <v>1.62</v>
      </c>
      <c r="D10" s="800">
        <v>4.33</v>
      </c>
      <c r="G10" s="1074"/>
      <c r="H10" s="1074" t="s">
        <v>1052</v>
      </c>
      <c r="I10" s="1074"/>
      <c r="J10" s="1075">
        <v>26.4</v>
      </c>
      <c r="K10" s="1075">
        <v>30.9</v>
      </c>
      <c r="L10" s="1075">
        <v>27.4</v>
      </c>
      <c r="M10" s="1075">
        <v>10.199999999999999</v>
      </c>
      <c r="N10" s="1075">
        <v>6.93</v>
      </c>
      <c r="O10" s="1075">
        <v>1.89</v>
      </c>
      <c r="W10" s="1110" t="s">
        <v>839</v>
      </c>
      <c r="X10" s="779">
        <v>0.44</v>
      </c>
      <c r="Y10" s="779">
        <v>4.18</v>
      </c>
      <c r="Z10" s="779">
        <f>((X10-X6)/X10)*100</f>
        <v>-3.0303030303030374</v>
      </c>
      <c r="AA10" s="779">
        <f>((Y10-Y6)/Y10)*100</f>
        <v>9.9019913644112396</v>
      </c>
    </row>
    <row r="11" spans="2:27">
      <c r="B11" s="1070" t="s">
        <v>1046</v>
      </c>
      <c r="C11" s="800">
        <v>1.6</v>
      </c>
      <c r="D11" s="800">
        <v>4.3</v>
      </c>
    </row>
    <row r="12" spans="2:27">
      <c r="B12" s="1070" t="s">
        <v>1047</v>
      </c>
      <c r="C12" s="800">
        <v>0.7</v>
      </c>
      <c r="D12" s="800">
        <v>3.67</v>
      </c>
      <c r="H12" t="s">
        <v>1078</v>
      </c>
    </row>
    <row r="13" spans="2:27">
      <c r="B13" s="1070" t="s">
        <v>1048</v>
      </c>
      <c r="C13" s="800">
        <v>9.4499999999999993</v>
      </c>
      <c r="D13" s="800">
        <v>10</v>
      </c>
      <c r="H13" t="s">
        <v>1080</v>
      </c>
    </row>
    <row r="14" spans="2:27">
      <c r="B14" s="1070" t="s">
        <v>1049</v>
      </c>
      <c r="C14" s="800">
        <v>0.28999999999999998</v>
      </c>
      <c r="D14" s="800">
        <v>2.17</v>
      </c>
      <c r="H14" t="s">
        <v>1081</v>
      </c>
    </row>
    <row r="15" spans="2:27">
      <c r="B15" s="1072" t="s">
        <v>1050</v>
      </c>
      <c r="C15" s="800">
        <v>0.13</v>
      </c>
      <c r="D15" s="800">
        <v>1.6</v>
      </c>
      <c r="H15" t="s">
        <v>1079</v>
      </c>
    </row>
    <row r="16" spans="2:27">
      <c r="B16" s="1070" t="s">
        <v>1067</v>
      </c>
      <c r="C16" s="800">
        <v>2.14</v>
      </c>
      <c r="D16" s="800">
        <v>5.36</v>
      </c>
    </row>
    <row r="17" spans="2:9">
      <c r="B17" s="1070" t="s">
        <v>1068</v>
      </c>
      <c r="C17" s="800">
        <v>0.44</v>
      </c>
      <c r="D17" s="800">
        <v>4.18</v>
      </c>
    </row>
    <row r="23" spans="2:9" ht="26">
      <c r="B23" s="1187" t="s">
        <v>1142</v>
      </c>
      <c r="C23" s="1187" t="s">
        <v>1143</v>
      </c>
      <c r="D23" s="1187" t="s">
        <v>1144</v>
      </c>
      <c r="E23" s="1187" t="s">
        <v>156</v>
      </c>
      <c r="F23" s="1187" t="s">
        <v>1145</v>
      </c>
      <c r="G23" s="1187" t="s">
        <v>519</v>
      </c>
      <c r="H23" s="1187" t="s">
        <v>1146</v>
      </c>
      <c r="I23" s="1187" t="s">
        <v>1147</v>
      </c>
    </row>
    <row r="24" spans="2:9">
      <c r="B24" s="1073" t="s">
        <v>830</v>
      </c>
      <c r="C24" s="1073">
        <v>2131.1999999999998</v>
      </c>
      <c r="D24" s="906">
        <v>390</v>
      </c>
      <c r="E24" s="906">
        <v>0</v>
      </c>
      <c r="F24" s="906">
        <v>55</v>
      </c>
      <c r="G24" s="1125">
        <v>0.18299549549549551</v>
      </c>
      <c r="H24" s="801">
        <v>3.7</v>
      </c>
      <c r="I24" s="801">
        <v>13.5</v>
      </c>
    </row>
    <row r="25" spans="2:9">
      <c r="B25" s="1073" t="s">
        <v>831</v>
      </c>
      <c r="C25" s="1073">
        <v>756.4</v>
      </c>
      <c r="D25" s="906">
        <v>200.3</v>
      </c>
      <c r="E25" s="906">
        <v>6</v>
      </c>
      <c r="F25" s="906">
        <v>0</v>
      </c>
      <c r="G25" s="1125">
        <v>0.26480698043363304</v>
      </c>
      <c r="H25" s="801">
        <v>23.77</v>
      </c>
      <c r="I25" s="801">
        <v>16.8</v>
      </c>
    </row>
    <row r="26" spans="2:9">
      <c r="B26" s="1073" t="s">
        <v>832</v>
      </c>
      <c r="C26" s="1073">
        <v>2532.3000000000002</v>
      </c>
      <c r="D26" s="906">
        <v>441.1</v>
      </c>
      <c r="E26" s="906">
        <v>1</v>
      </c>
      <c r="F26" s="906">
        <v>10</v>
      </c>
      <c r="G26" s="1125">
        <v>0.17418947202148244</v>
      </c>
      <c r="H26" s="801">
        <v>1.62</v>
      </c>
      <c r="I26" s="801">
        <v>4.33</v>
      </c>
    </row>
    <row r="27" spans="2:9">
      <c r="B27" s="1073" t="s">
        <v>1148</v>
      </c>
      <c r="C27" s="1073">
        <v>3097.2</v>
      </c>
      <c r="D27" s="906">
        <v>374</v>
      </c>
      <c r="E27" s="906">
        <v>0</v>
      </c>
      <c r="F27" s="906">
        <v>30</v>
      </c>
      <c r="G27" s="1125">
        <v>0.12075422962675966</v>
      </c>
      <c r="H27" s="801">
        <v>1.6</v>
      </c>
      <c r="I27" s="801">
        <v>4.3</v>
      </c>
    </row>
    <row r="28" spans="2:9">
      <c r="B28" s="1073" t="s">
        <v>834</v>
      </c>
      <c r="C28" s="1073">
        <v>2301.5</v>
      </c>
      <c r="D28" s="906">
        <v>355.3</v>
      </c>
      <c r="E28" s="906">
        <v>0</v>
      </c>
      <c r="F28" s="906">
        <v>40</v>
      </c>
      <c r="G28" s="1125">
        <v>0.15437757983923528</v>
      </c>
      <c r="H28" s="801">
        <v>0.7</v>
      </c>
      <c r="I28" s="801">
        <v>3.67</v>
      </c>
    </row>
    <row r="29" spans="2:9">
      <c r="B29" s="1073" t="s">
        <v>835</v>
      </c>
      <c r="C29" s="1073">
        <v>906.2</v>
      </c>
      <c r="D29" s="906">
        <v>174</v>
      </c>
      <c r="E29" s="906">
        <v>5</v>
      </c>
      <c r="F29" s="906">
        <v>20</v>
      </c>
      <c r="G29" s="1125">
        <v>0.19201059368792761</v>
      </c>
      <c r="H29" s="801">
        <v>9.4499999999999993</v>
      </c>
      <c r="I29" s="801">
        <v>10</v>
      </c>
    </row>
    <row r="30" spans="2:9">
      <c r="B30" s="1073" t="s">
        <v>836</v>
      </c>
      <c r="C30" s="1073">
        <v>2960.9</v>
      </c>
      <c r="D30" s="906">
        <v>273.89999999999998</v>
      </c>
      <c r="E30" s="906">
        <v>0</v>
      </c>
      <c r="F30" s="906">
        <v>40</v>
      </c>
      <c r="G30" s="1125">
        <v>9.2505657063730609E-2</v>
      </c>
      <c r="H30" s="801">
        <v>0.28999999999999998</v>
      </c>
      <c r="I30" s="801">
        <v>2.17</v>
      </c>
    </row>
    <row r="31" spans="2:9">
      <c r="B31" s="1073" t="s">
        <v>837</v>
      </c>
      <c r="C31" s="1073">
        <v>4135.2</v>
      </c>
      <c r="D31" s="906">
        <v>491.7</v>
      </c>
      <c r="E31" s="906">
        <v>1</v>
      </c>
      <c r="F31" s="906">
        <v>40</v>
      </c>
      <c r="G31" s="1125">
        <v>0.118905977945444</v>
      </c>
      <c r="H31" s="801">
        <v>0.13</v>
      </c>
      <c r="I31" s="801">
        <v>1.6</v>
      </c>
    </row>
    <row r="32" spans="2:9">
      <c r="B32" s="1073" t="s">
        <v>838</v>
      </c>
      <c r="C32" s="1073">
        <v>2026</v>
      </c>
      <c r="D32" s="906">
        <v>367.5</v>
      </c>
      <c r="E32" s="906">
        <v>6</v>
      </c>
      <c r="F32" s="906">
        <v>20</v>
      </c>
      <c r="G32" s="1125">
        <v>0.1813919052319842</v>
      </c>
      <c r="H32" s="801">
        <v>2.14</v>
      </c>
      <c r="I32" s="801">
        <v>5.36</v>
      </c>
    </row>
    <row r="33" spans="2:9">
      <c r="B33" s="1073" t="s">
        <v>839</v>
      </c>
      <c r="C33" s="1073">
        <v>4078.9</v>
      </c>
      <c r="D33" s="906">
        <v>586.5</v>
      </c>
      <c r="E33" s="906">
        <v>0</v>
      </c>
      <c r="F33" s="906">
        <v>45</v>
      </c>
      <c r="G33" s="1125">
        <v>0.14378876657922479</v>
      </c>
      <c r="H33" s="801">
        <v>0.44</v>
      </c>
      <c r="I33" s="801">
        <v>4.18</v>
      </c>
    </row>
  </sheetData>
  <mergeCells count="4">
    <mergeCell ref="P5:U5"/>
    <mergeCell ref="B5:D5"/>
    <mergeCell ref="G4:U4"/>
    <mergeCell ref="I5:O5"/>
  </mergeCells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11A0C-DD1C-43B8-A180-5B6286006D95}">
  <dimension ref="A1:U41"/>
  <sheetViews>
    <sheetView workbookViewId="0"/>
  </sheetViews>
  <sheetFormatPr baseColWidth="10" defaultRowHeight="14.5"/>
  <cols>
    <col min="2" max="2" width="28.54296875" bestFit="1" customWidth="1"/>
    <col min="8" max="8" width="23.7265625" bestFit="1" customWidth="1"/>
  </cols>
  <sheetData>
    <row r="1" spans="1:21" ht="23.5">
      <c r="A1" s="1126" t="s">
        <v>1058</v>
      </c>
    </row>
    <row r="4" spans="1:21" ht="26.5" thickBot="1">
      <c r="B4" s="1127" t="s">
        <v>1142</v>
      </c>
      <c r="C4" s="1127" t="s">
        <v>1143</v>
      </c>
      <c r="D4" s="1127" t="s">
        <v>1144</v>
      </c>
      <c r="E4" s="1127" t="s">
        <v>156</v>
      </c>
      <c r="F4" s="1127" t="s">
        <v>1145</v>
      </c>
      <c r="G4" s="1127" t="s">
        <v>519</v>
      </c>
      <c r="H4" s="1127" t="s">
        <v>1146</v>
      </c>
      <c r="I4" s="1127" t="s">
        <v>1147</v>
      </c>
      <c r="M4" s="1446" t="s">
        <v>1069</v>
      </c>
      <c r="N4" s="1446"/>
      <c r="O4" s="1446"/>
      <c r="P4" s="1446"/>
      <c r="Q4" s="1446"/>
      <c r="R4" s="1446"/>
      <c r="S4" s="1446"/>
      <c r="T4" s="1446"/>
      <c r="U4" s="1446"/>
    </row>
    <row r="5" spans="1:21" ht="15" thickTop="1">
      <c r="B5" s="1128" t="s">
        <v>830</v>
      </c>
      <c r="C5" s="1073">
        <v>2131.1999999999998</v>
      </c>
      <c r="D5" s="1129">
        <v>390</v>
      </c>
      <c r="E5" s="1129">
        <v>0</v>
      </c>
      <c r="F5" s="1129">
        <v>55</v>
      </c>
      <c r="G5" s="1133">
        <v>0.18299549549549551</v>
      </c>
      <c r="H5" s="1130">
        <v>3.7</v>
      </c>
      <c r="I5" s="1130">
        <v>13.5</v>
      </c>
      <c r="M5" s="1074"/>
      <c r="N5" s="1074"/>
      <c r="O5" s="1074" t="s">
        <v>975</v>
      </c>
      <c r="P5" s="1074" t="s">
        <v>997</v>
      </c>
      <c r="Q5" s="1073" t="s">
        <v>998</v>
      </c>
      <c r="R5" s="1074" t="s">
        <v>999</v>
      </c>
      <c r="S5" s="1074" t="s">
        <v>1000</v>
      </c>
      <c r="T5" s="1074" t="s">
        <v>1001</v>
      </c>
      <c r="U5" s="1074" t="s">
        <v>1002</v>
      </c>
    </row>
    <row r="6" spans="1:21">
      <c r="B6" s="1073" t="s">
        <v>831</v>
      </c>
      <c r="C6" s="1073">
        <v>756.4</v>
      </c>
      <c r="D6" s="906">
        <v>200.3</v>
      </c>
      <c r="E6" s="1129">
        <v>6</v>
      </c>
      <c r="F6" s="1129">
        <v>0</v>
      </c>
      <c r="G6" s="1133">
        <v>0.26480698043363304</v>
      </c>
      <c r="H6" s="801">
        <v>23.77</v>
      </c>
      <c r="I6" s="801">
        <v>16.8</v>
      </c>
      <c r="M6" s="1074" t="s">
        <v>1056</v>
      </c>
      <c r="N6" s="1074" t="s">
        <v>1070</v>
      </c>
      <c r="O6" s="1077"/>
      <c r="P6" s="1075">
        <v>8.98</v>
      </c>
      <c r="Q6" s="1075">
        <v>10.33</v>
      </c>
      <c r="R6" s="1075">
        <v>11.11</v>
      </c>
      <c r="S6" s="1075">
        <v>14.28</v>
      </c>
      <c r="T6" s="1075">
        <v>17.600000000000001</v>
      </c>
      <c r="U6" s="1075">
        <v>5.79</v>
      </c>
    </row>
    <row r="7" spans="1:21">
      <c r="B7" s="1073" t="s">
        <v>832</v>
      </c>
      <c r="C7" s="1073">
        <v>2532.3000000000002</v>
      </c>
      <c r="D7" s="906">
        <v>441.1</v>
      </c>
      <c r="E7" s="1129">
        <v>1</v>
      </c>
      <c r="F7" s="1129">
        <v>10</v>
      </c>
      <c r="G7" s="1133">
        <v>0.17418947202148244</v>
      </c>
      <c r="H7" s="801">
        <v>1.62</v>
      </c>
      <c r="I7" s="801">
        <v>4.33</v>
      </c>
      <c r="M7" s="1074" t="s">
        <v>1056</v>
      </c>
      <c r="N7" s="1074" t="s">
        <v>1071</v>
      </c>
      <c r="O7" s="1077"/>
      <c r="P7" s="1075">
        <v>0.84</v>
      </c>
      <c r="Q7" s="1075">
        <v>0.96</v>
      </c>
      <c r="R7" s="1075">
        <v>0.87</v>
      </c>
      <c r="S7" s="1075">
        <v>0.63</v>
      </c>
      <c r="T7" s="1075">
        <v>0.35</v>
      </c>
      <c r="U7" s="1075">
        <v>0.27</v>
      </c>
    </row>
    <row r="8" spans="1:21">
      <c r="B8" s="1073" t="s">
        <v>833</v>
      </c>
      <c r="C8" s="1073">
        <v>4387.8999999999996</v>
      </c>
      <c r="D8" s="906">
        <v>684.4</v>
      </c>
      <c r="E8" s="1129">
        <v>1</v>
      </c>
      <c r="F8" s="1129">
        <v>0</v>
      </c>
      <c r="G8" s="1133">
        <v>0.15597438410173431</v>
      </c>
      <c r="H8" s="801">
        <v>1.08</v>
      </c>
      <c r="I8" s="801">
        <v>4.91</v>
      </c>
      <c r="M8" s="1074" t="s">
        <v>1057</v>
      </c>
      <c r="N8" s="1074" t="s">
        <v>1072</v>
      </c>
      <c r="O8" s="1074"/>
      <c r="P8" s="1075">
        <v>19.2</v>
      </c>
      <c r="Q8" s="1075">
        <v>19.600000000000001</v>
      </c>
      <c r="R8" s="1075">
        <v>20.5</v>
      </c>
      <c r="S8" s="1075">
        <v>21.6</v>
      </c>
      <c r="T8" s="1083">
        <v>21.6</v>
      </c>
      <c r="U8" s="1075">
        <v>6.67</v>
      </c>
    </row>
    <row r="9" spans="1:21">
      <c r="B9" s="1073" t="s">
        <v>834</v>
      </c>
      <c r="C9" s="1073">
        <v>2768.1</v>
      </c>
      <c r="D9" s="906">
        <v>410.2</v>
      </c>
      <c r="E9" s="1129">
        <v>1</v>
      </c>
      <c r="F9" s="1129">
        <v>0</v>
      </c>
      <c r="G9" s="1133">
        <v>0.14818828799537589</v>
      </c>
      <c r="H9" s="801">
        <v>0.42</v>
      </c>
      <c r="I9" s="801">
        <v>4.53</v>
      </c>
      <c r="M9" s="1074" t="s">
        <v>1057</v>
      </c>
      <c r="N9" s="1074" t="s">
        <v>1071</v>
      </c>
      <c r="O9" s="1074"/>
      <c r="P9" s="1075">
        <v>13.9</v>
      </c>
      <c r="Q9" s="1075">
        <v>25</v>
      </c>
      <c r="R9" s="1075">
        <v>25.4</v>
      </c>
      <c r="S9" s="1075">
        <v>18.5</v>
      </c>
      <c r="T9" s="1075">
        <v>8.3000000000000007</v>
      </c>
      <c r="U9" s="1075">
        <v>2.14</v>
      </c>
    </row>
    <row r="10" spans="1:21">
      <c r="B10" s="1073" t="s">
        <v>835</v>
      </c>
      <c r="C10" s="1073">
        <v>895.8</v>
      </c>
      <c r="D10" s="906">
        <v>254.5</v>
      </c>
      <c r="E10" s="1129">
        <v>9</v>
      </c>
      <c r="F10" s="1129">
        <v>30</v>
      </c>
      <c r="G10" s="1133">
        <v>0.28410359455235545</v>
      </c>
      <c r="H10" s="801">
        <v>2.06</v>
      </c>
      <c r="I10" s="801">
        <v>3.81</v>
      </c>
    </row>
    <row r="11" spans="1:21">
      <c r="B11" s="1073" t="s">
        <v>836</v>
      </c>
      <c r="C11" s="1073">
        <v>5443.9</v>
      </c>
      <c r="D11" s="906">
        <v>455.8</v>
      </c>
      <c r="E11" s="1129">
        <v>1</v>
      </c>
      <c r="F11" s="1129">
        <v>30</v>
      </c>
      <c r="G11" s="1133">
        <v>8.3726740020940882E-2</v>
      </c>
      <c r="H11" s="801">
        <v>0.28000000000000003</v>
      </c>
      <c r="I11" s="801">
        <v>2.65</v>
      </c>
    </row>
    <row r="12" spans="1:21">
      <c r="B12" s="1073" t="s">
        <v>837</v>
      </c>
      <c r="C12" s="1073">
        <v>5711.8</v>
      </c>
      <c r="D12" s="906">
        <v>660</v>
      </c>
      <c r="E12" s="1129">
        <v>2</v>
      </c>
      <c r="F12" s="1129">
        <v>10</v>
      </c>
      <c r="G12" s="1133">
        <v>0.11555026436499877</v>
      </c>
      <c r="H12" s="801">
        <v>9.2999999999999999E-2</v>
      </c>
      <c r="I12" s="801">
        <v>1.87</v>
      </c>
    </row>
    <row r="13" spans="1:21">
      <c r="B13" s="1131" t="s">
        <v>838</v>
      </c>
      <c r="C13" s="1073">
        <v>1329.1</v>
      </c>
      <c r="D13" s="1132">
        <v>249.3</v>
      </c>
      <c r="E13" s="906">
        <v>3</v>
      </c>
      <c r="F13" s="906">
        <v>30</v>
      </c>
      <c r="G13" s="1125">
        <v>0.18757053645323907</v>
      </c>
      <c r="H13" s="801">
        <v>8.59</v>
      </c>
      <c r="I13" s="801">
        <v>11.7</v>
      </c>
    </row>
    <row r="14" spans="1:21">
      <c r="B14" s="1073" t="s">
        <v>839</v>
      </c>
      <c r="C14" s="1073">
        <v>2992.1</v>
      </c>
      <c r="D14" s="906">
        <v>494.2</v>
      </c>
      <c r="E14" s="1129">
        <v>0</v>
      </c>
      <c r="F14" s="1129">
        <v>55</v>
      </c>
      <c r="G14" s="1133">
        <v>0.16516827646134821</v>
      </c>
      <c r="H14" s="801">
        <v>0.3</v>
      </c>
      <c r="I14" s="801">
        <v>4.2300000000000004</v>
      </c>
    </row>
    <row r="15" spans="1:21">
      <c r="B15" s="251"/>
      <c r="C15" s="251"/>
      <c r="D15" s="798"/>
      <c r="E15" s="798"/>
      <c r="F15" s="798"/>
      <c r="G15" s="1134"/>
      <c r="H15" s="799"/>
      <c r="I15" s="799"/>
    </row>
    <row r="16" spans="1:21">
      <c r="B16" s="1078"/>
      <c r="C16" s="1078"/>
      <c r="D16" s="1078"/>
      <c r="E16" s="798"/>
      <c r="F16" s="798"/>
      <c r="G16" s="1134"/>
      <c r="H16" s="799"/>
      <c r="I16" s="799"/>
    </row>
    <row r="17" spans="2:9">
      <c r="B17" s="1092" t="s">
        <v>1097</v>
      </c>
      <c r="C17" s="1104" t="s">
        <v>981</v>
      </c>
      <c r="D17" s="1104" t="s">
        <v>17</v>
      </c>
    </row>
    <row r="18" spans="2:9">
      <c r="B18" s="1074"/>
      <c r="C18" s="1076">
        <v>45992</v>
      </c>
      <c r="D18" s="1076">
        <v>45992</v>
      </c>
    </row>
    <row r="19" spans="2:9">
      <c r="B19" s="1070" t="s">
        <v>1059</v>
      </c>
      <c r="C19" s="1090">
        <v>2.73</v>
      </c>
      <c r="D19" s="1090">
        <v>8.32</v>
      </c>
    </row>
    <row r="20" spans="2:9">
      <c r="B20" s="1070" t="s">
        <v>1060</v>
      </c>
      <c r="C20" s="1090">
        <v>10.6</v>
      </c>
      <c r="D20" s="1090">
        <v>19.5</v>
      </c>
    </row>
    <row r="21" spans="2:9">
      <c r="B21" s="1070" t="s">
        <v>1061</v>
      </c>
      <c r="C21" s="1090">
        <v>1.54</v>
      </c>
      <c r="D21" s="1090">
        <v>4.83</v>
      </c>
    </row>
    <row r="22" spans="2:9">
      <c r="B22" s="1070" t="s">
        <v>1062</v>
      </c>
      <c r="C22" s="800">
        <v>1.08</v>
      </c>
      <c r="D22" s="800">
        <v>4.91</v>
      </c>
    </row>
    <row r="23" spans="2:9">
      <c r="B23" s="1070" t="s">
        <v>1063</v>
      </c>
      <c r="C23" s="800">
        <v>0.42</v>
      </c>
      <c r="D23" s="800">
        <v>4.53</v>
      </c>
    </row>
    <row r="24" spans="2:9">
      <c r="B24" s="1070" t="s">
        <v>1064</v>
      </c>
      <c r="C24" s="800">
        <v>2.06</v>
      </c>
      <c r="D24" s="800">
        <v>3.81</v>
      </c>
    </row>
    <row r="25" spans="2:9">
      <c r="B25" s="1070" t="s">
        <v>1065</v>
      </c>
      <c r="C25" s="800">
        <v>0.28000000000000003</v>
      </c>
      <c r="D25" s="800">
        <v>2.65</v>
      </c>
    </row>
    <row r="26" spans="2:9">
      <c r="B26" s="1072" t="s">
        <v>1066</v>
      </c>
      <c r="C26" s="800">
        <v>9.2999999999999999E-2</v>
      </c>
      <c r="D26" s="800">
        <v>1.87</v>
      </c>
    </row>
    <row r="27" spans="2:9">
      <c r="B27" s="1070" t="s">
        <v>1067</v>
      </c>
      <c r="C27" s="800">
        <v>8.59</v>
      </c>
      <c r="D27" s="800">
        <v>11.7</v>
      </c>
    </row>
    <row r="28" spans="2:9">
      <c r="B28" s="1070" t="s">
        <v>1068</v>
      </c>
      <c r="C28" s="800">
        <v>0.3</v>
      </c>
      <c r="D28" s="800">
        <v>4.2300000000000004</v>
      </c>
    </row>
    <row r="31" spans="2:9">
      <c r="B31" s="1188" t="s">
        <v>1142</v>
      </c>
      <c r="C31" s="1188" t="s">
        <v>1143</v>
      </c>
      <c r="D31" s="1188" t="s">
        <v>1144</v>
      </c>
      <c r="E31" s="1188" t="s">
        <v>156</v>
      </c>
      <c r="F31" s="1188" t="s">
        <v>1145</v>
      </c>
      <c r="G31" s="1188" t="s">
        <v>519</v>
      </c>
      <c r="H31" s="1188" t="s">
        <v>1146</v>
      </c>
      <c r="I31" s="1188" t="s">
        <v>1147</v>
      </c>
    </row>
    <row r="32" spans="2:9">
      <c r="B32" t="s">
        <v>830</v>
      </c>
      <c r="C32">
        <v>2131.1999999999998</v>
      </c>
      <c r="D32">
        <v>390</v>
      </c>
      <c r="E32">
        <v>0</v>
      </c>
      <c r="F32">
        <v>55</v>
      </c>
      <c r="G32">
        <v>0.18299549549549551</v>
      </c>
      <c r="H32">
        <v>3.7</v>
      </c>
      <c r="I32">
        <v>13.5</v>
      </c>
    </row>
    <row r="33" spans="2:9">
      <c r="B33" t="s">
        <v>831</v>
      </c>
      <c r="C33">
        <v>756.4</v>
      </c>
      <c r="D33">
        <v>200.3</v>
      </c>
      <c r="E33">
        <v>6</v>
      </c>
      <c r="F33">
        <v>0</v>
      </c>
      <c r="G33">
        <v>0.26480698043363304</v>
      </c>
      <c r="H33">
        <v>23.77</v>
      </c>
      <c r="I33">
        <v>16.8</v>
      </c>
    </row>
    <row r="34" spans="2:9">
      <c r="B34" t="s">
        <v>832</v>
      </c>
      <c r="C34">
        <v>2532.3000000000002</v>
      </c>
      <c r="D34">
        <v>441.1</v>
      </c>
      <c r="E34">
        <v>1</v>
      </c>
      <c r="F34">
        <v>10</v>
      </c>
      <c r="G34">
        <v>0.17418947202148244</v>
      </c>
      <c r="H34">
        <v>1.62</v>
      </c>
      <c r="I34">
        <v>4.33</v>
      </c>
    </row>
    <row r="35" spans="2:9">
      <c r="B35" t="s">
        <v>833</v>
      </c>
      <c r="C35">
        <v>4387.8999999999996</v>
      </c>
      <c r="D35">
        <v>684.4</v>
      </c>
      <c r="E35">
        <v>1</v>
      </c>
      <c r="F35">
        <v>0</v>
      </c>
      <c r="G35">
        <v>0.15597438410173431</v>
      </c>
      <c r="H35">
        <v>1.08</v>
      </c>
      <c r="I35">
        <v>4.91</v>
      </c>
    </row>
    <row r="36" spans="2:9">
      <c r="B36" t="s">
        <v>834</v>
      </c>
      <c r="C36">
        <v>2768.1</v>
      </c>
      <c r="D36">
        <v>410.2</v>
      </c>
      <c r="E36">
        <v>1</v>
      </c>
      <c r="F36">
        <v>0</v>
      </c>
      <c r="G36">
        <v>0.14818828799537589</v>
      </c>
      <c r="H36">
        <v>0.42</v>
      </c>
      <c r="I36">
        <v>4.53</v>
      </c>
    </row>
    <row r="37" spans="2:9">
      <c r="B37" t="s">
        <v>835</v>
      </c>
      <c r="C37">
        <v>895.8</v>
      </c>
      <c r="D37">
        <v>254.5</v>
      </c>
      <c r="E37">
        <v>9</v>
      </c>
      <c r="F37">
        <v>30</v>
      </c>
      <c r="G37">
        <v>0.28410359455235545</v>
      </c>
      <c r="H37">
        <v>2.06</v>
      </c>
      <c r="I37">
        <v>3.81</v>
      </c>
    </row>
    <row r="38" spans="2:9">
      <c r="B38" t="s">
        <v>836</v>
      </c>
      <c r="C38">
        <v>5443.9</v>
      </c>
      <c r="D38">
        <v>455.8</v>
      </c>
      <c r="E38">
        <v>1</v>
      </c>
      <c r="F38">
        <v>30</v>
      </c>
      <c r="G38">
        <v>8.3726740020940882E-2</v>
      </c>
      <c r="H38">
        <v>0.28000000000000003</v>
      </c>
      <c r="I38">
        <v>2.65</v>
      </c>
    </row>
    <row r="39" spans="2:9">
      <c r="B39" t="s">
        <v>837</v>
      </c>
      <c r="C39">
        <v>5711.8</v>
      </c>
      <c r="D39">
        <v>660</v>
      </c>
      <c r="E39">
        <v>2</v>
      </c>
      <c r="F39">
        <v>10</v>
      </c>
      <c r="G39">
        <v>0.11555026436499877</v>
      </c>
      <c r="H39">
        <v>9.2999999999999999E-2</v>
      </c>
      <c r="I39">
        <v>1.87</v>
      </c>
    </row>
    <row r="40" spans="2:9">
      <c r="B40" t="s">
        <v>838</v>
      </c>
      <c r="C40">
        <v>1329.1</v>
      </c>
      <c r="D40">
        <v>249.3</v>
      </c>
      <c r="E40">
        <v>3</v>
      </c>
      <c r="F40">
        <v>30</v>
      </c>
      <c r="G40">
        <v>0.18757053645323907</v>
      </c>
      <c r="H40">
        <v>8.59</v>
      </c>
      <c r="I40">
        <v>11.7</v>
      </c>
    </row>
    <row r="41" spans="2:9">
      <c r="B41" t="s">
        <v>839</v>
      </c>
      <c r="C41">
        <v>2992.1</v>
      </c>
      <c r="D41">
        <v>494.2</v>
      </c>
      <c r="E41">
        <v>0</v>
      </c>
      <c r="F41">
        <v>55</v>
      </c>
      <c r="G41">
        <v>0.16516827646134821</v>
      </c>
      <c r="H41">
        <v>0.3</v>
      </c>
      <c r="I41">
        <v>4.2300000000000004</v>
      </c>
    </row>
  </sheetData>
  <mergeCells count="1">
    <mergeCell ref="M4:U4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C1B51-AEFA-4FA0-B68A-2B505922B732}">
  <dimension ref="B2:U54"/>
  <sheetViews>
    <sheetView topLeftCell="L16" workbookViewId="0">
      <selection activeCell="S29" sqref="S29"/>
    </sheetView>
  </sheetViews>
  <sheetFormatPr baseColWidth="10" defaultRowHeight="14.5"/>
  <cols>
    <col min="2" max="3" width="20.7265625" bestFit="1" customWidth="1"/>
    <col min="4" max="4" width="24.26953125" bestFit="1" customWidth="1"/>
    <col min="5" max="5" width="18.54296875" bestFit="1" customWidth="1"/>
    <col min="6" max="6" width="17.453125" bestFit="1" customWidth="1"/>
    <col min="7" max="7" width="19.54296875" bestFit="1" customWidth="1"/>
    <col min="8" max="8" width="20.1796875" bestFit="1" customWidth="1"/>
    <col min="9" max="9" width="9.81640625" bestFit="1" customWidth="1"/>
    <col min="10" max="10" width="21.26953125" bestFit="1" customWidth="1"/>
    <col min="11" max="11" width="19.7265625" bestFit="1" customWidth="1"/>
    <col min="12" max="12" width="12.81640625" bestFit="1" customWidth="1"/>
    <col min="13" max="13" width="24.1796875" bestFit="1" customWidth="1"/>
    <col min="14" max="14" width="15" bestFit="1" customWidth="1"/>
    <col min="15" max="15" width="20.81640625" bestFit="1" customWidth="1"/>
    <col min="16" max="16" width="19.453125" bestFit="1" customWidth="1"/>
    <col min="17" max="17" width="11.81640625" bestFit="1" customWidth="1"/>
    <col min="18" max="18" width="16.08984375" bestFit="1" customWidth="1"/>
    <col min="19" max="19" width="8.81640625" customWidth="1"/>
  </cols>
  <sheetData>
    <row r="2" spans="2:20">
      <c r="B2" s="1092" t="s">
        <v>1205</v>
      </c>
      <c r="C2" s="1454" t="s">
        <v>1206</v>
      </c>
      <c r="D2" s="1455"/>
      <c r="E2" s="1455"/>
      <c r="F2" s="1455"/>
      <c r="G2" s="1455"/>
      <c r="H2" s="1455"/>
      <c r="I2" s="1455"/>
      <c r="J2" s="1455"/>
      <c r="K2" s="1455"/>
      <c r="L2" s="1455"/>
      <c r="M2" s="1455"/>
      <c r="N2" s="1455"/>
      <c r="O2" s="1455"/>
      <c r="P2" s="1455"/>
      <c r="R2" s="1092">
        <v>45988</v>
      </c>
      <c r="S2" s="1092" t="s">
        <v>1210</v>
      </c>
      <c r="T2" s="1092"/>
    </row>
    <row r="3" spans="2:20">
      <c r="B3" s="1092" t="s">
        <v>1207</v>
      </c>
      <c r="C3" s="1190" t="s">
        <v>308</v>
      </c>
      <c r="D3" s="1190" t="s">
        <v>309</v>
      </c>
      <c r="E3" s="1190" t="s">
        <v>311</v>
      </c>
      <c r="F3" s="1190" t="s">
        <v>312</v>
      </c>
      <c r="G3" s="1190" t="s">
        <v>310</v>
      </c>
      <c r="H3" s="1190" t="s">
        <v>271</v>
      </c>
      <c r="I3" s="1190" t="s">
        <v>272</v>
      </c>
      <c r="J3" s="1190" t="s">
        <v>273</v>
      </c>
      <c r="K3" s="1190" t="s">
        <v>274</v>
      </c>
      <c r="L3" s="1190" t="s">
        <v>316</v>
      </c>
      <c r="M3" s="1190" t="s">
        <v>317</v>
      </c>
      <c r="N3" s="1190" t="s">
        <v>275</v>
      </c>
      <c r="O3" s="1190" t="s">
        <v>276</v>
      </c>
      <c r="P3" s="1190" t="s">
        <v>277</v>
      </c>
      <c r="R3" s="1092" t="s">
        <v>809</v>
      </c>
      <c r="S3" s="1092" t="s">
        <v>1211</v>
      </c>
      <c r="T3" s="1092" t="s">
        <v>1212</v>
      </c>
    </row>
    <row r="4" spans="2:20">
      <c r="B4" s="1074" t="s">
        <v>255</v>
      </c>
      <c r="C4" s="1074">
        <v>0.5</v>
      </c>
      <c r="D4" s="1074">
        <f>C4</f>
        <v>0.5</v>
      </c>
      <c r="E4" s="1074">
        <v>1.3</v>
      </c>
      <c r="F4" s="1074">
        <v>16.899999999999977</v>
      </c>
      <c r="G4" s="1086">
        <f>E4/F4*100</f>
        <v>7.6923076923077023</v>
      </c>
      <c r="H4" s="1074">
        <f>E4</f>
        <v>1.3</v>
      </c>
      <c r="I4" s="1074">
        <v>27.92</v>
      </c>
      <c r="J4" s="1074">
        <f>SUMPRODUCT(I4,E4)/H4</f>
        <v>27.920000000000005</v>
      </c>
      <c r="K4" s="1086">
        <f>(SUMPRODUCT(H4,J4)/SUMPRODUCT($H$11,$J$11))*100</f>
        <v>6.2875366596855207</v>
      </c>
      <c r="L4" s="1086">
        <f>E4/$E$12*100</f>
        <v>0.17184401850627892</v>
      </c>
      <c r="M4" s="1086">
        <f>L4</f>
        <v>0.17184401850627892</v>
      </c>
      <c r="N4" s="1074">
        <v>19.100000000000001</v>
      </c>
      <c r="O4" s="1086">
        <f>SUMPRODUCT(E4,N4)/H4</f>
        <v>19.100000000000001</v>
      </c>
      <c r="P4" s="1086">
        <f>(SUMPRODUCT(H4,O4)/SUMPRODUCT($H$11,$O$11))*100</f>
        <v>1.2293332884442671</v>
      </c>
      <c r="R4" s="1074" t="s">
        <v>32</v>
      </c>
      <c r="S4" s="1074">
        <v>1.6</v>
      </c>
      <c r="T4" s="1074">
        <v>4.3</v>
      </c>
    </row>
    <row r="5" spans="2:20">
      <c r="B5" s="1074" t="s">
        <v>256</v>
      </c>
      <c r="C5" s="1074">
        <v>1</v>
      </c>
      <c r="D5" s="1074">
        <f>D4+C5</f>
        <v>1.5</v>
      </c>
      <c r="E5" s="1074">
        <v>1.1000000000000001</v>
      </c>
      <c r="F5" s="1074">
        <v>14.800000000000011</v>
      </c>
      <c r="G5" s="1086">
        <f t="shared" ref="G5:G10" si="0">E5/F5*100</f>
        <v>7.4324324324324271</v>
      </c>
      <c r="H5" s="1074">
        <f>H4+E5</f>
        <v>2.4000000000000004</v>
      </c>
      <c r="I5" s="1074">
        <v>26.75</v>
      </c>
      <c r="J5" s="1086">
        <f>SUMPRODUCT(I4:I5,E4:E5)/H5</f>
        <v>27.383749999999999</v>
      </c>
      <c r="K5" s="1086">
        <f t="shared" ref="K5:K9" si="1">(SUMPRODUCT(H5,J5)/SUMPRODUCT($H$11,$J$11))*100</f>
        <v>11.384813665726032</v>
      </c>
      <c r="L5" s="1086">
        <f t="shared" ref="L5:L11" si="2">E5/$E$12*100</f>
        <v>0.14540647719762065</v>
      </c>
      <c r="M5" s="1086">
        <f>M4+L5</f>
        <v>0.31725049570389957</v>
      </c>
      <c r="N5" s="1074">
        <v>18.7</v>
      </c>
      <c r="O5" s="1086">
        <f>SUMPRODUCT($E$4:E5,$N$4:N5)/H5</f>
        <v>18.916666666666668</v>
      </c>
      <c r="P5" s="1086">
        <f>(SUMPRODUCT(H5,O5)/SUMPRODUCT($H$11,$O$11))*100</f>
        <v>2.2477539788711134</v>
      </c>
      <c r="R5" s="1074" t="s">
        <v>438</v>
      </c>
      <c r="S5" s="1074">
        <v>2.14</v>
      </c>
      <c r="T5" s="1074">
        <v>5.36</v>
      </c>
    </row>
    <row r="6" spans="2:20">
      <c r="B6" s="1074" t="s">
        <v>257</v>
      </c>
      <c r="C6" s="1074">
        <v>2</v>
      </c>
      <c r="D6" s="1074">
        <f t="shared" ref="D6:D8" si="3">D5+C6</f>
        <v>3.5</v>
      </c>
      <c r="E6" s="1074">
        <v>0.9</v>
      </c>
      <c r="F6" s="1074">
        <v>22.5</v>
      </c>
      <c r="G6" s="1086">
        <f t="shared" si="0"/>
        <v>4</v>
      </c>
      <c r="H6" s="1074">
        <f t="shared" ref="H6:H11" si="4">H5+E6</f>
        <v>3.3000000000000003</v>
      </c>
      <c r="I6" s="1074">
        <v>26.15</v>
      </c>
      <c r="J6" s="1086">
        <f>SUMPRODUCT(I4:I6,E4:E6)/H6</f>
        <v>27.047272727272727</v>
      </c>
      <c r="K6" s="1086">
        <f t="shared" si="1"/>
        <v>15.46176912323371</v>
      </c>
      <c r="L6" s="1086">
        <f t="shared" si="2"/>
        <v>0.11896893588896233</v>
      </c>
      <c r="M6" s="1086">
        <f t="shared" ref="M6:M11" si="5">M5+L6</f>
        <v>0.43621943159286192</v>
      </c>
      <c r="N6" s="1074">
        <v>18.2</v>
      </c>
      <c r="O6" s="1086">
        <f>SUMPRODUCT($E$4:E6,$N$4:N6)/H6</f>
        <v>18.721212121212119</v>
      </c>
      <c r="P6" s="1086">
        <f t="shared" ref="P6:P9" si="6">(SUMPRODUCT(H6,O6)/SUMPRODUCT($H$11,$O$11))*100</f>
        <v>3.058727771247959</v>
      </c>
      <c r="R6" s="1074" t="s">
        <v>439</v>
      </c>
      <c r="S6" s="1074">
        <v>0.44</v>
      </c>
      <c r="T6" s="1074">
        <v>4.18</v>
      </c>
    </row>
    <row r="7" spans="2:20">
      <c r="B7" s="1074" t="s">
        <v>259</v>
      </c>
      <c r="C7" s="1074">
        <v>6</v>
      </c>
      <c r="D7" s="1074">
        <f t="shared" si="3"/>
        <v>9.5</v>
      </c>
      <c r="E7" s="1074">
        <v>1.6</v>
      </c>
      <c r="F7" s="1074">
        <v>37.400000000000034</v>
      </c>
      <c r="G7" s="1086">
        <f t="shared" si="0"/>
        <v>4.2780748663101571</v>
      </c>
      <c r="H7" s="1074">
        <f t="shared" si="4"/>
        <v>4.9000000000000004</v>
      </c>
      <c r="I7" s="1074">
        <v>26.05</v>
      </c>
      <c r="J7" s="1086">
        <f>SUMPRODUCT(I4:I7,E4:E7)/H7</f>
        <v>26.721632653061224</v>
      </c>
      <c r="K7" s="1086">
        <f t="shared" si="1"/>
        <v>22.68197322218931</v>
      </c>
      <c r="L7" s="1086">
        <f t="shared" si="2"/>
        <v>0.21150033046926636</v>
      </c>
      <c r="M7" s="1086">
        <f t="shared" si="5"/>
        <v>0.64771976206212822</v>
      </c>
      <c r="N7" s="1074">
        <v>18.3</v>
      </c>
      <c r="O7" s="1086">
        <f>SUMPRODUCT($E$4:E7,$N$4:N7)/H7</f>
        <v>18.583673469387755</v>
      </c>
      <c r="P7" s="1086">
        <f t="shared" si="6"/>
        <v>4.5083805576212228</v>
      </c>
      <c r="R7" s="1074" t="s">
        <v>1213</v>
      </c>
      <c r="S7" s="1074">
        <f>(((S4-S6)*S5)/((S5-S6)*S4))*100</f>
        <v>91.264705882352942</v>
      </c>
      <c r="T7" s="1074">
        <f>(((T4-T6)*T5)/((T5-T6)*T4))*100</f>
        <v>12.676389436342141</v>
      </c>
    </row>
    <row r="8" spans="2:20">
      <c r="B8" s="1074" t="s">
        <v>261</v>
      </c>
      <c r="C8" s="1074">
        <v>10</v>
      </c>
      <c r="D8" s="1074">
        <f t="shared" si="3"/>
        <v>19.5</v>
      </c>
      <c r="E8" s="1074">
        <v>1.9</v>
      </c>
      <c r="F8" s="1074">
        <v>72.300000000000011</v>
      </c>
      <c r="G8" s="1086">
        <f t="shared" si="0"/>
        <v>2.6279391424619636</v>
      </c>
      <c r="H8" s="1074">
        <f t="shared" si="4"/>
        <v>6.8000000000000007</v>
      </c>
      <c r="I8" s="1074">
        <v>22.04</v>
      </c>
      <c r="J8" s="1086">
        <f>SUMPRODUCT(I4:I8,E4:E8)/H8</f>
        <v>25.413529411764706</v>
      </c>
      <c r="K8" s="1086">
        <f t="shared" si="1"/>
        <v>29.936130296274357</v>
      </c>
      <c r="L8" s="1086">
        <f t="shared" si="2"/>
        <v>0.25115664243225377</v>
      </c>
      <c r="M8" s="1086">
        <f t="shared" si="5"/>
        <v>0.898876404494382</v>
      </c>
      <c r="N8" s="1074">
        <v>16.899999999999999</v>
      </c>
      <c r="O8" s="1086">
        <f>SUMPRODUCT($E$4:E8,$N$4:N8)/H8</f>
        <v>18.113235294117644</v>
      </c>
      <c r="P8" s="1086">
        <f>(SUMPRODUCT(H8,O8)/SUMPRODUCT($H$11,$O$11))*100</f>
        <v>6.0981466426774213</v>
      </c>
      <c r="R8" s="1074" t="s">
        <v>1214</v>
      </c>
      <c r="S8" s="1074">
        <f>S5/S4</f>
        <v>1.3374999999999999</v>
      </c>
      <c r="T8" s="1074">
        <f>T5/T4</f>
        <v>1.2465116279069768</v>
      </c>
    </row>
    <row r="9" spans="2:20">
      <c r="B9" s="1074" t="s">
        <v>280</v>
      </c>
      <c r="C9" s="1074"/>
      <c r="D9" s="1074"/>
      <c r="E9" s="1074">
        <v>23.5</v>
      </c>
      <c r="F9" s="1074">
        <v>799.09999999999991</v>
      </c>
      <c r="G9" s="1086">
        <f t="shared" si="0"/>
        <v>2.9408084094606437</v>
      </c>
      <c r="H9" s="1074">
        <f t="shared" si="4"/>
        <v>30.3</v>
      </c>
      <c r="I9" s="1074">
        <v>10.27</v>
      </c>
      <c r="J9" s="1086">
        <f>SUMPRODUCT(I4:I9,E4:E9)/H9</f>
        <v>13.66854785478548</v>
      </c>
      <c r="K9" s="1086">
        <f t="shared" si="1"/>
        <v>71.744195513703318</v>
      </c>
      <c r="L9" s="1086">
        <f t="shared" si="2"/>
        <v>3.1064111037673494</v>
      </c>
      <c r="M9" s="1086">
        <f t="shared" si="5"/>
        <v>4.0052875082617314</v>
      </c>
      <c r="N9" s="1074">
        <v>12.2</v>
      </c>
      <c r="O9" s="1086">
        <f>SUMPRODUCT($E$4:E9,$N$4:N9)/H9</f>
        <v>13.527062706270627</v>
      </c>
      <c r="P9" s="1086">
        <f t="shared" si="6"/>
        <v>20.292663509248964</v>
      </c>
    </row>
    <row r="10" spans="2:20">
      <c r="B10" s="1074" t="s">
        <v>281</v>
      </c>
      <c r="C10" s="1074"/>
      <c r="D10" s="1074"/>
      <c r="E10" s="1074">
        <v>138</v>
      </c>
      <c r="F10" s="1074">
        <v>1502.2</v>
      </c>
      <c r="G10" s="1086">
        <f t="shared" si="0"/>
        <v>9.1865264279057381</v>
      </c>
      <c r="H10" s="1074">
        <f t="shared" si="4"/>
        <v>168.3</v>
      </c>
      <c r="I10" s="1074">
        <v>0.5</v>
      </c>
      <c r="J10" s="1086">
        <f>SUMPRODUCT(I4:I10,E4:E10)/H10</f>
        <v>2.8708080808080809</v>
      </c>
      <c r="K10" s="1086">
        <f>(SUMPRODUCT(H10,J10)/SUMPRODUCT($H$11,$J$11))*100</f>
        <v>83.697028594987785</v>
      </c>
      <c r="L10" s="1086">
        <f t="shared" si="2"/>
        <v>18.241903502974225</v>
      </c>
      <c r="M10" s="1086">
        <f t="shared" si="5"/>
        <v>22.247191011235955</v>
      </c>
      <c r="N10" s="1074">
        <v>2.63</v>
      </c>
      <c r="O10" s="1086">
        <f>SUMPRODUCT($E$4:E10,$N$4:N10)/H10</f>
        <v>4.5918597742127147</v>
      </c>
      <c r="P10" s="1086">
        <f>(SUMPRODUCT(H10,O10)/SUMPRODUCT($H$11,$O$11))*100</f>
        <v>38.261822740338864</v>
      </c>
    </row>
    <row r="11" spans="2:20">
      <c r="B11" s="1074" t="s">
        <v>282</v>
      </c>
      <c r="C11" s="1074"/>
      <c r="D11" s="1074"/>
      <c r="E11" s="1074">
        <v>588.20000000000005</v>
      </c>
      <c r="F11" s="1074">
        <v>3173.2999999999997</v>
      </c>
      <c r="G11" s="1086">
        <f>E11/F11*100</f>
        <v>18.535908990640664</v>
      </c>
      <c r="H11" s="1074">
        <f t="shared" si="4"/>
        <v>756.5</v>
      </c>
      <c r="I11" s="1074">
        <v>0.16</v>
      </c>
      <c r="J11" s="1086">
        <f>SUMPRODUCT(I4:I11,E4:E11)/H11</f>
        <v>0.76307865168539324</v>
      </c>
      <c r="K11" s="1086">
        <f>(SUMPRODUCT(H11,J11)/SUMPRODUCT($H$11,$J$11))*100</f>
        <v>100</v>
      </c>
      <c r="L11" s="1086">
        <f t="shared" si="2"/>
        <v>77.752808988764059</v>
      </c>
      <c r="M11" s="1086">
        <f t="shared" si="5"/>
        <v>100.00000000000001</v>
      </c>
      <c r="N11" s="1074">
        <v>2.12</v>
      </c>
      <c r="O11" s="1086">
        <f>SUMPRODUCT($E$4:E11,$N$4:N11)/H11</f>
        <v>2.6699193654990085</v>
      </c>
      <c r="P11" s="1086">
        <f>(SUMPRODUCT(H11,O11)/SUMPRODUCT($H$11,$O$11))*100</f>
        <v>100</v>
      </c>
    </row>
    <row r="12" spans="2:20">
      <c r="B12" s="1074" t="s">
        <v>32</v>
      </c>
      <c r="C12" s="1074"/>
      <c r="D12" s="1074"/>
      <c r="E12" s="1074">
        <f>SUM(E4:E11)</f>
        <v>756.5</v>
      </c>
      <c r="F12" s="1074"/>
      <c r="G12" s="1074"/>
      <c r="H12" s="1074"/>
      <c r="I12" s="1074"/>
      <c r="J12" s="1074"/>
      <c r="K12" s="1074"/>
      <c r="L12" s="1074"/>
      <c r="M12" s="1074"/>
      <c r="N12" s="1074"/>
      <c r="O12" s="1074"/>
      <c r="P12" s="1074"/>
    </row>
    <row r="15" spans="2:20">
      <c r="B15" s="1092" t="s">
        <v>1208</v>
      </c>
      <c r="C15" s="1454" t="s">
        <v>1206</v>
      </c>
      <c r="D15" s="1455"/>
      <c r="E15" s="1455"/>
      <c r="F15" s="1455"/>
      <c r="G15" s="1455"/>
      <c r="H15" s="1455"/>
      <c r="I15" s="1455"/>
      <c r="J15" s="1455"/>
      <c r="K15" s="1455"/>
      <c r="L15" s="1455"/>
      <c r="M15" s="1455"/>
      <c r="N15" s="1455"/>
      <c r="O15" s="1455"/>
      <c r="P15" s="1455"/>
      <c r="R15" s="1092">
        <v>45992</v>
      </c>
      <c r="S15" s="1092" t="s">
        <v>1215</v>
      </c>
      <c r="T15" s="1092"/>
    </row>
    <row r="16" spans="2:20">
      <c r="B16" s="1092" t="s">
        <v>1209</v>
      </c>
      <c r="C16" s="1190" t="s">
        <v>308</v>
      </c>
      <c r="D16" s="1190" t="s">
        <v>309</v>
      </c>
      <c r="E16" s="1190" t="s">
        <v>311</v>
      </c>
      <c r="F16" s="1190" t="s">
        <v>312</v>
      </c>
      <c r="G16" s="1190" t="s">
        <v>310</v>
      </c>
      <c r="H16" s="1190" t="s">
        <v>271</v>
      </c>
      <c r="I16" s="1190" t="s">
        <v>272</v>
      </c>
      <c r="J16" s="1190" t="s">
        <v>273</v>
      </c>
      <c r="K16" s="1190" t="s">
        <v>274</v>
      </c>
      <c r="L16" s="1190" t="s">
        <v>316</v>
      </c>
      <c r="M16" s="1190" t="s">
        <v>317</v>
      </c>
      <c r="N16" s="1190" t="s">
        <v>275</v>
      </c>
      <c r="O16" s="1190" t="s">
        <v>276</v>
      </c>
      <c r="P16" s="1190" t="s">
        <v>277</v>
      </c>
      <c r="R16" s="1092" t="s">
        <v>809</v>
      </c>
      <c r="S16" s="1092" t="s">
        <v>1211</v>
      </c>
      <c r="T16" s="1092" t="s">
        <v>1212</v>
      </c>
    </row>
    <row r="17" spans="2:21">
      <c r="B17" s="1074" t="s">
        <v>255</v>
      </c>
      <c r="C17" s="1074">
        <v>0.5</v>
      </c>
      <c r="D17" s="1074">
        <f>C17</f>
        <v>0.5</v>
      </c>
      <c r="E17" s="1074">
        <v>5.5</v>
      </c>
      <c r="F17" s="1074">
        <v>19.899999999999977</v>
      </c>
      <c r="G17" s="1086">
        <f>E17/F17*100</f>
        <v>27.638190954773901</v>
      </c>
      <c r="H17" s="1074">
        <f>E17</f>
        <v>5.5</v>
      </c>
      <c r="I17" s="1074">
        <v>21</v>
      </c>
      <c r="J17" s="1074">
        <f>SUMPRODUCT(E17,I17)/H17</f>
        <v>21</v>
      </c>
      <c r="K17" s="1086">
        <f>(SUMPRODUCT(H17,J17)/SUMPRODUCT($H$24,$J$24))*100</f>
        <v>14.953721146115335</v>
      </c>
      <c r="L17" s="1086">
        <f>E17/$E$12*100</f>
        <v>0.72703238598810316</v>
      </c>
      <c r="M17" s="1086">
        <f>L17</f>
        <v>0.72703238598810316</v>
      </c>
      <c r="N17" s="1074">
        <v>17.8</v>
      </c>
      <c r="O17" s="1086">
        <f>SUMPRODUCT(E17,N17)/H17</f>
        <v>17.8</v>
      </c>
      <c r="P17" s="1086">
        <f>(SUMPRODUCT(H17,O17)/SUMPRODUCT($H$24,$O$24))*100</f>
        <v>2.5162942259914951</v>
      </c>
      <c r="R17" s="1074" t="s">
        <v>32</v>
      </c>
      <c r="S17" s="1074">
        <v>1.08</v>
      </c>
      <c r="T17" s="1074">
        <v>4.91</v>
      </c>
    </row>
    <row r="18" spans="2:21">
      <c r="B18" s="1074" t="s">
        <v>256</v>
      </c>
      <c r="C18" s="1074">
        <v>1</v>
      </c>
      <c r="D18" s="1074">
        <f>D17+C18</f>
        <v>1.5</v>
      </c>
      <c r="E18" s="1074">
        <v>4.0999999999999996</v>
      </c>
      <c r="F18" s="1074">
        <v>20.399999999999977</v>
      </c>
      <c r="G18" s="1086">
        <f t="shared" ref="G18:G23" si="7">E18/F18*100</f>
        <v>20.098039215686295</v>
      </c>
      <c r="H18" s="1074">
        <f>H17+E18</f>
        <v>9.6</v>
      </c>
      <c r="I18" s="1074">
        <v>18.77</v>
      </c>
      <c r="J18" s="1074">
        <f>SUMPRODUCT(E17:E18,I17:I18)/H18</f>
        <v>20.047604166666666</v>
      </c>
      <c r="K18" s="1086">
        <f>(SUMPRODUCT(H18,J18)/SUMPRODUCT($H$24,$J$24))*100</f>
        <v>24.917301390631334</v>
      </c>
      <c r="L18" s="1086">
        <f t="shared" ref="L18:L24" si="8">E18/$E$12*100</f>
        <v>0.54196959682749501</v>
      </c>
      <c r="M18" s="1086">
        <f>M17+L18</f>
        <v>1.2690019828155981</v>
      </c>
      <c r="N18" s="1074">
        <v>17.399999999999999</v>
      </c>
      <c r="O18" s="1086">
        <f>SUMPRODUCT(E17:E18,N17:N18)/H18</f>
        <v>17.62916666666667</v>
      </c>
      <c r="P18" s="1086">
        <f>(SUMPRODUCT(H18,O18)/SUMPRODUCT($H$24,$O$24))*100</f>
        <v>4.3499247682002116</v>
      </c>
      <c r="R18" s="1074" t="s">
        <v>438</v>
      </c>
      <c r="S18" s="1074">
        <v>8.59</v>
      </c>
      <c r="T18" s="1074">
        <v>11.7</v>
      </c>
    </row>
    <row r="19" spans="2:21">
      <c r="B19" s="1074" t="s">
        <v>257</v>
      </c>
      <c r="C19" s="1074">
        <v>2</v>
      </c>
      <c r="D19" s="1074">
        <f t="shared" ref="D19:D21" si="9">D18+C19</f>
        <v>3.5</v>
      </c>
      <c r="E19" s="1074">
        <v>6.1</v>
      </c>
      <c r="F19" s="1074">
        <v>36.199999999999989</v>
      </c>
      <c r="G19" s="1086">
        <f t="shared" si="7"/>
        <v>16.850828729281773</v>
      </c>
      <c r="H19" s="1074">
        <f>H18+E19</f>
        <v>15.7</v>
      </c>
      <c r="I19" s="1074">
        <v>16.89</v>
      </c>
      <c r="J19" s="1074">
        <f>SUMPRODUCT(E17:E19,I17:I19)/H19</f>
        <v>18.820764331210192</v>
      </c>
      <c r="K19" s="1086">
        <f>(SUMPRODUCT(H19,J19)/SUMPRODUCT($H$24,$J$24))*100</f>
        <v>38.256409061307671</v>
      </c>
      <c r="L19" s="1086">
        <f t="shared" si="8"/>
        <v>0.80634500991407787</v>
      </c>
      <c r="M19" s="1086">
        <f t="shared" ref="M19:M24" si="10">M18+L19</f>
        <v>2.0753469927296759</v>
      </c>
      <c r="N19" s="1074">
        <v>16.600000000000001</v>
      </c>
      <c r="O19" s="1086">
        <f>SUMPRODUCT(E17:E19,N17:N19)/H19</f>
        <v>17.229299363057326</v>
      </c>
      <c r="P19" s="1086">
        <f t="shared" ref="P19:P21" si="11">(SUMPRODUCT(H19,O19)/SUMPRODUCT($H$24,$O$24))*100</f>
        <v>6.9525800626220571</v>
      </c>
      <c r="R19" s="1074" t="s">
        <v>439</v>
      </c>
      <c r="S19" s="1074">
        <v>0.3</v>
      </c>
      <c r="T19" s="1074">
        <v>4.2300000000000004</v>
      </c>
    </row>
    <row r="20" spans="2:21">
      <c r="B20" s="1074" t="s">
        <v>259</v>
      </c>
      <c r="C20" s="1074">
        <v>6</v>
      </c>
      <c r="D20" s="1074">
        <f t="shared" si="9"/>
        <v>9.5</v>
      </c>
      <c r="E20" s="1074">
        <v>12.2</v>
      </c>
      <c r="F20" s="1074">
        <v>50.800000000000011</v>
      </c>
      <c r="G20" s="1086">
        <f t="shared" si="7"/>
        <v>24.015748031496056</v>
      </c>
      <c r="H20" s="1074">
        <f t="shared" ref="H20:H24" si="12">H19+E20</f>
        <v>27.9</v>
      </c>
      <c r="I20" s="1074">
        <v>11.83</v>
      </c>
      <c r="J20" s="1074">
        <f>SUMPRODUCT(E17:E20,I17:I20)/H20</f>
        <v>15.763870967741937</v>
      </c>
      <c r="K20" s="1086">
        <f t="shared" ref="K20:K23" si="13">(SUMPRODUCT(H20,J20)/SUMPRODUCT($H$24,$J$24))*100</f>
        <v>56.942216491041364</v>
      </c>
      <c r="L20" s="1086">
        <f t="shared" si="8"/>
        <v>1.6126900198281557</v>
      </c>
      <c r="M20" s="1086">
        <f t="shared" si="10"/>
        <v>3.6880370125578317</v>
      </c>
      <c r="N20" s="1074">
        <v>14.6</v>
      </c>
      <c r="O20" s="1086">
        <f>SUMPRODUCT(E17:E20,N17:N20)/H20</f>
        <v>16.079569892473121</v>
      </c>
      <c r="P20" s="1086">
        <f t="shared" si="11"/>
        <v>11.530744797388198</v>
      </c>
      <c r="R20" s="1074" t="s">
        <v>1216</v>
      </c>
      <c r="S20" s="1074">
        <f>(((S17-S19)*S18)/((S18-S19)*S17))*100</f>
        <v>74.835812893713978</v>
      </c>
      <c r="T20" s="1074">
        <f>(((T17-T19)*T18)/((T18-T19)*T17))*100</f>
        <v>21.691654602115172</v>
      </c>
    </row>
    <row r="21" spans="2:21">
      <c r="B21" s="1074" t="s">
        <v>261</v>
      </c>
      <c r="C21" s="1074">
        <v>10</v>
      </c>
      <c r="D21" s="1074">
        <f t="shared" si="9"/>
        <v>19.5</v>
      </c>
      <c r="E21" s="1074">
        <v>5.9</v>
      </c>
      <c r="F21" s="1074">
        <v>139.90000000000003</v>
      </c>
      <c r="G21" s="1086">
        <f t="shared" si="7"/>
        <v>4.2172980700500347</v>
      </c>
      <c r="H21" s="1074">
        <f t="shared" si="12"/>
        <v>33.799999999999997</v>
      </c>
      <c r="I21" s="1074">
        <v>7.67</v>
      </c>
      <c r="J21" s="1074">
        <f>SUMPRODUCT(E17:E21,I17:I21)/H21</f>
        <v>14.351035502958581</v>
      </c>
      <c r="K21" s="1086">
        <f>(SUMPRODUCT(H21,J21)/SUMPRODUCT($H$24,$J$24))*100</f>
        <v>62.801097383034069</v>
      </c>
      <c r="L21" s="1086">
        <f>E21/$E$12*100</f>
        <v>0.77990746860541971</v>
      </c>
      <c r="M21" s="1086">
        <f t="shared" si="10"/>
        <v>4.4679444811632516</v>
      </c>
      <c r="N21" s="1074">
        <v>12.7</v>
      </c>
      <c r="O21" s="1086">
        <f>SUMPRODUCT(E17:E21,N17:N21)/H21</f>
        <v>15.489644970414201</v>
      </c>
      <c r="P21" s="1086">
        <f t="shared" si="11"/>
        <v>13.456648028782912</v>
      </c>
      <c r="R21" s="1074" t="s">
        <v>1214</v>
      </c>
      <c r="S21" s="1074">
        <f>S18/S17</f>
        <v>7.9537037037037033</v>
      </c>
      <c r="T21" s="1074">
        <f>T18/T17</f>
        <v>2.3828920570264764</v>
      </c>
    </row>
    <row r="22" spans="2:21">
      <c r="B22" s="1074" t="s">
        <v>280</v>
      </c>
      <c r="C22" s="1074"/>
      <c r="D22" s="1074"/>
      <c r="E22" s="1074">
        <v>31.2</v>
      </c>
      <c r="F22" s="1074">
        <v>768.30000000000007</v>
      </c>
      <c r="G22" s="1086">
        <f t="shared" si="7"/>
        <v>4.0609137055837561</v>
      </c>
      <c r="H22" s="1074">
        <f t="shared" si="12"/>
        <v>65</v>
      </c>
      <c r="I22" s="1074">
        <v>4.3600000000000003</v>
      </c>
      <c r="J22" s="1074">
        <f>SUMPRODUCT(E17:E22,I17:I22)/H22</f>
        <v>9.5553384615384616</v>
      </c>
      <c r="K22" s="1086">
        <f t="shared" si="13"/>
        <v>80.413085218084817</v>
      </c>
      <c r="L22" s="1086">
        <f t="shared" si="8"/>
        <v>4.1242564441506939</v>
      </c>
      <c r="M22" s="1086">
        <f t="shared" si="10"/>
        <v>8.5922009253139464</v>
      </c>
      <c r="N22" s="1074">
        <v>11.9</v>
      </c>
      <c r="O22" s="1086">
        <f>SUMPRODUCT(E17:E22,N17:N22)/H22</f>
        <v>13.766615384615383</v>
      </c>
      <c r="P22" s="1086">
        <f>(SUMPRODUCT(H22,O22)/SUMPRODUCT($H$24,$O$24))*100</f>
        <v>22.999546090336764</v>
      </c>
    </row>
    <row r="23" spans="2:21">
      <c r="B23" s="1074" t="s">
        <v>281</v>
      </c>
      <c r="C23" s="1074"/>
      <c r="D23" s="1074"/>
      <c r="E23" s="1074">
        <v>121.8</v>
      </c>
      <c r="F23" s="1074">
        <v>2433.4</v>
      </c>
      <c r="G23" s="1086">
        <f t="shared" si="7"/>
        <v>5.0053423193885092</v>
      </c>
      <c r="H23" s="1074">
        <f t="shared" si="12"/>
        <v>186.8</v>
      </c>
      <c r="I23" s="1074">
        <v>0.42</v>
      </c>
      <c r="J23" s="1074">
        <f>SUMPRODUCT(E17:E23,I17:I23)/H23</f>
        <v>3.5987847965738751</v>
      </c>
      <c r="K23" s="1086">
        <f t="shared" si="13"/>
        <v>87.036224256618794</v>
      </c>
      <c r="L23" s="1086">
        <f t="shared" si="8"/>
        <v>16.100462656972901</v>
      </c>
      <c r="M23" s="1086">
        <f t="shared" si="10"/>
        <v>24.692663582286848</v>
      </c>
      <c r="N23" s="1074">
        <v>2.69</v>
      </c>
      <c r="O23" s="1086">
        <f>SUMPRODUCT(E17:E23,N17:N23)/H23</f>
        <v>6.5442826552462519</v>
      </c>
      <c r="P23" s="1086">
        <f>(SUMPRODUCT(H23,O23)/SUMPRODUCT($H$24,$O$24))*100</f>
        <v>31.420829775651427</v>
      </c>
    </row>
    <row r="24" spans="2:21">
      <c r="B24" s="1074" t="s">
        <v>282</v>
      </c>
      <c r="C24" s="1074"/>
      <c r="D24" s="1074"/>
      <c r="E24" s="1074">
        <v>589</v>
      </c>
      <c r="F24" s="1074">
        <v>2254.2000000000003</v>
      </c>
      <c r="G24" s="1086">
        <f>E24/F24*100</f>
        <v>26.129003637654151</v>
      </c>
      <c r="H24" s="1074">
        <f t="shared" si="12"/>
        <v>775.8</v>
      </c>
      <c r="I24" s="1074">
        <v>0.17</v>
      </c>
      <c r="J24" s="1074">
        <f>SUMPRODUCT(E17:E24,I17:I24)/H24</f>
        <v>0.99559551430781124</v>
      </c>
      <c r="K24" s="1086">
        <f>(SUMPRODUCT(H24,J24)/SUMPRODUCT($H$24,$J$24))*100</f>
        <v>100</v>
      </c>
      <c r="L24" s="1086">
        <f t="shared" si="8"/>
        <v>77.858559153998669</v>
      </c>
      <c r="M24" s="1086">
        <f t="shared" si="10"/>
        <v>102.55122273628552</v>
      </c>
      <c r="N24" s="1074">
        <v>4.53</v>
      </c>
      <c r="O24" s="1086">
        <f>SUMPRODUCT(E17:E24,N17:N24)/H24</f>
        <v>5.0150064449600409</v>
      </c>
      <c r="P24" s="1086">
        <f>(SUMPRODUCT(H24,O24)/SUMPRODUCT($H$24,$O$24))*100</f>
        <v>100</v>
      </c>
    </row>
    <row r="25" spans="2:21">
      <c r="B25" s="1074" t="s">
        <v>32</v>
      </c>
      <c r="C25" s="1074"/>
      <c r="D25" s="1074"/>
      <c r="E25" s="1074">
        <v>775.8</v>
      </c>
      <c r="F25" s="1074"/>
      <c r="G25" s="1074"/>
      <c r="H25" s="1074"/>
      <c r="I25" s="1074"/>
      <c r="J25" s="1074"/>
      <c r="K25" s="1074"/>
      <c r="L25" s="1074"/>
      <c r="M25" s="1074"/>
      <c r="N25" s="1074"/>
      <c r="O25" s="1074"/>
      <c r="P25" s="1074"/>
    </row>
    <row r="27" spans="2:21" ht="15" thickBot="1"/>
    <row r="28" spans="2:21">
      <c r="Q28" s="1495" t="s">
        <v>1425</v>
      </c>
      <c r="R28" s="1496" t="s">
        <v>1426</v>
      </c>
      <c r="S28" t="s">
        <v>1427</v>
      </c>
      <c r="T28" t="s">
        <v>1428</v>
      </c>
      <c r="U28" t="s">
        <v>1429</v>
      </c>
    </row>
    <row r="29" spans="2:21">
      <c r="B29" s="1092">
        <v>45992</v>
      </c>
      <c r="C29" s="1443" t="s">
        <v>1204</v>
      </c>
      <c r="D29" s="1444"/>
      <c r="E29" s="1444"/>
      <c r="F29" s="1444"/>
      <c r="G29" s="1444"/>
      <c r="H29" s="1444"/>
      <c r="I29" s="1444"/>
      <c r="J29" s="1445"/>
      <c r="Q29" s="1497" t="s">
        <v>1427</v>
      </c>
      <c r="R29" s="1498">
        <v>1.71</v>
      </c>
    </row>
    <row r="30" spans="2:21">
      <c r="B30" s="1092" t="s">
        <v>809</v>
      </c>
      <c r="C30" s="1092" t="s">
        <v>205</v>
      </c>
      <c r="D30" s="1092" t="s">
        <v>271</v>
      </c>
      <c r="E30" s="1092" t="s">
        <v>272</v>
      </c>
      <c r="F30" s="1092" t="s">
        <v>273</v>
      </c>
      <c r="G30" s="1092" t="s">
        <v>274</v>
      </c>
      <c r="H30" s="1092" t="s">
        <v>275</v>
      </c>
      <c r="I30" s="1092" t="s">
        <v>276</v>
      </c>
      <c r="J30" s="1092" t="s">
        <v>277</v>
      </c>
      <c r="Q30" s="1497" t="s">
        <v>1428</v>
      </c>
      <c r="R30" s="1498">
        <v>0.8</v>
      </c>
    </row>
    <row r="31" spans="2:21" ht="15" thickBot="1">
      <c r="B31" s="1074" t="s">
        <v>255</v>
      </c>
      <c r="C31" s="1074">
        <v>37.9</v>
      </c>
      <c r="D31" s="1074">
        <v>37.9</v>
      </c>
      <c r="E31" s="1074">
        <v>26.32</v>
      </c>
      <c r="F31" s="1074">
        <v>26.32</v>
      </c>
      <c r="G31" s="1074">
        <v>11.418651176351338</v>
      </c>
      <c r="H31" s="1074">
        <v>15.6</v>
      </c>
      <c r="I31" s="1074">
        <v>15.600000000000001</v>
      </c>
      <c r="J31" s="1074">
        <v>1.8174704392078824</v>
      </c>
      <c r="Q31" s="1499" t="s">
        <v>1429</v>
      </c>
      <c r="R31" s="1500">
        <v>1</v>
      </c>
    </row>
    <row r="32" spans="2:21">
      <c r="B32" s="1074" t="s">
        <v>256</v>
      </c>
      <c r="C32" s="1074">
        <v>37.200000000000003</v>
      </c>
      <c r="D32" s="1074">
        <v>75.099999999999994</v>
      </c>
      <c r="E32" s="1074">
        <v>26.25</v>
      </c>
      <c r="F32" s="1074">
        <v>26.285326231691084</v>
      </c>
      <c r="G32" s="1074">
        <v>22.596595929488174</v>
      </c>
      <c r="H32" s="1074">
        <v>18.2</v>
      </c>
      <c r="I32" s="1074">
        <v>16.8878828229028</v>
      </c>
      <c r="J32" s="1074">
        <v>3.8986898867440862</v>
      </c>
    </row>
    <row r="33" spans="2:17">
      <c r="B33" s="1074" t="s">
        <v>257</v>
      </c>
      <c r="C33" s="1074">
        <v>58.9</v>
      </c>
      <c r="D33" s="1074">
        <v>134</v>
      </c>
      <c r="E33" s="1074">
        <v>26.19</v>
      </c>
      <c r="F33" s="1074">
        <v>26.243425373134333</v>
      </c>
      <c r="G33" s="1074">
        <v>40.254554940943478</v>
      </c>
      <c r="H33" s="1074">
        <v>20.7</v>
      </c>
      <c r="I33" s="1074">
        <v>18.563507462686569</v>
      </c>
      <c r="J33" s="1074">
        <v>7.6466001830627155</v>
      </c>
      <c r="Q33" s="1501" t="s">
        <v>1430</v>
      </c>
    </row>
    <row r="34" spans="2:17">
      <c r="B34" s="1074" t="s">
        <v>259</v>
      </c>
      <c r="C34" s="1074">
        <v>186</v>
      </c>
      <c r="D34" s="1074">
        <v>320</v>
      </c>
      <c r="E34" s="1074">
        <v>8.3000000000000007</v>
      </c>
      <c r="F34" s="1074">
        <v>15.813809375000002</v>
      </c>
      <c r="G34" s="1074">
        <v>57.926353312569333</v>
      </c>
      <c r="H34" s="1074">
        <v>10.5</v>
      </c>
      <c r="I34" s="1074">
        <v>13.876593750000001</v>
      </c>
      <c r="J34" s="1074">
        <v>13.650117820186377</v>
      </c>
    </row>
    <row r="35" spans="2:17">
      <c r="B35" s="1074" t="s">
        <v>261</v>
      </c>
      <c r="C35" s="1074">
        <v>545</v>
      </c>
      <c r="D35" s="1074">
        <v>865</v>
      </c>
      <c r="E35" s="1074">
        <v>3.42</v>
      </c>
      <c r="F35" s="1074">
        <v>8.0049930635838162</v>
      </c>
      <c r="G35" s="1074">
        <v>79.26231974920195</v>
      </c>
      <c r="H35" s="1074">
        <v>7.12</v>
      </c>
      <c r="I35" s="1074">
        <v>9.6195491329479772</v>
      </c>
      <c r="J35" s="1074">
        <v>25.578458751622456</v>
      </c>
    </row>
    <row r="36" spans="2:17">
      <c r="B36" s="1074" t="s">
        <v>439</v>
      </c>
      <c r="C36" s="1074">
        <v>8234.7000000000007</v>
      </c>
      <c r="D36" s="1074">
        <v>9099.7000000000007</v>
      </c>
      <c r="E36" s="1074">
        <v>0.22</v>
      </c>
      <c r="F36" s="1074">
        <v>0.96002648438959537</v>
      </c>
      <c r="G36" s="1074">
        <v>100</v>
      </c>
      <c r="H36" s="1074">
        <v>2.94</v>
      </c>
      <c r="I36" s="1074">
        <v>3.5749451080804859</v>
      </c>
      <c r="J36" s="1074">
        <v>100</v>
      </c>
    </row>
    <row r="37" spans="2:17">
      <c r="B37" s="1074" t="s">
        <v>32</v>
      </c>
      <c r="C37" s="1074">
        <v>9099.7000000000007</v>
      </c>
      <c r="D37" s="1074"/>
      <c r="E37" s="1074"/>
      <c r="F37" s="1074"/>
      <c r="G37" s="1074"/>
      <c r="H37" s="1074"/>
      <c r="I37" s="1074"/>
      <c r="J37" s="1074"/>
    </row>
    <row r="54" spans="3:6">
      <c r="C54" s="1461"/>
      <c r="D54" s="1461"/>
      <c r="E54" s="1189"/>
      <c r="F54" s="1189"/>
    </row>
  </sheetData>
  <mergeCells count="4">
    <mergeCell ref="C54:D54"/>
    <mergeCell ref="C29:J29"/>
    <mergeCell ref="C2:P2"/>
    <mergeCell ref="C15:P15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8C590-2340-46ED-ADCB-202AAFDDDE8F}">
  <dimension ref="A1:I136"/>
  <sheetViews>
    <sheetView topLeftCell="A6" workbookViewId="0"/>
  </sheetViews>
  <sheetFormatPr baseColWidth="10" defaultRowHeight="14.5"/>
  <sheetData>
    <row r="1" spans="1:9">
      <c r="A1" t="s">
        <v>1333</v>
      </c>
    </row>
    <row r="2" spans="1:9">
      <c r="A2" s="1071">
        <v>45873</v>
      </c>
    </row>
    <row r="3" spans="1:9">
      <c r="A3" t="s">
        <v>759</v>
      </c>
    </row>
    <row r="4" spans="1:9">
      <c r="A4" t="s">
        <v>1318</v>
      </c>
    </row>
    <row r="6" spans="1:9" ht="39.5" thickBot="1">
      <c r="B6" s="1204" t="s">
        <v>1142</v>
      </c>
      <c r="C6" s="1204" t="s">
        <v>1311</v>
      </c>
      <c r="D6" s="1204" t="s">
        <v>1312</v>
      </c>
      <c r="E6" s="1204" t="s">
        <v>1313</v>
      </c>
      <c r="F6" s="1204" t="s">
        <v>1314</v>
      </c>
      <c r="G6" s="1204" t="s">
        <v>1315</v>
      </c>
      <c r="H6" s="1204" t="s">
        <v>1316</v>
      </c>
      <c r="I6" s="1204" t="s">
        <v>1317</v>
      </c>
    </row>
    <row r="7" spans="1:9" ht="15" thickTop="1">
      <c r="B7" s="1209" t="s">
        <v>844</v>
      </c>
      <c r="C7" s="1130">
        <v>2479</v>
      </c>
      <c r="D7" s="1130">
        <v>755.7</v>
      </c>
      <c r="E7" s="1133">
        <f>D7/C7</f>
        <v>0.30484066155707951</v>
      </c>
      <c r="F7" s="1129">
        <v>2.2000000000000002</v>
      </c>
      <c r="G7" s="1128">
        <v>15</v>
      </c>
      <c r="H7" s="1210">
        <v>0.60899999999999999</v>
      </c>
      <c r="I7" s="1210">
        <v>1.87</v>
      </c>
    </row>
    <row r="8" spans="1:9">
      <c r="B8" s="1211" t="s">
        <v>845</v>
      </c>
      <c r="C8" s="801">
        <v>2192.6</v>
      </c>
      <c r="D8" s="801">
        <v>421.4</v>
      </c>
      <c r="E8" s="1133">
        <f t="shared" ref="E8:E9" si="0">D8/C8</f>
        <v>0.19219191827054638</v>
      </c>
      <c r="F8" s="1129">
        <v>1.9</v>
      </c>
      <c r="G8" s="1073">
        <v>33</v>
      </c>
      <c r="H8" s="1212">
        <v>2.0830000000000002</v>
      </c>
      <c r="I8" s="1212">
        <v>3.35</v>
      </c>
    </row>
    <row r="9" spans="1:9" ht="15" thickBot="1">
      <c r="B9" s="1213" t="s">
        <v>846</v>
      </c>
      <c r="C9" s="1207">
        <v>2738.8</v>
      </c>
      <c r="D9" s="1207">
        <v>1013</v>
      </c>
      <c r="E9" s="1208">
        <f t="shared" si="0"/>
        <v>0.36987001606543007</v>
      </c>
      <c r="F9" s="1206">
        <v>2.2000000000000002</v>
      </c>
      <c r="G9" s="1205">
        <v>24</v>
      </c>
      <c r="H9" s="1214">
        <v>0.16700000000000001</v>
      </c>
      <c r="I9" s="1214">
        <v>1.6</v>
      </c>
    </row>
    <row r="12" spans="1:9">
      <c r="A12">
        <v>45873</v>
      </c>
    </row>
    <row r="13" spans="1:9">
      <c r="A13" t="s">
        <v>758</v>
      </c>
    </row>
    <row r="14" spans="1:9">
      <c r="A14" t="s">
        <v>1319</v>
      </c>
    </row>
    <row r="16" spans="1:9" ht="39.5" thickBot="1">
      <c r="B16" s="1204" t="s">
        <v>1142</v>
      </c>
      <c r="C16" s="1204" t="s">
        <v>1311</v>
      </c>
      <c r="D16" s="1204" t="s">
        <v>1312</v>
      </c>
      <c r="E16" s="1204" t="s">
        <v>1313</v>
      </c>
      <c r="F16" s="1204" t="s">
        <v>1314</v>
      </c>
      <c r="G16" s="1204" t="s">
        <v>1315</v>
      </c>
      <c r="H16" s="1204" t="s">
        <v>1316</v>
      </c>
      <c r="I16" s="1204" t="s">
        <v>1317</v>
      </c>
    </row>
    <row r="17" spans="1:9" ht="15" thickTop="1">
      <c r="B17" s="1209" t="s">
        <v>844</v>
      </c>
      <c r="C17" s="1130">
        <v>3583.7</v>
      </c>
      <c r="D17" s="1130">
        <v>1087.0999999999999</v>
      </c>
      <c r="E17" s="1133">
        <f>D17/C17</f>
        <v>0.30334570416050449</v>
      </c>
      <c r="F17" s="1129">
        <v>3</v>
      </c>
      <c r="G17" s="1128">
        <v>21</v>
      </c>
      <c r="H17" s="1210">
        <v>0.63800000000000001</v>
      </c>
      <c r="I17" s="1210">
        <v>2.11</v>
      </c>
    </row>
    <row r="18" spans="1:9">
      <c r="B18" s="1211" t="s">
        <v>845</v>
      </c>
      <c r="C18" s="801">
        <v>2368.1999999999998</v>
      </c>
      <c r="D18" s="801">
        <v>486.4</v>
      </c>
      <c r="E18" s="1133">
        <f t="shared" ref="E18:E19" si="1">D18/C18</f>
        <v>0.20538805844101005</v>
      </c>
      <c r="F18" s="1129">
        <v>2</v>
      </c>
      <c r="G18" s="1073">
        <v>54</v>
      </c>
      <c r="H18" s="1212">
        <v>3.415</v>
      </c>
      <c r="I18" s="1212">
        <v>5.36</v>
      </c>
    </row>
    <row r="19" spans="1:9" ht="15" thickBot="1">
      <c r="B19" s="1213" t="s">
        <v>846</v>
      </c>
      <c r="C19" s="1207">
        <v>4096.1000000000004</v>
      </c>
      <c r="D19" s="1207">
        <v>1358.9</v>
      </c>
      <c r="E19" s="1208">
        <f t="shared" si="1"/>
        <v>0.33175459583506262</v>
      </c>
      <c r="F19" s="1206">
        <v>3.3</v>
      </c>
      <c r="G19" s="1205">
        <v>30</v>
      </c>
      <c r="H19" s="1214">
        <v>0.124</v>
      </c>
      <c r="I19" s="1214">
        <v>1.43</v>
      </c>
    </row>
    <row r="21" spans="1:9">
      <c r="A21">
        <v>45874</v>
      </c>
    </row>
    <row r="22" spans="1:9">
      <c r="A22" t="s">
        <v>759</v>
      </c>
    </row>
    <row r="23" spans="1:9">
      <c r="A23" t="s">
        <v>1320</v>
      </c>
    </row>
    <row r="25" spans="1:9" ht="39.5" thickBot="1">
      <c r="B25" s="1204" t="s">
        <v>1142</v>
      </c>
      <c r="C25" s="1204" t="s">
        <v>1311</v>
      </c>
      <c r="D25" s="1204" t="s">
        <v>1312</v>
      </c>
      <c r="E25" s="1204" t="s">
        <v>1313</v>
      </c>
      <c r="F25" s="1204" t="s">
        <v>1314</v>
      </c>
      <c r="G25" s="1204" t="s">
        <v>1315</v>
      </c>
      <c r="H25" s="1204" t="s">
        <v>1316</v>
      </c>
      <c r="I25" s="1204" t="s">
        <v>1317</v>
      </c>
    </row>
    <row r="26" spans="1:9" ht="15" thickTop="1">
      <c r="B26" s="1209" t="s">
        <v>844</v>
      </c>
      <c r="C26" s="1130">
        <v>2572</v>
      </c>
      <c r="D26" s="1130">
        <v>783.6</v>
      </c>
      <c r="E26" s="1133">
        <f>D26/C26</f>
        <v>0.3046656298600311</v>
      </c>
      <c r="F26" s="1129">
        <v>2.2000000000000002</v>
      </c>
      <c r="G26" s="1128">
        <v>15</v>
      </c>
      <c r="H26" s="1210">
        <v>0.64600000000000002</v>
      </c>
      <c r="I26" s="1210">
        <v>2.2400000000000002</v>
      </c>
    </row>
    <row r="27" spans="1:9">
      <c r="B27" s="1211" t="s">
        <v>845</v>
      </c>
      <c r="C27" s="801">
        <v>2104.4</v>
      </c>
      <c r="D27" s="801">
        <v>350.1</v>
      </c>
      <c r="E27" s="1133">
        <f t="shared" ref="E27:E28" si="2">D27/C27</f>
        <v>0.16636570994107586</v>
      </c>
      <c r="F27" s="1129">
        <v>2</v>
      </c>
      <c r="G27" s="1073">
        <v>42</v>
      </c>
      <c r="H27" s="1212">
        <v>3.629</v>
      </c>
      <c r="I27" s="1212">
        <v>7.66</v>
      </c>
    </row>
    <row r="28" spans="1:9" ht="15" thickBot="1">
      <c r="B28" s="1213" t="s">
        <v>846</v>
      </c>
      <c r="C28" s="1207">
        <v>2669</v>
      </c>
      <c r="D28" s="1207">
        <v>946.7</v>
      </c>
      <c r="E28" s="1208">
        <f t="shared" si="2"/>
        <v>0.35470213563132263</v>
      </c>
      <c r="F28" s="1206">
        <v>2.2000000000000002</v>
      </c>
      <c r="G28" s="1205">
        <v>21</v>
      </c>
      <c r="H28" s="1214">
        <v>0.128</v>
      </c>
      <c r="I28" s="1214">
        <v>1.26</v>
      </c>
    </row>
    <row r="30" spans="1:9">
      <c r="A30">
        <v>45874</v>
      </c>
    </row>
    <row r="31" spans="1:9">
      <c r="A31" t="s">
        <v>758</v>
      </c>
    </row>
    <row r="32" spans="1:9">
      <c r="A32" t="s">
        <v>1321</v>
      </c>
    </row>
    <row r="34" spans="1:9" ht="39.5" thickBot="1">
      <c r="B34" s="1204" t="s">
        <v>1142</v>
      </c>
      <c r="C34" s="1204" t="s">
        <v>1311</v>
      </c>
      <c r="D34" s="1204" t="s">
        <v>1312</v>
      </c>
      <c r="E34" s="1204" t="s">
        <v>1313</v>
      </c>
      <c r="F34" s="1204" t="s">
        <v>1314</v>
      </c>
      <c r="G34" s="1204" t="s">
        <v>1315</v>
      </c>
      <c r="H34" s="1204" t="s">
        <v>1316</v>
      </c>
      <c r="I34" s="1204" t="s">
        <v>1317</v>
      </c>
    </row>
    <row r="35" spans="1:9" ht="15" thickTop="1">
      <c r="B35" s="1209" t="s">
        <v>844</v>
      </c>
      <c r="C35" s="1130">
        <v>4054</v>
      </c>
      <c r="D35" s="1130">
        <v>1228.2</v>
      </c>
      <c r="E35" s="1133">
        <f>D35/C35</f>
        <v>0.30296003946719291</v>
      </c>
      <c r="F35" s="1129">
        <v>3.1</v>
      </c>
      <c r="G35" s="1128">
        <v>21</v>
      </c>
      <c r="H35" s="1210">
        <v>0.63400000000000001</v>
      </c>
      <c r="I35" s="1210">
        <v>2.4</v>
      </c>
    </row>
    <row r="36" spans="1:9">
      <c r="B36" s="1211" t="s">
        <v>845</v>
      </c>
      <c r="C36" s="801">
        <v>3380.6</v>
      </c>
      <c r="D36" s="801">
        <v>515.5</v>
      </c>
      <c r="E36" s="1133">
        <f t="shared" ref="E36:E37" si="3">D36/C36</f>
        <v>0.15248772407264982</v>
      </c>
      <c r="F36" s="1129">
        <v>3</v>
      </c>
      <c r="G36" s="1073">
        <v>111</v>
      </c>
      <c r="H36" s="1212">
        <v>6.22</v>
      </c>
      <c r="I36" s="1212">
        <v>9.1199999999999992</v>
      </c>
    </row>
    <row r="37" spans="1:9" ht="15" thickBot="1">
      <c r="B37" s="1213" t="s">
        <v>846</v>
      </c>
      <c r="C37" s="1207">
        <v>3693.7</v>
      </c>
      <c r="D37" s="1207">
        <v>1227</v>
      </c>
      <c r="E37" s="1208">
        <f t="shared" si="3"/>
        <v>0.33218723772910635</v>
      </c>
      <c r="F37" s="1206">
        <v>2.9</v>
      </c>
      <c r="G37" s="1205">
        <v>24</v>
      </c>
      <c r="H37" s="1214">
        <v>0.15</v>
      </c>
      <c r="I37" s="1214">
        <v>1.7</v>
      </c>
    </row>
    <row r="39" spans="1:9">
      <c r="A39">
        <v>45875</v>
      </c>
    </row>
    <row r="40" spans="1:9">
      <c r="A40" t="s">
        <v>759</v>
      </c>
    </row>
    <row r="41" spans="1:9">
      <c r="A41" t="s">
        <v>1322</v>
      </c>
    </row>
    <row r="43" spans="1:9" ht="39.5" thickBot="1">
      <c r="B43" s="1204" t="s">
        <v>1142</v>
      </c>
      <c r="C43" s="1204" t="s">
        <v>1311</v>
      </c>
      <c r="D43" s="1204" t="s">
        <v>1312</v>
      </c>
      <c r="E43" s="1204" t="s">
        <v>1313</v>
      </c>
      <c r="F43" s="1204" t="s">
        <v>1314</v>
      </c>
      <c r="G43" s="1204" t="s">
        <v>1315</v>
      </c>
      <c r="H43" s="1204" t="s">
        <v>1316</v>
      </c>
      <c r="I43" s="1204" t="s">
        <v>1317</v>
      </c>
    </row>
    <row r="44" spans="1:9" ht="15" thickTop="1">
      <c r="B44" s="1209" t="s">
        <v>844</v>
      </c>
      <c r="C44" s="1130">
        <v>2176</v>
      </c>
      <c r="D44" s="1130">
        <v>664.8</v>
      </c>
      <c r="E44" s="1133">
        <f>D44/C44</f>
        <v>0.30551470588235291</v>
      </c>
      <c r="F44" s="1129">
        <v>1.8</v>
      </c>
      <c r="G44" s="1128">
        <v>12</v>
      </c>
      <c r="H44" s="1210">
        <v>0.71</v>
      </c>
      <c r="I44" s="1210">
        <v>2.33</v>
      </c>
    </row>
    <row r="45" spans="1:9">
      <c r="B45" s="1211" t="s">
        <v>845</v>
      </c>
      <c r="C45" s="801">
        <v>1851.6</v>
      </c>
      <c r="D45" s="801">
        <v>316.2</v>
      </c>
      <c r="E45" s="1133">
        <f t="shared" ref="E45:E46" si="4">D45/C45</f>
        <v>0.17077122488658458</v>
      </c>
      <c r="F45" s="1129">
        <v>1.6</v>
      </c>
      <c r="G45" s="1073">
        <v>60</v>
      </c>
      <c r="H45" s="1212">
        <v>5.55</v>
      </c>
      <c r="I45" s="1212">
        <v>8.2100000000000009</v>
      </c>
    </row>
    <row r="46" spans="1:9" ht="15" thickBot="1">
      <c r="B46" s="1213" t="s">
        <v>846</v>
      </c>
      <c r="C46" s="1207">
        <v>1947.3</v>
      </c>
      <c r="D46" s="1207">
        <v>644.20000000000005</v>
      </c>
      <c r="E46" s="1208">
        <f t="shared" si="4"/>
        <v>0.33081702870641405</v>
      </c>
      <c r="F46" s="1206">
        <v>1.5</v>
      </c>
      <c r="G46" s="1205">
        <v>12</v>
      </c>
      <c r="H46" s="1214">
        <v>0.15</v>
      </c>
      <c r="I46" s="1214">
        <v>1.52</v>
      </c>
    </row>
    <row r="48" spans="1:9">
      <c r="A48">
        <v>45875</v>
      </c>
    </row>
    <row r="49" spans="1:9">
      <c r="A49" t="s">
        <v>758</v>
      </c>
    </row>
    <row r="50" spans="1:9">
      <c r="A50" t="s">
        <v>1323</v>
      </c>
    </row>
    <row r="52" spans="1:9" ht="39.5" thickBot="1">
      <c r="B52" s="1204" t="s">
        <v>1142</v>
      </c>
      <c r="C52" s="1204" t="s">
        <v>1311</v>
      </c>
      <c r="D52" s="1204" t="s">
        <v>1312</v>
      </c>
      <c r="E52" s="1204" t="s">
        <v>1313</v>
      </c>
      <c r="F52" s="1204" t="s">
        <v>1314</v>
      </c>
      <c r="G52" s="1204" t="s">
        <v>1315</v>
      </c>
      <c r="H52" s="1204" t="s">
        <v>1316</v>
      </c>
      <c r="I52" s="1204" t="s">
        <v>1317</v>
      </c>
    </row>
    <row r="53" spans="1:9" ht="15" thickTop="1">
      <c r="B53" s="1209" t="s">
        <v>844</v>
      </c>
      <c r="C53" s="1130">
        <v>3563</v>
      </c>
      <c r="D53" s="1130">
        <v>1080.9000000000001</v>
      </c>
      <c r="E53" s="1133">
        <f>D53/C53</f>
        <v>0.30336794835812519</v>
      </c>
      <c r="F53" s="1129">
        <v>2.7</v>
      </c>
      <c r="G53" s="1128">
        <v>18</v>
      </c>
      <c r="H53" s="1210">
        <v>0.68</v>
      </c>
      <c r="I53" s="1210">
        <v>2.4700000000000002</v>
      </c>
    </row>
    <row r="54" spans="1:9">
      <c r="B54" s="1211" t="s">
        <v>845</v>
      </c>
      <c r="C54" s="801">
        <v>3735.3</v>
      </c>
      <c r="D54" s="801">
        <v>792.6</v>
      </c>
      <c r="E54" s="1133">
        <f t="shared" ref="E54:E55" si="5">D54/C54</f>
        <v>0.21219179182394987</v>
      </c>
      <c r="F54" s="1129">
        <v>3.3</v>
      </c>
      <c r="G54" s="1073">
        <v>201</v>
      </c>
      <c r="H54" s="1212">
        <v>7.48</v>
      </c>
      <c r="I54" s="1212">
        <v>12.4</v>
      </c>
    </row>
    <row r="55" spans="1:9" ht="15" thickBot="1">
      <c r="B55" s="1213" t="s">
        <v>846</v>
      </c>
      <c r="C55" s="1207">
        <v>3845.3</v>
      </c>
      <c r="D55" s="1207">
        <v>1200.0999999999999</v>
      </c>
      <c r="E55" s="1208">
        <f t="shared" si="5"/>
        <v>0.31209528515330398</v>
      </c>
      <c r="F55" s="1206">
        <v>3.1</v>
      </c>
      <c r="G55" s="1205">
        <v>24</v>
      </c>
      <c r="H55" s="1214">
        <v>0.15</v>
      </c>
      <c r="I55" s="1214">
        <v>1.84</v>
      </c>
    </row>
    <row r="57" spans="1:9">
      <c r="A57">
        <v>45876</v>
      </c>
    </row>
    <row r="58" spans="1:9">
      <c r="A58" t="s">
        <v>759</v>
      </c>
    </row>
    <row r="59" spans="1:9">
      <c r="A59" t="s">
        <v>1324</v>
      </c>
    </row>
    <row r="61" spans="1:9" ht="39.5" thickBot="1">
      <c r="B61" s="1204" t="s">
        <v>1142</v>
      </c>
      <c r="C61" s="1204" t="s">
        <v>1311</v>
      </c>
      <c r="D61" s="1204" t="s">
        <v>1312</v>
      </c>
      <c r="E61" s="1204" t="s">
        <v>1313</v>
      </c>
      <c r="F61" s="1204" t="s">
        <v>1314</v>
      </c>
      <c r="G61" s="1204" t="s">
        <v>1315</v>
      </c>
      <c r="H61" s="1204" t="s">
        <v>1316</v>
      </c>
      <c r="I61" s="1204" t="s">
        <v>1317</v>
      </c>
    </row>
    <row r="62" spans="1:9" ht="15" thickTop="1">
      <c r="B62" s="1209" t="s">
        <v>844</v>
      </c>
      <c r="C62" s="1130">
        <v>2145.6999999999998</v>
      </c>
      <c r="D62" s="1130">
        <v>655.7</v>
      </c>
      <c r="E62" s="1133">
        <f>D62/C62</f>
        <v>0.30558792002609875</v>
      </c>
      <c r="F62" s="1129">
        <v>1.7</v>
      </c>
      <c r="G62" s="1128">
        <v>12</v>
      </c>
      <c r="H62" s="1210">
        <v>0.7</v>
      </c>
      <c r="I62" s="1210">
        <v>2.3199999999999998</v>
      </c>
    </row>
    <row r="63" spans="1:9">
      <c r="B63" s="1211" t="s">
        <v>845</v>
      </c>
      <c r="C63" s="801">
        <v>1779.4</v>
      </c>
      <c r="D63" s="801">
        <v>303</v>
      </c>
      <c r="E63" s="1133">
        <f t="shared" ref="E63:E64" si="6">D63/C63</f>
        <v>0.17028211756771944</v>
      </c>
      <c r="F63" s="1129">
        <v>1.6</v>
      </c>
      <c r="G63" s="1073">
        <v>54</v>
      </c>
      <c r="H63" s="1212">
        <v>5.01</v>
      </c>
      <c r="I63" s="1212">
        <v>6.94</v>
      </c>
    </row>
    <row r="64" spans="1:9" ht="15" thickBot="1">
      <c r="B64" s="1213" t="s">
        <v>846</v>
      </c>
      <c r="C64" s="1207">
        <v>2174.8000000000002</v>
      </c>
      <c r="D64" s="1207">
        <v>726.3</v>
      </c>
      <c r="E64" s="1208">
        <f t="shared" si="6"/>
        <v>0.33396174360860764</v>
      </c>
      <c r="F64" s="1206">
        <v>1.8</v>
      </c>
      <c r="G64" s="1205">
        <v>15</v>
      </c>
      <c r="H64" s="1214">
        <v>0.15</v>
      </c>
      <c r="I64" s="1214">
        <v>1.73</v>
      </c>
    </row>
    <row r="66" spans="1:9">
      <c r="A66" s="1071">
        <v>45876</v>
      </c>
    </row>
    <row r="67" spans="1:9">
      <c r="A67" t="s">
        <v>758</v>
      </c>
    </row>
    <row r="68" spans="1:9">
      <c r="A68" t="s">
        <v>1310</v>
      </c>
    </row>
    <row r="70" spans="1:9" ht="39.5" thickBot="1">
      <c r="B70" s="1204" t="s">
        <v>1142</v>
      </c>
      <c r="C70" s="1204" t="s">
        <v>1311</v>
      </c>
      <c r="D70" s="1204" t="s">
        <v>1312</v>
      </c>
      <c r="E70" s="1204" t="s">
        <v>1313</v>
      </c>
      <c r="F70" s="1204" t="s">
        <v>1314</v>
      </c>
      <c r="G70" s="1204" t="s">
        <v>1315</v>
      </c>
      <c r="H70" s="1204" t="s">
        <v>1316</v>
      </c>
      <c r="I70" s="1204" t="s">
        <v>1317</v>
      </c>
    </row>
    <row r="71" spans="1:9" ht="15" thickTop="1">
      <c r="B71" s="1209" t="s">
        <v>844</v>
      </c>
      <c r="C71" s="1130">
        <v>3171</v>
      </c>
      <c r="D71" s="1130">
        <v>963.3</v>
      </c>
      <c r="E71" s="1133">
        <f>D71/C71</f>
        <v>0.30378429517502364</v>
      </c>
      <c r="F71" s="1129">
        <v>2.6</v>
      </c>
      <c r="G71" s="1128">
        <v>18</v>
      </c>
      <c r="H71" s="1210">
        <v>0.69</v>
      </c>
      <c r="I71" s="1210">
        <v>2.5</v>
      </c>
    </row>
    <row r="72" spans="1:9">
      <c r="B72" s="1211" t="s">
        <v>845</v>
      </c>
      <c r="C72" s="801">
        <v>2891.7</v>
      </c>
      <c r="D72" s="801">
        <v>681.6</v>
      </c>
      <c r="E72" s="1133">
        <f t="shared" ref="E72:E73" si="7">D72/C72</f>
        <v>0.23570909845419652</v>
      </c>
      <c r="F72" s="1129">
        <v>2.4</v>
      </c>
      <c r="G72" s="1073">
        <v>141</v>
      </c>
      <c r="H72" s="1212">
        <v>6.09</v>
      </c>
      <c r="I72" s="1212">
        <v>8.16</v>
      </c>
    </row>
    <row r="73" spans="1:9" ht="15" thickBot="1">
      <c r="B73" s="1213" t="s">
        <v>846</v>
      </c>
      <c r="C73" s="1207">
        <v>3099.6</v>
      </c>
      <c r="D73" s="1207">
        <v>963.3</v>
      </c>
      <c r="E73" s="1208">
        <f t="shared" si="7"/>
        <v>0.31078203639179247</v>
      </c>
      <c r="F73" s="1206">
        <v>2.4</v>
      </c>
      <c r="G73" s="1205">
        <v>18</v>
      </c>
      <c r="H73" s="1214">
        <v>0.15</v>
      </c>
      <c r="I73" s="1214">
        <v>1.9</v>
      </c>
    </row>
    <row r="75" spans="1:9">
      <c r="A75">
        <v>45880</v>
      </c>
    </row>
    <row r="76" spans="1:9">
      <c r="A76" t="s">
        <v>759</v>
      </c>
    </row>
    <row r="77" spans="1:9">
      <c r="A77" t="s">
        <v>1325</v>
      </c>
    </row>
    <row r="79" spans="1:9" ht="39.5" thickBot="1">
      <c r="B79" s="1204" t="s">
        <v>1142</v>
      </c>
      <c r="C79" s="1204" t="s">
        <v>1311</v>
      </c>
      <c r="D79" s="1204" t="s">
        <v>1312</v>
      </c>
      <c r="E79" s="1204" t="s">
        <v>1313</v>
      </c>
      <c r="F79" s="1204" t="s">
        <v>1314</v>
      </c>
      <c r="G79" s="1204" t="s">
        <v>1315</v>
      </c>
      <c r="H79" s="1204" t="s">
        <v>1316</v>
      </c>
      <c r="I79" s="1204" t="s">
        <v>1317</v>
      </c>
    </row>
    <row r="80" spans="1:9" ht="15" thickTop="1">
      <c r="B80" s="1209" t="s">
        <v>844</v>
      </c>
      <c r="C80" s="1130">
        <v>3444.7</v>
      </c>
      <c r="D80" s="1130">
        <v>1045.4000000000001</v>
      </c>
      <c r="E80" s="1133">
        <f>D80/C80</f>
        <v>0.30348070949574713</v>
      </c>
      <c r="F80" s="1215">
        <v>2.7</v>
      </c>
      <c r="G80" s="1128">
        <v>18</v>
      </c>
      <c r="H80" s="1210">
        <v>0.71</v>
      </c>
      <c r="I80" s="1210">
        <v>2.33</v>
      </c>
    </row>
    <row r="81" spans="1:9">
      <c r="B81" s="1211" t="s">
        <v>845</v>
      </c>
      <c r="C81" s="801">
        <v>2988.4</v>
      </c>
      <c r="D81" s="801">
        <v>477.2</v>
      </c>
      <c r="E81" s="1133">
        <f t="shared" ref="E81:E82" si="8">D81/C81</f>
        <v>0.15968411189934412</v>
      </c>
      <c r="F81" s="1129">
        <v>2.7</v>
      </c>
      <c r="G81" s="1073">
        <v>99</v>
      </c>
      <c r="H81" s="1212">
        <v>5.91</v>
      </c>
      <c r="I81" s="1212">
        <v>8.07</v>
      </c>
    </row>
    <row r="82" spans="1:9" ht="15" thickBot="1">
      <c r="B82" s="1213" t="s">
        <v>846</v>
      </c>
      <c r="C82" s="1207">
        <v>3095</v>
      </c>
      <c r="D82" s="1207">
        <v>1025.2</v>
      </c>
      <c r="E82" s="1208">
        <f t="shared" si="8"/>
        <v>0.33124394184168016</v>
      </c>
      <c r="F82" s="1216">
        <v>2.6</v>
      </c>
      <c r="G82" s="1205">
        <v>21</v>
      </c>
      <c r="H82" s="1214">
        <v>0.16</v>
      </c>
      <c r="I82" s="1214">
        <v>1.73</v>
      </c>
    </row>
    <row r="84" spans="1:9">
      <c r="A84">
        <v>45880</v>
      </c>
    </row>
    <row r="85" spans="1:9">
      <c r="A85" t="s">
        <v>758</v>
      </c>
    </row>
    <row r="86" spans="1:9">
      <c r="A86" t="s">
        <v>1326</v>
      </c>
    </row>
    <row r="88" spans="1:9" ht="39.5" thickBot="1">
      <c r="B88" s="1204" t="s">
        <v>1142</v>
      </c>
      <c r="C88" s="1204" t="s">
        <v>1311</v>
      </c>
      <c r="D88" s="1204" t="s">
        <v>1312</v>
      </c>
      <c r="E88" s="1204" t="s">
        <v>1313</v>
      </c>
      <c r="F88" s="1204" t="s">
        <v>1314</v>
      </c>
      <c r="G88" s="1204" t="s">
        <v>1315</v>
      </c>
      <c r="H88" s="1204" t="s">
        <v>1316</v>
      </c>
      <c r="I88" s="1204" t="s">
        <v>1317</v>
      </c>
    </row>
    <row r="89" spans="1:9" ht="15" thickTop="1">
      <c r="B89" s="1209" t="s">
        <v>844</v>
      </c>
      <c r="C89" s="1130">
        <v>6499.3</v>
      </c>
      <c r="D89" s="1130">
        <v>1961.8</v>
      </c>
      <c r="E89" s="1133">
        <f>D89/C89</f>
        <v>0.30184789131137196</v>
      </c>
      <c r="F89" s="1215">
        <v>5.3</v>
      </c>
      <c r="G89" s="1128">
        <v>36</v>
      </c>
      <c r="H89" s="1210">
        <v>0.69</v>
      </c>
      <c r="I89" s="1210">
        <v>2.33</v>
      </c>
    </row>
    <row r="90" spans="1:9">
      <c r="B90" s="1211" t="s">
        <v>845</v>
      </c>
      <c r="C90" s="801">
        <v>2175.5</v>
      </c>
      <c r="D90" s="801">
        <v>333.4</v>
      </c>
      <c r="E90" s="1133">
        <f t="shared" ref="E90:E91" si="9">D90/C90</f>
        <v>0.1532521259480579</v>
      </c>
      <c r="F90" s="1129">
        <v>2</v>
      </c>
      <c r="G90" s="1073">
        <v>36</v>
      </c>
      <c r="H90" s="1212">
        <v>2.98</v>
      </c>
      <c r="I90" s="1212">
        <v>4.2699999999999996</v>
      </c>
    </row>
    <row r="91" spans="1:9" ht="15" thickBot="1">
      <c r="B91" s="1213" t="s">
        <v>846</v>
      </c>
      <c r="C91" s="1207">
        <v>1511.3</v>
      </c>
      <c r="D91" s="1207">
        <v>582</v>
      </c>
      <c r="E91" s="1208">
        <f t="shared" si="9"/>
        <v>0.38509892145834712</v>
      </c>
      <c r="F91" s="1216">
        <v>1.1000000000000001</v>
      </c>
      <c r="G91" s="1205">
        <v>12</v>
      </c>
      <c r="H91" s="1214">
        <v>0.17</v>
      </c>
      <c r="I91" s="1214">
        <v>1.82</v>
      </c>
    </row>
    <row r="93" spans="1:9">
      <c r="A93">
        <v>45881</v>
      </c>
    </row>
    <row r="94" spans="1:9">
      <c r="A94" t="s">
        <v>759</v>
      </c>
    </row>
    <row r="95" spans="1:9">
      <c r="A95" t="s">
        <v>1327</v>
      </c>
    </row>
    <row r="97" spans="1:9" ht="39.5" thickBot="1">
      <c r="B97" s="1204" t="s">
        <v>1142</v>
      </c>
      <c r="C97" s="1204" t="s">
        <v>1311</v>
      </c>
      <c r="D97" s="1204" t="s">
        <v>1312</v>
      </c>
      <c r="E97" s="1204" t="s">
        <v>1313</v>
      </c>
      <c r="F97" s="1204" t="s">
        <v>1314</v>
      </c>
      <c r="G97" s="1204" t="s">
        <v>1315</v>
      </c>
      <c r="H97" s="1204" t="s">
        <v>1316</v>
      </c>
      <c r="I97" s="1204" t="s">
        <v>1317</v>
      </c>
    </row>
    <row r="98" spans="1:9" ht="15" thickTop="1">
      <c r="B98" s="1209" t="s">
        <v>844</v>
      </c>
      <c r="C98" s="1130">
        <v>3866</v>
      </c>
      <c r="D98" s="1130">
        <v>1171.8</v>
      </c>
      <c r="E98" s="1133">
        <f>D98/C98</f>
        <v>0.30310398344542161</v>
      </c>
      <c r="F98" s="1215">
        <v>3.1</v>
      </c>
      <c r="G98" s="1128">
        <v>21</v>
      </c>
      <c r="H98" s="1210">
        <v>0.67600000000000005</v>
      </c>
      <c r="I98" s="1210">
        <v>2.4300000000000002</v>
      </c>
    </row>
    <row r="99" spans="1:9">
      <c r="B99" s="1211" t="s">
        <v>845</v>
      </c>
      <c r="C99" s="801">
        <v>4105.3999999999996</v>
      </c>
      <c r="D99" s="801">
        <v>719.1</v>
      </c>
      <c r="E99" s="1133">
        <f t="shared" ref="E99:E100" si="10">D99/C99</f>
        <v>0.1751595459638525</v>
      </c>
      <c r="F99" s="1129">
        <v>3.6</v>
      </c>
      <c r="G99" s="1073">
        <v>162</v>
      </c>
      <c r="H99" s="1212">
        <v>6.22</v>
      </c>
      <c r="I99" s="1212">
        <v>9.2200000000000006</v>
      </c>
    </row>
    <row r="100" spans="1:9" ht="15" thickBot="1">
      <c r="B100" s="1213" t="s">
        <v>846</v>
      </c>
      <c r="C100" s="1207">
        <v>4314.3</v>
      </c>
      <c r="D100" s="1207">
        <v>1390.3</v>
      </c>
      <c r="E100" s="1208">
        <f t="shared" si="10"/>
        <v>0.32225389982152375</v>
      </c>
      <c r="F100" s="1216">
        <v>3.4</v>
      </c>
      <c r="G100" s="1205">
        <v>27</v>
      </c>
      <c r="H100" s="1214">
        <v>0.183</v>
      </c>
      <c r="I100" s="1214">
        <v>1.82</v>
      </c>
    </row>
    <row r="102" spans="1:9">
      <c r="A102">
        <v>45881</v>
      </c>
    </row>
    <row r="103" spans="1:9">
      <c r="A103" t="s">
        <v>758</v>
      </c>
    </row>
    <row r="104" spans="1:9">
      <c r="A104" t="s">
        <v>1328</v>
      </c>
    </row>
    <row r="106" spans="1:9" ht="39.5" thickBot="1">
      <c r="B106" s="1204" t="s">
        <v>1142</v>
      </c>
      <c r="C106" s="1204" t="s">
        <v>1311</v>
      </c>
      <c r="D106" s="1204" t="s">
        <v>1312</v>
      </c>
      <c r="E106" s="1204" t="s">
        <v>1313</v>
      </c>
      <c r="F106" s="1204" t="s">
        <v>1314</v>
      </c>
      <c r="G106" s="1204" t="s">
        <v>1315</v>
      </c>
      <c r="H106" s="1204" t="s">
        <v>1316</v>
      </c>
      <c r="I106" s="1204" t="s">
        <v>1317</v>
      </c>
    </row>
    <row r="107" spans="1:9" ht="15" thickTop="1">
      <c r="B107" s="1209" t="s">
        <v>844</v>
      </c>
      <c r="C107" s="1130">
        <v>1877.7</v>
      </c>
      <c r="D107" s="1130">
        <v>575.29999999999995</v>
      </c>
      <c r="E107" s="1133">
        <f>D107/C107</f>
        <v>0.3063854715875805</v>
      </c>
      <c r="F107" s="1215">
        <v>1.7</v>
      </c>
      <c r="G107" s="1128">
        <v>12</v>
      </c>
      <c r="H107" s="1210">
        <v>0.69799999999999995</v>
      </c>
      <c r="I107" s="1210">
        <v>2.2799999999999998</v>
      </c>
    </row>
    <row r="108" spans="1:9">
      <c r="B108" s="1211" t="s">
        <v>845</v>
      </c>
      <c r="C108" s="801">
        <v>1788.6</v>
      </c>
      <c r="D108" s="801">
        <v>284.8</v>
      </c>
      <c r="E108" s="1133">
        <f t="shared" ref="E108:E109" si="11">D108/C108</f>
        <v>0.15923068321592307</v>
      </c>
      <c r="F108" s="1129">
        <v>1.6</v>
      </c>
      <c r="G108" s="1073">
        <v>60</v>
      </c>
      <c r="H108" s="1212">
        <v>6.02</v>
      </c>
      <c r="I108" s="1212">
        <v>8.77</v>
      </c>
    </row>
    <row r="109" spans="1:9" ht="15" thickBot="1">
      <c r="B109" s="1213" t="s">
        <v>846</v>
      </c>
      <c r="C109" s="1207">
        <v>1901.8</v>
      </c>
      <c r="D109" s="1207">
        <v>631.70000000000005</v>
      </c>
      <c r="E109" s="1208">
        <f t="shared" si="11"/>
        <v>0.33215900725628356</v>
      </c>
      <c r="F109" s="1216">
        <v>1.5</v>
      </c>
      <c r="G109" s="1205">
        <v>12</v>
      </c>
      <c r="H109" s="1214">
        <v>0.161</v>
      </c>
      <c r="I109" s="1214">
        <v>1.72</v>
      </c>
    </row>
    <row r="111" spans="1:9">
      <c r="A111">
        <v>45882</v>
      </c>
    </row>
    <row r="112" spans="1:9">
      <c r="A112" t="s">
        <v>759</v>
      </c>
    </row>
    <row r="113" spans="1:9">
      <c r="A113" t="s">
        <v>1329</v>
      </c>
    </row>
    <row r="115" spans="1:9" ht="39.5" thickBot="1">
      <c r="B115" s="1204" t="s">
        <v>1142</v>
      </c>
      <c r="C115" s="1204" t="s">
        <v>1311</v>
      </c>
      <c r="D115" s="1204" t="s">
        <v>1312</v>
      </c>
      <c r="E115" s="1204" t="s">
        <v>1313</v>
      </c>
      <c r="F115" s="1204" t="s">
        <v>1314</v>
      </c>
      <c r="G115" s="1204" t="s">
        <v>1315</v>
      </c>
      <c r="H115" s="1204" t="s">
        <v>1316</v>
      </c>
      <c r="I115" s="1204" t="s">
        <v>1317</v>
      </c>
    </row>
    <row r="116" spans="1:9" ht="15" thickTop="1">
      <c r="B116" s="1209" t="s">
        <v>844</v>
      </c>
      <c r="C116" s="1130">
        <v>3022.7</v>
      </c>
      <c r="D116" s="1130">
        <v>918.8</v>
      </c>
      <c r="E116" s="1133">
        <f>D116/C116</f>
        <v>0.30396665233069775</v>
      </c>
      <c r="F116" s="1215">
        <v>2.5</v>
      </c>
      <c r="G116" s="1128">
        <v>18</v>
      </c>
      <c r="H116" s="1210">
        <v>0.68300000000000005</v>
      </c>
      <c r="I116" s="1210">
        <v>2.42</v>
      </c>
    </row>
    <row r="117" spans="1:9">
      <c r="B117" s="1211" t="s">
        <v>845</v>
      </c>
      <c r="C117" s="801">
        <v>3539.1</v>
      </c>
      <c r="D117" s="801">
        <v>606.5</v>
      </c>
      <c r="E117" s="1133">
        <f t="shared" ref="E117:E118" si="12">D117/C117</f>
        <v>0.17137125257833913</v>
      </c>
      <c r="F117" s="1129">
        <v>3.1</v>
      </c>
      <c r="G117" s="1073">
        <v>129</v>
      </c>
      <c r="H117" s="1212">
        <v>6.16</v>
      </c>
      <c r="I117" s="1212">
        <v>10.3</v>
      </c>
    </row>
    <row r="118" spans="1:9" ht="15" thickBot="1">
      <c r="B118" s="1213" t="s">
        <v>846</v>
      </c>
      <c r="C118" s="1207">
        <v>3230.2</v>
      </c>
      <c r="D118" s="1207">
        <v>1050.5999999999999</v>
      </c>
      <c r="E118" s="1208">
        <f t="shared" si="12"/>
        <v>0.32524301900811092</v>
      </c>
      <c r="F118" s="1216">
        <v>2.6</v>
      </c>
      <c r="G118" s="1205">
        <v>21</v>
      </c>
      <c r="H118" s="1214">
        <v>0.16400000000000001</v>
      </c>
      <c r="I118" s="1214">
        <v>1.72</v>
      </c>
    </row>
    <row r="120" spans="1:9">
      <c r="A120">
        <v>45882</v>
      </c>
    </row>
    <row r="121" spans="1:9">
      <c r="A121" t="s">
        <v>758</v>
      </c>
    </row>
    <row r="122" spans="1:9">
      <c r="A122" t="s">
        <v>1330</v>
      </c>
    </row>
    <row r="124" spans="1:9" ht="39.5" thickBot="1">
      <c r="B124" s="1204" t="s">
        <v>1142</v>
      </c>
      <c r="C124" s="1204" t="s">
        <v>1311</v>
      </c>
      <c r="D124" s="1204" t="s">
        <v>1312</v>
      </c>
      <c r="E124" s="1204" t="s">
        <v>1313</v>
      </c>
      <c r="F124" s="1204" t="s">
        <v>1314</v>
      </c>
      <c r="G124" s="1204" t="s">
        <v>1315</v>
      </c>
      <c r="H124" s="1204" t="s">
        <v>1316</v>
      </c>
      <c r="I124" s="1204" t="s">
        <v>1317</v>
      </c>
    </row>
    <row r="125" spans="1:9" ht="15" thickTop="1">
      <c r="B125" s="1209" t="s">
        <v>844</v>
      </c>
      <c r="C125" s="1130">
        <v>1853</v>
      </c>
      <c r="D125" s="1130">
        <v>567.9</v>
      </c>
      <c r="E125" s="1133">
        <f>D125/C125</f>
        <v>0.30647598488936856</v>
      </c>
      <c r="F125" s="1215">
        <v>1.7</v>
      </c>
      <c r="G125" s="1128">
        <v>12</v>
      </c>
      <c r="H125" s="1210">
        <v>0.68100000000000005</v>
      </c>
      <c r="I125" s="1210">
        <v>2.2999999999999998</v>
      </c>
    </row>
    <row r="126" spans="1:9">
      <c r="B126" s="1211" t="s">
        <v>845</v>
      </c>
      <c r="C126" s="801">
        <v>2559</v>
      </c>
      <c r="D126" s="801">
        <v>429.5</v>
      </c>
      <c r="E126" s="1133">
        <f t="shared" ref="E126:E127" si="13">D126/C126</f>
        <v>0.16783899960922236</v>
      </c>
      <c r="F126" s="1129">
        <v>2.2999999999999998</v>
      </c>
      <c r="G126" s="1073">
        <v>108</v>
      </c>
      <c r="H126" s="1212">
        <v>6.87</v>
      </c>
      <c r="I126" s="1212">
        <v>8.23</v>
      </c>
    </row>
    <row r="127" spans="1:9" ht="15" thickBot="1">
      <c r="B127" s="1213" t="s">
        <v>846</v>
      </c>
      <c r="C127" s="1207">
        <v>1976.1</v>
      </c>
      <c r="D127" s="1207">
        <v>640.9</v>
      </c>
      <c r="E127" s="1208">
        <f t="shared" si="13"/>
        <v>0.32432569201963463</v>
      </c>
      <c r="F127" s="1216">
        <v>1.6</v>
      </c>
      <c r="G127" s="1205">
        <v>12</v>
      </c>
      <c r="H127" s="1214">
        <v>0.186</v>
      </c>
      <c r="I127" s="1214">
        <v>1.95</v>
      </c>
    </row>
    <row r="129" spans="1:9">
      <c r="A129">
        <v>45883</v>
      </c>
    </row>
    <row r="130" spans="1:9">
      <c r="A130" t="s">
        <v>759</v>
      </c>
    </row>
    <row r="131" spans="1:9">
      <c r="A131" t="s">
        <v>1331</v>
      </c>
    </row>
    <row r="133" spans="1:9" ht="39.5" thickBot="1">
      <c r="B133" s="1204" t="s">
        <v>1142</v>
      </c>
      <c r="C133" s="1204" t="s">
        <v>1311</v>
      </c>
      <c r="D133" s="1204" t="s">
        <v>1312</v>
      </c>
      <c r="E133" s="1204" t="s">
        <v>1313</v>
      </c>
      <c r="F133" s="1204" t="s">
        <v>1314</v>
      </c>
      <c r="G133" s="1204" t="s">
        <v>1315</v>
      </c>
      <c r="H133" s="1204" t="s">
        <v>1316</v>
      </c>
      <c r="I133" s="1204" t="s">
        <v>1317</v>
      </c>
    </row>
    <row r="134" spans="1:9" ht="15" thickTop="1">
      <c r="B134" s="1209" t="s">
        <v>844</v>
      </c>
      <c r="C134" s="1130">
        <v>3280</v>
      </c>
      <c r="D134" s="1130">
        <v>996</v>
      </c>
      <c r="E134" s="1133">
        <f>D134/C134</f>
        <v>0.30365853658536585</v>
      </c>
      <c r="F134" s="1215">
        <v>2.6</v>
      </c>
      <c r="G134" s="1128">
        <v>18</v>
      </c>
      <c r="H134" s="1210">
        <v>0.68300000000000005</v>
      </c>
      <c r="I134" s="1210">
        <v>2.4</v>
      </c>
    </row>
    <row r="135" spans="1:9">
      <c r="B135" s="1211" t="s">
        <v>845</v>
      </c>
      <c r="C135" s="801">
        <v>2730.7</v>
      </c>
      <c r="D135" s="801">
        <v>505.4</v>
      </c>
      <c r="E135" s="1133">
        <f t="shared" ref="E135:E136" si="14">D135/C135</f>
        <v>0.18508074852601897</v>
      </c>
      <c r="F135" s="1129">
        <v>2.4</v>
      </c>
      <c r="G135" s="1073">
        <v>129</v>
      </c>
      <c r="H135" s="1212">
        <v>6.92</v>
      </c>
      <c r="I135" s="1212">
        <v>8.8699999999999992</v>
      </c>
    </row>
    <row r="136" spans="1:9" ht="15" thickBot="1">
      <c r="B136" s="1213" t="s">
        <v>846</v>
      </c>
      <c r="C136" s="1207">
        <v>3453.5</v>
      </c>
      <c r="D136" s="1207">
        <v>1096.7</v>
      </c>
      <c r="E136" s="1208">
        <f t="shared" si="14"/>
        <v>0.31756189373099752</v>
      </c>
      <c r="F136" s="1216">
        <v>2.8</v>
      </c>
      <c r="G136" s="1205">
        <v>21</v>
      </c>
      <c r="H136" s="1214">
        <v>0.191</v>
      </c>
      <c r="I136" s="1214">
        <v>2.0299999999999998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E9BEE-D0AE-4B54-B1B8-ABB8B59707D0}">
  <dimension ref="A1:I128"/>
  <sheetViews>
    <sheetView workbookViewId="0"/>
  </sheetViews>
  <sheetFormatPr baseColWidth="10" defaultRowHeight="14.5"/>
  <sheetData>
    <row r="1" spans="1:9">
      <c r="A1" t="s">
        <v>1332</v>
      </c>
    </row>
    <row r="2" spans="1:9">
      <c r="A2">
        <v>45887</v>
      </c>
    </row>
    <row r="3" spans="1:9">
      <c r="A3" t="s">
        <v>759</v>
      </c>
    </row>
    <row r="4" spans="1:9">
      <c r="A4" t="s">
        <v>1334</v>
      </c>
    </row>
    <row r="5" spans="1:9" ht="39.5" thickBot="1">
      <c r="B5" s="1204" t="s">
        <v>1142</v>
      </c>
      <c r="C5" s="1204" t="s">
        <v>1311</v>
      </c>
      <c r="D5" s="1204" t="s">
        <v>1312</v>
      </c>
      <c r="E5" s="1204" t="s">
        <v>1313</v>
      </c>
      <c r="F5" s="1204" t="s">
        <v>1314</v>
      </c>
      <c r="G5" s="1204" t="s">
        <v>1315</v>
      </c>
      <c r="H5" s="1204" t="s">
        <v>1316</v>
      </c>
      <c r="I5" s="1204" t="s">
        <v>1317</v>
      </c>
    </row>
    <row r="6" spans="1:9" ht="15" thickTop="1">
      <c r="B6" s="1209" t="s">
        <v>844</v>
      </c>
      <c r="C6" s="1130">
        <v>1901.7</v>
      </c>
      <c r="D6" s="1130">
        <v>582.5</v>
      </c>
      <c r="E6" s="1133">
        <f>D6/C6</f>
        <v>0.30630488510280274</v>
      </c>
      <c r="F6" s="1129">
        <v>1.8</v>
      </c>
      <c r="G6" s="1128">
        <v>12</v>
      </c>
      <c r="H6" s="1210">
        <v>0.68799999999999994</v>
      </c>
      <c r="I6" s="1210">
        <v>2.38</v>
      </c>
    </row>
    <row r="7" spans="1:9">
      <c r="B7" s="1211" t="s">
        <v>845</v>
      </c>
      <c r="C7" s="801">
        <v>2541.1</v>
      </c>
      <c r="D7" s="801">
        <v>482.1</v>
      </c>
      <c r="E7" s="1133">
        <f t="shared" ref="E7:E8" si="0">D7/C7</f>
        <v>0.18972098697414508</v>
      </c>
      <c r="F7" s="906">
        <v>2.2999999999999998</v>
      </c>
      <c r="G7" s="1073">
        <v>63</v>
      </c>
      <c r="H7" s="1212">
        <v>3.8279999999999998</v>
      </c>
      <c r="I7" s="1212">
        <v>10.199999999999999</v>
      </c>
    </row>
    <row r="8" spans="1:9" ht="15" thickBot="1">
      <c r="B8" s="1213" t="s">
        <v>846</v>
      </c>
      <c r="C8" s="1207">
        <v>1513.7</v>
      </c>
      <c r="D8" s="1207">
        <v>513.29999999999995</v>
      </c>
      <c r="E8" s="1208">
        <f t="shared" si="0"/>
        <v>0.33910286054039768</v>
      </c>
      <c r="F8" s="1206">
        <v>1.4</v>
      </c>
      <c r="G8" s="1205">
        <v>12</v>
      </c>
      <c r="H8" s="1214">
        <v>0.13100000000000001</v>
      </c>
      <c r="I8" s="1214">
        <v>1.02</v>
      </c>
    </row>
    <row r="10" spans="1:9">
      <c r="A10">
        <v>45887</v>
      </c>
    </row>
    <row r="11" spans="1:9">
      <c r="A11" t="s">
        <v>758</v>
      </c>
    </row>
    <row r="12" spans="1:9">
      <c r="A12" t="s">
        <v>1335</v>
      </c>
    </row>
    <row r="13" spans="1:9" ht="39.5" thickBot="1">
      <c r="B13" s="1204" t="s">
        <v>1142</v>
      </c>
      <c r="C13" s="1204" t="s">
        <v>1311</v>
      </c>
      <c r="D13" s="1204" t="s">
        <v>1312</v>
      </c>
      <c r="E13" s="1204" t="s">
        <v>1313</v>
      </c>
      <c r="F13" s="1204" t="s">
        <v>1314</v>
      </c>
      <c r="G13" s="1204" t="s">
        <v>1315</v>
      </c>
      <c r="H13" s="1204" t="s">
        <v>1316</v>
      </c>
      <c r="I13" s="1204" t="s">
        <v>1317</v>
      </c>
    </row>
    <row r="14" spans="1:9" ht="15" thickTop="1">
      <c r="B14" s="1209" t="s">
        <v>844</v>
      </c>
      <c r="C14" s="1130">
        <v>4218.7</v>
      </c>
      <c r="D14" s="1130">
        <v>1277.5999999999999</v>
      </c>
      <c r="E14" s="1133">
        <f>D14/C14</f>
        <v>0.30284210775831416</v>
      </c>
      <c r="F14" s="1129">
        <v>4</v>
      </c>
      <c r="G14" s="1128">
        <v>27</v>
      </c>
      <c r="H14" s="1210">
        <v>0.68100000000000005</v>
      </c>
      <c r="I14" s="1210">
        <v>2.33</v>
      </c>
    </row>
    <row r="15" spans="1:9">
      <c r="B15" s="1211" t="s">
        <v>845</v>
      </c>
      <c r="C15" s="801">
        <v>4024.6</v>
      </c>
      <c r="D15" s="801">
        <v>732.6</v>
      </c>
      <c r="E15" s="1133">
        <f t="shared" ref="E15:E16" si="1">D15/C15</f>
        <v>0.18203051234905332</v>
      </c>
      <c r="F15" s="906">
        <v>3.5</v>
      </c>
      <c r="G15" s="1073">
        <v>81</v>
      </c>
      <c r="H15" s="1212">
        <v>3.2949999999999999</v>
      </c>
      <c r="I15" s="1212">
        <v>11</v>
      </c>
    </row>
    <row r="16" spans="1:9" ht="15" thickBot="1">
      <c r="B16" s="1213" t="s">
        <v>846</v>
      </c>
      <c r="C16" s="1207">
        <v>4510.1000000000004</v>
      </c>
      <c r="D16" s="1207">
        <v>1564.8</v>
      </c>
      <c r="E16" s="1208">
        <f t="shared" si="1"/>
        <v>0.34695461297975649</v>
      </c>
      <c r="F16" s="1206">
        <v>3.5</v>
      </c>
      <c r="G16" s="1205">
        <v>33</v>
      </c>
      <c r="H16" s="1214">
        <v>0.14499999999999999</v>
      </c>
      <c r="I16" s="1214">
        <v>0.98</v>
      </c>
    </row>
    <row r="18" spans="1:9">
      <c r="A18">
        <v>45888</v>
      </c>
    </row>
    <row r="19" spans="1:9">
      <c r="A19" t="s">
        <v>759</v>
      </c>
    </row>
    <row r="20" spans="1:9">
      <c r="A20" t="s">
        <v>1336</v>
      </c>
    </row>
    <row r="21" spans="1:9" ht="39.5" thickBot="1">
      <c r="B21" s="1204" t="s">
        <v>1142</v>
      </c>
      <c r="C21" s="1204" t="s">
        <v>1311</v>
      </c>
      <c r="D21" s="1204" t="s">
        <v>1312</v>
      </c>
      <c r="E21" s="1204" t="s">
        <v>1313</v>
      </c>
      <c r="F21" s="1204" t="s">
        <v>1314</v>
      </c>
      <c r="G21" s="1204" t="s">
        <v>1315</v>
      </c>
      <c r="H21" s="1204" t="s">
        <v>1316</v>
      </c>
      <c r="I21" s="1204" t="s">
        <v>1317</v>
      </c>
    </row>
    <row r="22" spans="1:9" ht="15" thickTop="1">
      <c r="B22" s="1209" t="s">
        <v>844</v>
      </c>
      <c r="C22" s="1130">
        <v>1966.7</v>
      </c>
      <c r="D22" s="1130">
        <v>602</v>
      </c>
      <c r="E22" s="1133">
        <f>D22/C22</f>
        <v>0.30609650683886713</v>
      </c>
      <c r="F22" s="1129">
        <v>2</v>
      </c>
      <c r="G22" s="1128">
        <v>15</v>
      </c>
      <c r="H22" s="1210">
        <v>0.66500000000000004</v>
      </c>
      <c r="I22" s="1210">
        <v>2.36</v>
      </c>
    </row>
    <row r="23" spans="1:9">
      <c r="B23" s="1211" t="s">
        <v>845</v>
      </c>
      <c r="C23" s="801">
        <v>3042.2</v>
      </c>
      <c r="D23" s="801">
        <v>680.6</v>
      </c>
      <c r="E23" s="1133">
        <f t="shared" ref="E23:E24" si="2">D23/C23</f>
        <v>0.22371967654986524</v>
      </c>
      <c r="F23" s="906">
        <v>2.6</v>
      </c>
      <c r="G23" s="1073">
        <v>114</v>
      </c>
      <c r="H23" s="1212">
        <v>5.08</v>
      </c>
      <c r="I23" s="1212">
        <v>16</v>
      </c>
    </row>
    <row r="24" spans="1:9" ht="15" thickBot="1">
      <c r="B24" s="1213" t="s">
        <v>846</v>
      </c>
      <c r="C24" s="1207">
        <v>2187.8000000000002</v>
      </c>
      <c r="D24" s="1207">
        <v>694</v>
      </c>
      <c r="E24" s="1208">
        <f t="shared" si="2"/>
        <v>0.31721363927232832</v>
      </c>
      <c r="F24" s="1206">
        <v>1.9</v>
      </c>
      <c r="G24" s="1205">
        <v>15</v>
      </c>
      <c r="H24" s="1214">
        <v>0.124</v>
      </c>
      <c r="I24" s="1214">
        <v>0.98</v>
      </c>
    </row>
    <row r="26" spans="1:9">
      <c r="A26">
        <v>45888</v>
      </c>
    </row>
    <row r="27" spans="1:9">
      <c r="A27" t="s">
        <v>758</v>
      </c>
    </row>
    <row r="28" spans="1:9">
      <c r="A28" t="s">
        <v>1337</v>
      </c>
    </row>
    <row r="29" spans="1:9" ht="39.5" thickBot="1">
      <c r="B29" s="1204" t="s">
        <v>1142</v>
      </c>
      <c r="C29" s="1204" t="s">
        <v>1311</v>
      </c>
      <c r="D29" s="1204" t="s">
        <v>1312</v>
      </c>
      <c r="E29" s="1204" t="s">
        <v>1313</v>
      </c>
      <c r="F29" s="1204" t="s">
        <v>1314</v>
      </c>
      <c r="G29" s="1204" t="s">
        <v>1315</v>
      </c>
      <c r="H29" s="1204" t="s">
        <v>1316</v>
      </c>
      <c r="I29" s="1204" t="s">
        <v>1317</v>
      </c>
    </row>
    <row r="30" spans="1:9" ht="15" thickTop="1">
      <c r="B30" s="1209" t="s">
        <v>844</v>
      </c>
      <c r="C30" s="1130">
        <v>4023.3</v>
      </c>
      <c r="D30" s="1130">
        <v>1219</v>
      </c>
      <c r="E30" s="1133">
        <f>D30/C30</f>
        <v>0.3029851117242065</v>
      </c>
      <c r="F30" s="1129">
        <v>3.5</v>
      </c>
      <c r="G30" s="1128">
        <v>24</v>
      </c>
      <c r="H30" s="1210">
        <v>0.66200000000000003</v>
      </c>
      <c r="I30" s="1210">
        <v>2.35</v>
      </c>
    </row>
    <row r="31" spans="1:9">
      <c r="B31" s="1211" t="s">
        <v>845</v>
      </c>
      <c r="C31" s="801">
        <v>3803.6</v>
      </c>
      <c r="D31" s="801">
        <v>653.20000000000005</v>
      </c>
      <c r="E31" s="1133">
        <f t="shared" ref="E31:E32" si="3">D31/C31</f>
        <v>0.17173204332737407</v>
      </c>
      <c r="F31" s="906">
        <v>3.5</v>
      </c>
      <c r="G31" s="1073">
        <v>57</v>
      </c>
      <c r="H31" s="1212">
        <v>2.6709999999999998</v>
      </c>
      <c r="I31" s="1212">
        <v>7.9</v>
      </c>
    </row>
    <row r="32" spans="1:9" ht="15" thickBot="1">
      <c r="B32" s="1213" t="s">
        <v>846</v>
      </c>
      <c r="C32" s="1207">
        <v>4350.8999999999996</v>
      </c>
      <c r="D32" s="1207">
        <v>1644.9</v>
      </c>
      <c r="E32" s="1208">
        <f t="shared" si="3"/>
        <v>0.3780597117837689</v>
      </c>
      <c r="F32" s="1206">
        <v>3.4</v>
      </c>
      <c r="G32" s="1205">
        <v>39</v>
      </c>
      <c r="H32" s="1214">
        <v>0.13200000000000001</v>
      </c>
      <c r="I32" s="1214">
        <v>1.01</v>
      </c>
    </row>
    <row r="34" spans="1:9">
      <c r="A34">
        <v>45889</v>
      </c>
    </row>
    <row r="35" spans="1:9">
      <c r="A35" t="s">
        <v>759</v>
      </c>
    </row>
    <row r="36" spans="1:9">
      <c r="A36" t="s">
        <v>1338</v>
      </c>
    </row>
    <row r="37" spans="1:9" ht="39.5" thickBot="1">
      <c r="B37" s="1204" t="s">
        <v>1142</v>
      </c>
      <c r="C37" s="1204" t="s">
        <v>1311</v>
      </c>
      <c r="D37" s="1204" t="s">
        <v>1312</v>
      </c>
      <c r="E37" s="1204" t="s">
        <v>1313</v>
      </c>
      <c r="F37" s="1204" t="s">
        <v>1314</v>
      </c>
      <c r="G37" s="1204" t="s">
        <v>1315</v>
      </c>
      <c r="H37" s="1204" t="s">
        <v>1316</v>
      </c>
      <c r="I37" s="1204" t="s">
        <v>1317</v>
      </c>
    </row>
    <row r="38" spans="1:9" ht="15" thickTop="1">
      <c r="B38" s="1209" t="s">
        <v>844</v>
      </c>
      <c r="C38" s="1130">
        <v>1901.3</v>
      </c>
      <c r="D38" s="1130">
        <v>582.4</v>
      </c>
      <c r="E38" s="1133">
        <f>D38/C38</f>
        <v>0.30631673065797088</v>
      </c>
      <c r="F38" s="1129">
        <v>1.8</v>
      </c>
      <c r="G38" s="1128">
        <v>12</v>
      </c>
      <c r="H38" s="1210">
        <v>0.69599999999999995</v>
      </c>
      <c r="I38" s="1210">
        <v>2.46</v>
      </c>
    </row>
    <row r="39" spans="1:9">
      <c r="B39" s="1211" t="s">
        <v>845</v>
      </c>
      <c r="C39" s="801">
        <v>2596.9</v>
      </c>
      <c r="D39" s="801">
        <v>461.3</v>
      </c>
      <c r="E39" s="1133">
        <f t="shared" ref="E39:E40" si="4">D39/C39</f>
        <v>0.17763487234779929</v>
      </c>
      <c r="F39" s="906">
        <v>2.2999999999999998</v>
      </c>
      <c r="G39" s="1073">
        <v>54</v>
      </c>
      <c r="H39" s="1212">
        <v>3.327</v>
      </c>
      <c r="I39" s="1212">
        <v>8.92</v>
      </c>
    </row>
    <row r="40" spans="1:9" ht="15" thickBot="1">
      <c r="B40" s="1213" t="s">
        <v>846</v>
      </c>
      <c r="C40" s="1207">
        <v>1839.7</v>
      </c>
      <c r="D40" s="1207">
        <v>646.4</v>
      </c>
      <c r="E40" s="1208">
        <f t="shared" si="4"/>
        <v>0.35136163504919277</v>
      </c>
      <c r="F40" s="1206">
        <v>1.6</v>
      </c>
      <c r="G40" s="1205">
        <v>15</v>
      </c>
      <c r="H40" s="1214">
        <v>0.155</v>
      </c>
      <c r="I40" s="1214">
        <v>1.26</v>
      </c>
    </row>
    <row r="42" spans="1:9">
      <c r="A42">
        <v>45889</v>
      </c>
    </row>
    <row r="43" spans="1:9">
      <c r="A43" t="s">
        <v>758</v>
      </c>
    </row>
    <row r="44" spans="1:9">
      <c r="A44" t="s">
        <v>1339</v>
      </c>
    </row>
    <row r="45" spans="1:9" ht="39.5" thickBot="1">
      <c r="B45" s="1204" t="s">
        <v>1142</v>
      </c>
      <c r="C45" s="1204" t="s">
        <v>1311</v>
      </c>
      <c r="D45" s="1204" t="s">
        <v>1312</v>
      </c>
      <c r="E45" s="1204" t="s">
        <v>1313</v>
      </c>
      <c r="F45" s="1204" t="s">
        <v>1314</v>
      </c>
      <c r="G45" s="1204" t="s">
        <v>1315</v>
      </c>
      <c r="H45" s="1204" t="s">
        <v>1316</v>
      </c>
      <c r="I45" s="1204" t="s">
        <v>1317</v>
      </c>
    </row>
    <row r="46" spans="1:9" ht="15" thickTop="1">
      <c r="B46" s="1209" t="s">
        <v>844</v>
      </c>
      <c r="C46" s="1130">
        <v>3778</v>
      </c>
      <c r="D46" s="1130">
        <v>1145.4000000000001</v>
      </c>
      <c r="E46" s="1133">
        <f>D46/C46</f>
        <v>0.30317628374801486</v>
      </c>
      <c r="F46" s="1129">
        <v>3.5</v>
      </c>
      <c r="G46" s="1128">
        <v>24</v>
      </c>
      <c r="H46" s="1210">
        <v>0.69399999999999995</v>
      </c>
      <c r="I46" s="1210">
        <v>2.34</v>
      </c>
    </row>
    <row r="47" spans="1:9">
      <c r="B47" s="1211" t="s">
        <v>845</v>
      </c>
      <c r="C47" s="801">
        <v>3831.7</v>
      </c>
      <c r="D47" s="801">
        <v>724.2</v>
      </c>
      <c r="E47" s="1133">
        <f t="shared" ref="E47:E48" si="5">D47/C47</f>
        <v>0.18900227053266178</v>
      </c>
      <c r="F47" s="906">
        <v>3.4</v>
      </c>
      <c r="G47" s="1073">
        <v>105</v>
      </c>
      <c r="H47" s="1212">
        <v>4.4169999999999998</v>
      </c>
      <c r="I47" s="1212">
        <v>13.8</v>
      </c>
    </row>
    <row r="48" spans="1:9" ht="15" thickBot="1">
      <c r="B48" s="1213" t="s">
        <v>846</v>
      </c>
      <c r="C48" s="1207">
        <v>4179.3999999999996</v>
      </c>
      <c r="D48" s="1207">
        <v>1380.7</v>
      </c>
      <c r="E48" s="1208">
        <f t="shared" si="5"/>
        <v>0.33035842465425663</v>
      </c>
      <c r="F48" s="1206">
        <v>3.4</v>
      </c>
      <c r="G48" s="1205">
        <v>30</v>
      </c>
      <c r="H48" s="1214">
        <v>0.123</v>
      </c>
      <c r="I48" s="1214">
        <v>0.99</v>
      </c>
    </row>
    <row r="50" spans="1:9">
      <c r="A50">
        <v>45890</v>
      </c>
    </row>
    <row r="51" spans="1:9">
      <c r="A51" t="s">
        <v>759</v>
      </c>
    </row>
    <row r="52" spans="1:9">
      <c r="A52" t="s">
        <v>1340</v>
      </c>
    </row>
    <row r="53" spans="1:9" ht="39.5" thickBot="1">
      <c r="B53" s="1204" t="s">
        <v>1142</v>
      </c>
      <c r="C53" s="1204" t="s">
        <v>1311</v>
      </c>
      <c r="D53" s="1204" t="s">
        <v>1312</v>
      </c>
      <c r="E53" s="1204" t="s">
        <v>1313</v>
      </c>
      <c r="F53" s="1204" t="s">
        <v>1314</v>
      </c>
      <c r="G53" s="1204" t="s">
        <v>1315</v>
      </c>
      <c r="H53" s="1204" t="s">
        <v>1316</v>
      </c>
      <c r="I53" s="1204" t="s">
        <v>1317</v>
      </c>
    </row>
    <row r="54" spans="1:9" ht="15" thickTop="1">
      <c r="B54" s="1209" t="s">
        <v>844</v>
      </c>
      <c r="C54" s="1130">
        <v>1804.3</v>
      </c>
      <c r="D54" s="1130">
        <v>553.29999999999995</v>
      </c>
      <c r="E54" s="1133">
        <f>D54/C54</f>
        <v>0.30665632101091833</v>
      </c>
      <c r="F54" s="1129">
        <v>1.8</v>
      </c>
      <c r="G54" s="1128">
        <v>12</v>
      </c>
      <c r="H54" s="1210">
        <v>0.68600000000000005</v>
      </c>
      <c r="I54" s="1210">
        <v>2.34</v>
      </c>
    </row>
    <row r="55" spans="1:9">
      <c r="B55" s="1211" t="s">
        <v>845</v>
      </c>
      <c r="C55" s="801">
        <v>2702.3</v>
      </c>
      <c r="D55" s="801">
        <v>469.9</v>
      </c>
      <c r="E55" s="1133">
        <f t="shared" ref="E55:E56" si="6">D55/C55</f>
        <v>0.17388890944750765</v>
      </c>
      <c r="F55" s="906">
        <v>2.4</v>
      </c>
      <c r="G55" s="1073">
        <v>48</v>
      </c>
      <c r="H55" s="1212">
        <v>3.0529999999999999</v>
      </c>
      <c r="I55" s="1212">
        <v>7.99</v>
      </c>
    </row>
    <row r="56" spans="1:9" ht="15" thickBot="1">
      <c r="B56" s="1213" t="s">
        <v>846</v>
      </c>
      <c r="C56" s="1207">
        <v>1981.4</v>
      </c>
      <c r="D56" s="1207">
        <v>720.7</v>
      </c>
      <c r="E56" s="1208">
        <f t="shared" si="6"/>
        <v>0.36373271424245485</v>
      </c>
      <c r="F56" s="1206">
        <v>1.5</v>
      </c>
      <c r="G56" s="1205">
        <v>15</v>
      </c>
      <c r="H56" s="1214">
        <v>0.13100000000000001</v>
      </c>
      <c r="I56" s="1214">
        <v>1.01</v>
      </c>
    </row>
    <row r="58" spans="1:9">
      <c r="A58">
        <v>45890</v>
      </c>
    </row>
    <row r="59" spans="1:9">
      <c r="A59" t="s">
        <v>758</v>
      </c>
    </row>
    <row r="60" spans="1:9">
      <c r="A60" t="s">
        <v>1341</v>
      </c>
    </row>
    <row r="61" spans="1:9" ht="39.5" thickBot="1">
      <c r="B61" s="1204" t="s">
        <v>1142</v>
      </c>
      <c r="C61" s="1204" t="s">
        <v>1311</v>
      </c>
      <c r="D61" s="1204" t="s">
        <v>1312</v>
      </c>
      <c r="E61" s="1204" t="s">
        <v>1313</v>
      </c>
      <c r="F61" s="1204" t="s">
        <v>1314</v>
      </c>
      <c r="G61" s="1204" t="s">
        <v>1315</v>
      </c>
      <c r="H61" s="1204" t="s">
        <v>1316</v>
      </c>
      <c r="I61" s="1204" t="s">
        <v>1317</v>
      </c>
    </row>
    <row r="62" spans="1:9" ht="15" thickTop="1">
      <c r="B62" s="1209" t="s">
        <v>844</v>
      </c>
      <c r="C62" s="1130">
        <v>3625</v>
      </c>
      <c r="D62" s="1130">
        <v>1099.5</v>
      </c>
      <c r="E62" s="1133">
        <f>D62/C62</f>
        <v>0.30331034482758623</v>
      </c>
      <c r="F62" s="1129">
        <v>3.6</v>
      </c>
      <c r="G62" s="1128">
        <v>24</v>
      </c>
      <c r="H62" s="1210">
        <v>0.68500000000000005</v>
      </c>
      <c r="I62" s="1210">
        <v>2.37</v>
      </c>
    </row>
    <row r="63" spans="1:9">
      <c r="B63" s="1211" t="s">
        <v>845</v>
      </c>
      <c r="C63" s="801">
        <v>3836.7</v>
      </c>
      <c r="D63" s="801">
        <v>693.5</v>
      </c>
      <c r="E63" s="1133">
        <f t="shared" ref="E63:E64" si="7">D63/C63</f>
        <v>0.18075429405478668</v>
      </c>
      <c r="F63" s="906">
        <v>3.4</v>
      </c>
      <c r="G63" s="1073">
        <v>78</v>
      </c>
      <c r="H63" s="1212">
        <v>3.472</v>
      </c>
      <c r="I63" s="1212">
        <v>10.3</v>
      </c>
    </row>
    <row r="64" spans="1:9" ht="15" thickBot="1">
      <c r="B64" s="1213" t="s">
        <v>846</v>
      </c>
      <c r="C64" s="1207">
        <v>4028.8</v>
      </c>
      <c r="D64" s="1207">
        <v>1394.7</v>
      </c>
      <c r="E64" s="1208">
        <f t="shared" si="7"/>
        <v>0.3461824861000794</v>
      </c>
      <c r="F64" s="1206">
        <v>3.2</v>
      </c>
      <c r="G64" s="1205">
        <v>30</v>
      </c>
      <c r="H64" s="1214">
        <v>0.13</v>
      </c>
      <c r="I64" s="1214">
        <v>1.1000000000000001</v>
      </c>
    </row>
    <row r="66" spans="1:9">
      <c r="A66">
        <v>45894</v>
      </c>
    </row>
    <row r="67" spans="1:9">
      <c r="A67" t="s">
        <v>759</v>
      </c>
    </row>
    <row r="68" spans="1:9">
      <c r="A68" t="s">
        <v>1342</v>
      </c>
    </row>
    <row r="69" spans="1:9" ht="39.5" thickBot="1">
      <c r="B69" s="1204" t="s">
        <v>1142</v>
      </c>
      <c r="C69" s="1204" t="s">
        <v>1311</v>
      </c>
      <c r="D69" s="1204" t="s">
        <v>1312</v>
      </c>
      <c r="E69" s="1204" t="s">
        <v>1313</v>
      </c>
      <c r="F69" s="1204" t="s">
        <v>1314</v>
      </c>
      <c r="G69" s="1204" t="s">
        <v>1315</v>
      </c>
      <c r="H69" s="1204" t="s">
        <v>1316</v>
      </c>
      <c r="I69" s="1204" t="s">
        <v>1317</v>
      </c>
    </row>
    <row r="70" spans="1:9" ht="15" thickTop="1">
      <c r="B70" s="1209" t="s">
        <v>844</v>
      </c>
      <c r="C70" s="1130">
        <v>2514.3000000000002</v>
      </c>
      <c r="D70" s="1130">
        <v>766.3</v>
      </c>
      <c r="E70" s="1133">
        <f>D70/C70</f>
        <v>0.304776677405242</v>
      </c>
      <c r="F70" s="1129">
        <v>2.7</v>
      </c>
      <c r="G70" s="1128">
        <v>18</v>
      </c>
      <c r="H70" s="1210">
        <v>0.68400000000000005</v>
      </c>
      <c r="I70" s="1210">
        <v>2.2799999999999998</v>
      </c>
    </row>
    <row r="71" spans="1:9">
      <c r="B71" s="1211" t="s">
        <v>845</v>
      </c>
      <c r="C71" s="801">
        <v>2642.7</v>
      </c>
      <c r="D71" s="801">
        <v>489.3</v>
      </c>
      <c r="E71" s="1133">
        <f t="shared" ref="E71:E72" si="8">D71/C71</f>
        <v>0.18515154955159499</v>
      </c>
      <c r="F71" s="1129">
        <v>2.2999999999999998</v>
      </c>
      <c r="G71" s="1073">
        <v>57</v>
      </c>
      <c r="H71" s="1212">
        <v>3.532</v>
      </c>
      <c r="I71" s="1212">
        <v>13.1</v>
      </c>
    </row>
    <row r="72" spans="1:9" ht="15" thickBot="1">
      <c r="B72" s="1213" t="s">
        <v>846</v>
      </c>
      <c r="C72" s="1207">
        <v>2899.3</v>
      </c>
      <c r="D72" s="1207">
        <v>996.8</v>
      </c>
      <c r="E72" s="1208">
        <f t="shared" si="8"/>
        <v>0.34380712585796569</v>
      </c>
      <c r="F72" s="1206">
        <v>2.2999999999999998</v>
      </c>
      <c r="G72" s="1205">
        <v>21</v>
      </c>
      <c r="H72" s="1214">
        <v>0.11700000000000001</v>
      </c>
      <c r="I72" s="1214">
        <v>0.95</v>
      </c>
    </row>
    <row r="74" spans="1:9">
      <c r="A74">
        <v>45894</v>
      </c>
    </row>
    <row r="75" spans="1:9">
      <c r="A75" t="s">
        <v>758</v>
      </c>
    </row>
    <row r="76" spans="1:9">
      <c r="A76" t="s">
        <v>1343</v>
      </c>
    </row>
    <row r="77" spans="1:9" ht="39.5" thickBot="1">
      <c r="B77" s="1204" t="s">
        <v>1142</v>
      </c>
      <c r="C77" s="1204" t="s">
        <v>1311</v>
      </c>
      <c r="D77" s="1204" t="s">
        <v>1312</v>
      </c>
      <c r="E77" s="1204" t="s">
        <v>1313</v>
      </c>
      <c r="F77" s="1204" t="s">
        <v>1314</v>
      </c>
      <c r="G77" s="1204" t="s">
        <v>1315</v>
      </c>
      <c r="H77" s="1204" t="s">
        <v>1316</v>
      </c>
      <c r="I77" s="1204" t="s">
        <v>1317</v>
      </c>
    </row>
    <row r="78" spans="1:9" ht="15" thickTop="1">
      <c r="B78" s="1209" t="s">
        <v>844</v>
      </c>
      <c r="C78" s="1130">
        <v>1967.3</v>
      </c>
      <c r="D78" s="1130">
        <v>602.20000000000005</v>
      </c>
      <c r="E78" s="1133">
        <f>D78/C78</f>
        <v>0.30610481370406145</v>
      </c>
      <c r="F78" s="1129">
        <v>2.2000000000000002</v>
      </c>
      <c r="G78" s="1128">
        <v>15</v>
      </c>
      <c r="H78" s="1210">
        <v>0.69</v>
      </c>
      <c r="I78" s="1210">
        <v>2.3199999999999998</v>
      </c>
    </row>
    <row r="79" spans="1:9">
      <c r="B79" s="1211" t="s">
        <v>845</v>
      </c>
      <c r="C79" s="801">
        <v>2863.5</v>
      </c>
      <c r="D79" s="801">
        <v>515.1</v>
      </c>
      <c r="E79" s="1133">
        <f t="shared" ref="E79:E80" si="9">D79/C79</f>
        <v>0.17988475641697224</v>
      </c>
      <c r="F79" s="1129">
        <v>2.5</v>
      </c>
      <c r="G79" s="1073">
        <v>45</v>
      </c>
      <c r="H79" s="1212">
        <v>2.6259999999999999</v>
      </c>
      <c r="I79" s="1212">
        <v>7.14</v>
      </c>
    </row>
    <row r="80" spans="1:9" ht="15" thickBot="1">
      <c r="B80" s="1213" t="s">
        <v>846</v>
      </c>
      <c r="C80" s="1207">
        <v>2084.6</v>
      </c>
      <c r="D80" s="1207">
        <v>780.7</v>
      </c>
      <c r="E80" s="1208">
        <f t="shared" si="9"/>
        <v>0.37450829895423587</v>
      </c>
      <c r="F80" s="1206">
        <v>1.6</v>
      </c>
      <c r="G80" s="1205">
        <v>18</v>
      </c>
      <c r="H80" s="1214">
        <v>0.11700000000000001</v>
      </c>
      <c r="I80" s="1214">
        <v>0.92</v>
      </c>
    </row>
    <row r="82" spans="1:9">
      <c r="A82">
        <v>45895</v>
      </c>
    </row>
    <row r="83" spans="1:9">
      <c r="A83" t="s">
        <v>759</v>
      </c>
    </row>
    <row r="84" spans="1:9">
      <c r="A84" t="s">
        <v>1344</v>
      </c>
    </row>
    <row r="85" spans="1:9" ht="39.5" thickBot="1">
      <c r="B85" s="1204" t="s">
        <v>1142</v>
      </c>
      <c r="C85" s="1204" t="s">
        <v>1311</v>
      </c>
      <c r="D85" s="1204" t="s">
        <v>1312</v>
      </c>
      <c r="E85" s="1204" t="s">
        <v>1313</v>
      </c>
      <c r="F85" s="1204" t="s">
        <v>1314</v>
      </c>
      <c r="G85" s="1204" t="s">
        <v>1315</v>
      </c>
      <c r="H85" s="1204" t="s">
        <v>1316</v>
      </c>
      <c r="I85" s="1204" t="s">
        <v>1317</v>
      </c>
    </row>
    <row r="86" spans="1:9" ht="15" thickTop="1">
      <c r="B86" s="1209" t="s">
        <v>844</v>
      </c>
      <c r="C86" s="1130">
        <v>4274.3</v>
      </c>
      <c r="D86" s="1130">
        <v>1294.3</v>
      </c>
      <c r="E86" s="1133">
        <f>D86/C86</f>
        <v>0.30280981681210956</v>
      </c>
      <c r="F86" s="1129">
        <v>4</v>
      </c>
      <c r="G86" s="1128">
        <v>27</v>
      </c>
      <c r="H86" s="1210">
        <v>0.69099999999999995</v>
      </c>
      <c r="I86" s="1210">
        <v>2.37</v>
      </c>
    </row>
    <row r="87" spans="1:9">
      <c r="B87" s="1211" t="s">
        <v>845</v>
      </c>
      <c r="C87" s="801">
        <v>3896.3</v>
      </c>
      <c r="D87" s="801">
        <v>797.4</v>
      </c>
      <c r="E87" s="1133">
        <f t="shared" ref="E87:E88" si="10">D87/C87</f>
        <v>0.20465569899648384</v>
      </c>
      <c r="F87" s="1129">
        <v>3.4</v>
      </c>
      <c r="G87" s="1073">
        <v>81</v>
      </c>
      <c r="H87" s="1212">
        <v>3.1139999999999999</v>
      </c>
      <c r="I87" s="1212">
        <v>11</v>
      </c>
    </row>
    <row r="88" spans="1:9" ht="15" thickBot="1">
      <c r="B88" s="1213" t="s">
        <v>846</v>
      </c>
      <c r="C88" s="1207">
        <v>4822.7</v>
      </c>
      <c r="D88" s="1207">
        <v>1625.5</v>
      </c>
      <c r="E88" s="1208">
        <f t="shared" si="10"/>
        <v>0.33705185891720407</v>
      </c>
      <c r="F88" s="1206">
        <v>3.8</v>
      </c>
      <c r="G88" s="1205">
        <v>36</v>
      </c>
      <c r="H88" s="1214">
        <v>0.11899999999999999</v>
      </c>
      <c r="I88" s="1214">
        <v>0.93</v>
      </c>
    </row>
    <row r="90" spans="1:9">
      <c r="A90">
        <v>45895</v>
      </c>
    </row>
    <row r="91" spans="1:9">
      <c r="A91" t="s">
        <v>758</v>
      </c>
    </row>
    <row r="92" spans="1:9">
      <c r="A92" t="s">
        <v>1345</v>
      </c>
    </row>
    <row r="93" spans="1:9" ht="39.5" thickBot="1">
      <c r="B93" s="1204" t="s">
        <v>1142</v>
      </c>
      <c r="C93" s="1204" t="s">
        <v>1311</v>
      </c>
      <c r="D93" s="1204" t="s">
        <v>1312</v>
      </c>
      <c r="E93" s="1204" t="s">
        <v>1313</v>
      </c>
      <c r="F93" s="1204" t="s">
        <v>1314</v>
      </c>
      <c r="G93" s="1204" t="s">
        <v>1315</v>
      </c>
      <c r="H93" s="1204" t="s">
        <v>1316</v>
      </c>
      <c r="I93" s="1204" t="s">
        <v>1317</v>
      </c>
    </row>
    <row r="94" spans="1:9" ht="15" thickTop="1">
      <c r="B94" s="1209" t="s">
        <v>844</v>
      </c>
      <c r="C94" s="1130">
        <v>1863.7</v>
      </c>
      <c r="D94" s="1130">
        <v>571.1</v>
      </c>
      <c r="E94" s="1133">
        <f>D94/C94</f>
        <v>0.30643343885818536</v>
      </c>
      <c r="F94" s="1129">
        <v>1.8</v>
      </c>
      <c r="G94" s="1128">
        <v>12</v>
      </c>
      <c r="H94" s="1210">
        <v>0.67800000000000005</v>
      </c>
      <c r="I94" s="1210">
        <v>2.36</v>
      </c>
    </row>
    <row r="95" spans="1:9">
      <c r="B95" s="1211" t="s">
        <v>845</v>
      </c>
      <c r="C95" s="801">
        <v>2816</v>
      </c>
      <c r="D95" s="801">
        <v>486.1</v>
      </c>
      <c r="E95" s="1133">
        <f t="shared" ref="E95:E96" si="11">D95/C95</f>
        <v>0.17262073863636365</v>
      </c>
      <c r="F95" s="1129">
        <v>2.5</v>
      </c>
      <c r="G95" s="1073">
        <v>45</v>
      </c>
      <c r="H95" s="1212">
        <v>2.7090000000000001</v>
      </c>
      <c r="I95" s="1212">
        <v>7.67</v>
      </c>
    </row>
    <row r="96" spans="1:9" ht="15" thickBot="1">
      <c r="B96" s="1213" t="s">
        <v>846</v>
      </c>
      <c r="C96" s="1207">
        <v>2016.7</v>
      </c>
      <c r="D96" s="1207">
        <v>762.7</v>
      </c>
      <c r="E96" s="1208">
        <f t="shared" si="11"/>
        <v>0.37819209599841325</v>
      </c>
      <c r="F96" s="1206">
        <v>1.5</v>
      </c>
      <c r="G96" s="1205">
        <v>18</v>
      </c>
      <c r="H96" s="1214">
        <v>0.128</v>
      </c>
      <c r="I96" s="1214">
        <v>0.95</v>
      </c>
    </row>
    <row r="98" spans="1:9">
      <c r="A98">
        <v>45896</v>
      </c>
    </row>
    <row r="99" spans="1:9">
      <c r="A99" t="s">
        <v>759</v>
      </c>
    </row>
    <row r="100" spans="1:9">
      <c r="A100" t="s">
        <v>1346</v>
      </c>
    </row>
    <row r="101" spans="1:9" ht="39.5" thickBot="1">
      <c r="B101" s="1204" t="s">
        <v>1142</v>
      </c>
      <c r="C101" s="1204" t="s">
        <v>1311</v>
      </c>
      <c r="D101" s="1204" t="s">
        <v>1312</v>
      </c>
      <c r="E101" s="1204" t="s">
        <v>1313</v>
      </c>
      <c r="F101" s="1204" t="s">
        <v>1314</v>
      </c>
      <c r="G101" s="1204" t="s">
        <v>1315</v>
      </c>
      <c r="H101" s="1204" t="s">
        <v>1316</v>
      </c>
      <c r="I101" s="1204" t="s">
        <v>1317</v>
      </c>
    </row>
    <row r="102" spans="1:9" ht="15" thickTop="1">
      <c r="B102" s="1209" t="s">
        <v>844</v>
      </c>
      <c r="C102" s="1130">
        <v>3841.3</v>
      </c>
      <c r="D102" s="1130">
        <v>1164.4000000000001</v>
      </c>
      <c r="E102" s="1133">
        <f>D102/C102</f>
        <v>0.30312654570067427</v>
      </c>
      <c r="F102" s="1129">
        <v>3.6</v>
      </c>
      <c r="G102" s="1128">
        <v>24</v>
      </c>
      <c r="H102" s="1210">
        <v>0.67600000000000005</v>
      </c>
      <c r="I102" s="1210">
        <v>2.34</v>
      </c>
    </row>
    <row r="103" spans="1:9">
      <c r="B103" s="1211" t="s">
        <v>845</v>
      </c>
      <c r="C103" s="801">
        <v>4254.1000000000004</v>
      </c>
      <c r="D103" s="801">
        <v>754</v>
      </c>
      <c r="E103" s="1133">
        <f t="shared" ref="E103:E104" si="12">D103/C103</f>
        <v>0.17724077948332195</v>
      </c>
      <c r="F103" s="1129">
        <v>3.8</v>
      </c>
      <c r="G103" s="1073">
        <v>54</v>
      </c>
      <c r="H103" s="1212">
        <v>2.153</v>
      </c>
      <c r="I103" s="1212">
        <v>5.74</v>
      </c>
    </row>
    <row r="104" spans="1:9" ht="15" thickBot="1">
      <c r="B104" s="1213" t="s">
        <v>846</v>
      </c>
      <c r="C104" s="1207">
        <v>4049.2</v>
      </c>
      <c r="D104" s="1207">
        <v>1635.4</v>
      </c>
      <c r="E104" s="1208">
        <f t="shared" si="12"/>
        <v>0.40388224834535219</v>
      </c>
      <c r="F104" s="1206">
        <v>3</v>
      </c>
      <c r="G104" s="1205">
        <v>39</v>
      </c>
      <c r="H104" s="1214">
        <v>0.13300000000000001</v>
      </c>
      <c r="I104" s="1214">
        <v>1</v>
      </c>
    </row>
    <row r="106" spans="1:9">
      <c r="A106">
        <v>45896</v>
      </c>
    </row>
    <row r="107" spans="1:9">
      <c r="A107" t="s">
        <v>758</v>
      </c>
    </row>
    <row r="108" spans="1:9">
      <c r="A108" t="s">
        <v>1347</v>
      </c>
    </row>
    <row r="109" spans="1:9" ht="39.5" thickBot="1">
      <c r="B109" s="1204" t="s">
        <v>1142</v>
      </c>
      <c r="C109" s="1204" t="s">
        <v>1311</v>
      </c>
      <c r="D109" s="1204" t="s">
        <v>1312</v>
      </c>
      <c r="E109" s="1204" t="s">
        <v>1313</v>
      </c>
      <c r="F109" s="1204" t="s">
        <v>1314</v>
      </c>
      <c r="G109" s="1204" t="s">
        <v>1315</v>
      </c>
      <c r="H109" s="1204" t="s">
        <v>1316</v>
      </c>
      <c r="I109" s="1204" t="s">
        <v>1317</v>
      </c>
    </row>
    <row r="110" spans="1:9" ht="15" thickTop="1">
      <c r="B110" s="1209" t="s">
        <v>844</v>
      </c>
      <c r="C110" s="1130">
        <v>1854.7</v>
      </c>
      <c r="D110" s="1130">
        <v>568.4</v>
      </c>
      <c r="E110" s="1133">
        <f>D110/C110</f>
        <v>0.30646465735698492</v>
      </c>
      <c r="F110" s="1129">
        <v>1.8</v>
      </c>
      <c r="G110" s="1128">
        <v>12</v>
      </c>
      <c r="H110" s="1210">
        <v>0.66400000000000003</v>
      </c>
      <c r="I110" s="1210">
        <v>2.2999999999999998</v>
      </c>
    </row>
    <row r="111" spans="1:9">
      <c r="B111" s="1211" t="s">
        <v>845</v>
      </c>
      <c r="C111" s="801">
        <v>2704.9</v>
      </c>
      <c r="D111" s="801">
        <v>478.7</v>
      </c>
      <c r="E111" s="1133">
        <f t="shared" ref="E111:E112" si="13">D111/C111</f>
        <v>0.17697511922806758</v>
      </c>
      <c r="F111" s="1129">
        <v>2.4</v>
      </c>
      <c r="G111" s="1073">
        <v>33</v>
      </c>
      <c r="H111" s="1212">
        <v>2.0870000000000002</v>
      </c>
      <c r="I111" s="1212">
        <v>5.64</v>
      </c>
    </row>
    <row r="112" spans="1:9" ht="15" thickBot="1">
      <c r="B112" s="1213" t="s">
        <v>846</v>
      </c>
      <c r="C112" s="1207">
        <v>1923.8</v>
      </c>
      <c r="D112" s="1207">
        <v>792.5</v>
      </c>
      <c r="E112" s="1208">
        <f t="shared" si="13"/>
        <v>0.41194510863915168</v>
      </c>
      <c r="F112" s="1206">
        <v>1.9</v>
      </c>
      <c r="G112" s="1205">
        <v>21</v>
      </c>
      <c r="H112" s="1214">
        <v>0.13600000000000001</v>
      </c>
      <c r="I112" s="1214">
        <v>1.03</v>
      </c>
    </row>
    <row r="114" spans="1:9">
      <c r="A114">
        <v>45897</v>
      </c>
    </row>
    <row r="115" spans="1:9">
      <c r="A115" t="s">
        <v>759</v>
      </c>
    </row>
    <row r="116" spans="1:9">
      <c r="A116" t="s">
        <v>1348</v>
      </c>
    </row>
    <row r="117" spans="1:9" ht="39.5" thickBot="1">
      <c r="B117" s="1204" t="s">
        <v>1142</v>
      </c>
      <c r="C117" s="1204" t="s">
        <v>1311</v>
      </c>
      <c r="D117" s="1204" t="s">
        <v>1312</v>
      </c>
      <c r="E117" s="1204" t="s">
        <v>1313</v>
      </c>
      <c r="F117" s="1204" t="s">
        <v>1314</v>
      </c>
      <c r="G117" s="1204" t="s">
        <v>1315</v>
      </c>
      <c r="H117" s="1204" t="s">
        <v>1316</v>
      </c>
      <c r="I117" s="1204" t="s">
        <v>1317</v>
      </c>
    </row>
    <row r="118" spans="1:9" ht="15" thickTop="1">
      <c r="B118" s="1209" t="s">
        <v>844</v>
      </c>
      <c r="C118" s="1130">
        <v>3705.3</v>
      </c>
      <c r="D118" s="1130">
        <v>1123.5999999999999</v>
      </c>
      <c r="E118" s="1133">
        <f>D118/C118</f>
        <v>0.30324130299840762</v>
      </c>
      <c r="F118" s="1129">
        <v>3.5</v>
      </c>
      <c r="G118" s="1128">
        <v>24</v>
      </c>
      <c r="H118" s="1210">
        <v>0.68</v>
      </c>
      <c r="I118" s="1210">
        <v>2.39</v>
      </c>
    </row>
    <row r="119" spans="1:9">
      <c r="B119" s="1211" t="s">
        <v>845</v>
      </c>
      <c r="C119" s="801">
        <v>3950.4</v>
      </c>
      <c r="D119" s="801">
        <v>719.6</v>
      </c>
      <c r="E119" s="1133">
        <f t="shared" ref="E119:E120" si="14">D119/C119</f>
        <v>0.18215876873228029</v>
      </c>
      <c r="F119" s="1129">
        <v>3.5</v>
      </c>
      <c r="G119" s="1073">
        <v>54</v>
      </c>
      <c r="H119" s="1212">
        <v>2.3029999999999999</v>
      </c>
      <c r="I119" s="1212">
        <v>6.88</v>
      </c>
    </row>
    <row r="120" spans="1:9" ht="15" thickBot="1">
      <c r="B120" s="1213" t="s">
        <v>846</v>
      </c>
      <c r="C120" s="1207">
        <v>3845.3</v>
      </c>
      <c r="D120" s="1207">
        <v>1474.2</v>
      </c>
      <c r="E120" s="1208">
        <f t="shared" si="14"/>
        <v>0.38337710971835748</v>
      </c>
      <c r="F120" s="1206">
        <v>3</v>
      </c>
      <c r="G120" s="1205">
        <v>36</v>
      </c>
      <c r="H120" s="1214">
        <v>0.13700000000000001</v>
      </c>
      <c r="I120" s="1214">
        <v>1.03</v>
      </c>
    </row>
    <row r="122" spans="1:9">
      <c r="A122">
        <v>45897</v>
      </c>
    </row>
    <row r="123" spans="1:9">
      <c r="A123" t="s">
        <v>758</v>
      </c>
    </row>
    <row r="124" spans="1:9">
      <c r="A124" t="s">
        <v>1349</v>
      </c>
    </row>
    <row r="125" spans="1:9" ht="39.5" thickBot="1">
      <c r="B125" s="1204" t="s">
        <v>1142</v>
      </c>
      <c r="C125" s="1204" t="s">
        <v>1311</v>
      </c>
      <c r="D125" s="1204" t="s">
        <v>1312</v>
      </c>
      <c r="E125" s="1204" t="s">
        <v>1313</v>
      </c>
      <c r="F125" s="1204" t="s">
        <v>1314</v>
      </c>
      <c r="G125" s="1204" t="s">
        <v>1315</v>
      </c>
      <c r="H125" s="1204" t="s">
        <v>1316</v>
      </c>
      <c r="I125" s="1204" t="s">
        <v>1317</v>
      </c>
    </row>
    <row r="126" spans="1:9" ht="15" thickTop="1">
      <c r="B126" s="1209" t="s">
        <v>844</v>
      </c>
      <c r="C126" s="1130">
        <v>1901</v>
      </c>
      <c r="D126" s="1130">
        <v>582.29999999999995</v>
      </c>
      <c r="E126" s="1133">
        <f>D126/C126</f>
        <v>0.30631246712256704</v>
      </c>
      <c r="F126" s="1129">
        <v>1.8</v>
      </c>
      <c r="G126" s="1128">
        <v>12</v>
      </c>
      <c r="H126" s="1210">
        <v>0.68700000000000006</v>
      </c>
      <c r="I126" s="1210">
        <v>2.41</v>
      </c>
    </row>
    <row r="127" spans="1:9">
      <c r="B127" s="1211" t="s">
        <v>845</v>
      </c>
      <c r="C127" s="801">
        <v>2802.8</v>
      </c>
      <c r="D127" s="801">
        <v>521.1</v>
      </c>
      <c r="E127" s="1133">
        <f t="shared" ref="E127:E128" si="15">D127/C127</f>
        <v>0.18592122163550734</v>
      </c>
      <c r="F127" s="1129">
        <v>2.5</v>
      </c>
      <c r="G127" s="1073">
        <v>66</v>
      </c>
      <c r="H127" s="1212">
        <v>3.7450000000000001</v>
      </c>
      <c r="I127" s="1212">
        <v>10.7</v>
      </c>
    </row>
    <row r="128" spans="1:9" ht="15" thickBot="1">
      <c r="B128" s="1213" t="s">
        <v>846</v>
      </c>
      <c r="C128" s="1207">
        <v>2201.3000000000002</v>
      </c>
      <c r="D128" s="1207">
        <v>746.7</v>
      </c>
      <c r="E128" s="1208">
        <f t="shared" si="15"/>
        <v>0.33920864943442508</v>
      </c>
      <c r="F128" s="1206">
        <v>1.7</v>
      </c>
      <c r="G128" s="1205">
        <v>15</v>
      </c>
      <c r="H128" s="1214">
        <v>0.14599999999999999</v>
      </c>
      <c r="I128" s="1214">
        <v>1.1100000000000001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2D578-0969-4036-9010-2E36FCD0F7DB}">
  <sheetPr>
    <tabColor theme="9" tint="0.79998168889431442"/>
  </sheetPr>
  <dimension ref="A2:AP61"/>
  <sheetViews>
    <sheetView topLeftCell="K15" zoomScale="70" zoomScaleNormal="70" workbookViewId="0">
      <selection activeCell="T34" sqref="T34:AA38"/>
    </sheetView>
  </sheetViews>
  <sheetFormatPr baseColWidth="10" defaultColWidth="10.7265625" defaultRowHeight="14.5"/>
  <cols>
    <col min="1" max="1" width="10.7265625" style="4"/>
    <col min="2" max="2" width="2.90625" style="4" bestFit="1" customWidth="1"/>
    <col min="3" max="3" width="28.54296875" style="4" bestFit="1" customWidth="1"/>
    <col min="4" max="4" width="17.7265625" style="4" bestFit="1" customWidth="1"/>
    <col min="5" max="5" width="18" style="4" bestFit="1" customWidth="1"/>
    <col min="6" max="6" width="15.36328125" style="4" bestFit="1" customWidth="1"/>
    <col min="7" max="8" width="18" style="4" customWidth="1"/>
    <col min="9" max="9" width="12.26953125" style="4" bestFit="1" customWidth="1"/>
    <col min="10" max="10" width="10.7265625" style="4"/>
    <col min="11" max="11" width="17.08984375" style="4" bestFit="1" customWidth="1"/>
    <col min="12" max="12" width="8.7265625" style="4" bestFit="1" customWidth="1"/>
    <col min="13" max="13" width="17.08984375" style="4" bestFit="1" customWidth="1"/>
    <col min="14" max="14" width="14.6328125" style="4" bestFit="1" customWidth="1"/>
    <col min="15" max="15" width="10.7265625" style="4"/>
    <col min="16" max="16" width="15.81640625" style="4" bestFit="1" customWidth="1"/>
    <col min="17" max="19" width="12.54296875" style="4" bestFit="1" customWidth="1"/>
    <col min="20" max="26" width="11.81640625" style="4" bestFit="1" customWidth="1"/>
    <col min="27" max="27" width="11.90625" style="4" bestFit="1" customWidth="1"/>
    <col min="28" max="29" width="11.81640625" style="4" bestFit="1" customWidth="1"/>
    <col min="30" max="16384" width="10.7265625" style="4"/>
  </cols>
  <sheetData>
    <row r="2" spans="5:29">
      <c r="P2" s="1307" t="s">
        <v>1416</v>
      </c>
      <c r="Q2" s="1308"/>
      <c r="R2" s="1308"/>
      <c r="S2" s="1308"/>
      <c r="T2" s="1308"/>
      <c r="U2" s="1308"/>
      <c r="V2" s="1308"/>
      <c r="W2" s="1308"/>
      <c r="X2" s="1308"/>
      <c r="Y2" s="1308"/>
      <c r="Z2" s="1308"/>
      <c r="AA2" s="1308"/>
      <c r="AB2" s="1308"/>
      <c r="AC2" s="1308"/>
    </row>
    <row r="3" spans="5:29" ht="15" thickBot="1">
      <c r="E3" s="1396"/>
      <c r="F3" s="1396"/>
      <c r="P3" s="1247" t="s">
        <v>1350</v>
      </c>
      <c r="Q3" s="1247" t="s">
        <v>993</v>
      </c>
      <c r="R3" s="1247" t="s">
        <v>1398</v>
      </c>
      <c r="S3" s="1247" t="s">
        <v>23</v>
      </c>
      <c r="T3" s="1247" t="s">
        <v>1400</v>
      </c>
      <c r="U3" s="1247" t="s">
        <v>1401</v>
      </c>
      <c r="V3" s="1247" t="s">
        <v>1402</v>
      </c>
      <c r="W3" s="1247" t="s">
        <v>1414</v>
      </c>
      <c r="X3" s="1247" t="s">
        <v>1399</v>
      </c>
      <c r="Y3" s="1247" t="s">
        <v>1403</v>
      </c>
      <c r="Z3" s="1247" t="s">
        <v>1404</v>
      </c>
      <c r="AA3" s="1247" t="s">
        <v>1405</v>
      </c>
      <c r="AB3" s="1247" t="s">
        <v>1136</v>
      </c>
      <c r="AC3" s="1247" t="s">
        <v>841</v>
      </c>
    </row>
    <row r="4" spans="5:29">
      <c r="P4" s="705" t="s">
        <v>809</v>
      </c>
      <c r="Q4" s="1248">
        <v>1</v>
      </c>
      <c r="R4" s="1249">
        <v>2</v>
      </c>
      <c r="S4" s="1249">
        <v>3</v>
      </c>
      <c r="T4" s="1249">
        <v>4</v>
      </c>
      <c r="U4" s="1249">
        <v>5</v>
      </c>
      <c r="V4" s="1249">
        <v>6</v>
      </c>
      <c r="W4" s="1249">
        <v>7</v>
      </c>
      <c r="X4" s="1249">
        <v>8</v>
      </c>
      <c r="Y4" s="1249">
        <v>9</v>
      </c>
      <c r="Z4" s="1249">
        <v>10</v>
      </c>
      <c r="AA4" s="1249">
        <v>11</v>
      </c>
      <c r="AB4" s="1249">
        <v>12</v>
      </c>
      <c r="AC4" s="1250">
        <v>13</v>
      </c>
    </row>
    <row r="5" spans="5:29">
      <c r="P5" s="1261" t="s">
        <v>847</v>
      </c>
      <c r="Q5" s="1252"/>
      <c r="R5" s="1253"/>
      <c r="S5" s="1253"/>
      <c r="T5" s="1253"/>
      <c r="U5" s="1253"/>
      <c r="V5" s="1253"/>
      <c r="W5" s="1253"/>
      <c r="X5" s="1253"/>
      <c r="Y5" s="1253"/>
      <c r="Z5" s="1253"/>
      <c r="AA5" s="1253"/>
      <c r="AB5" s="1253"/>
      <c r="AC5" s="1254"/>
    </row>
    <row r="6" spans="5:29">
      <c r="P6" s="1261" t="s">
        <v>849</v>
      </c>
      <c r="Q6" s="1252"/>
      <c r="R6" s="1253"/>
      <c r="S6" s="1253"/>
      <c r="T6" s="1253"/>
      <c r="U6" s="1253"/>
      <c r="V6" s="1253"/>
      <c r="W6" s="1253"/>
      <c r="X6" s="1253"/>
      <c r="Y6" s="1253"/>
      <c r="Z6" s="1253"/>
      <c r="AA6" s="1253"/>
      <c r="AB6" s="1253"/>
      <c r="AC6" s="1254"/>
    </row>
    <row r="7" spans="5:29">
      <c r="P7" s="1261" t="s">
        <v>851</v>
      </c>
      <c r="Q7" s="1252">
        <v>0</v>
      </c>
      <c r="R7" s="1253">
        <v>0</v>
      </c>
      <c r="S7" s="1253">
        <v>0</v>
      </c>
      <c r="T7" s="1253">
        <v>1</v>
      </c>
      <c r="U7" s="1253">
        <v>-1</v>
      </c>
      <c r="V7" s="1253">
        <v>-1</v>
      </c>
      <c r="W7" s="1253">
        <v>0</v>
      </c>
      <c r="X7" s="1253">
        <v>0</v>
      </c>
      <c r="Y7" s="1253">
        <v>0</v>
      </c>
      <c r="Z7" s="1253">
        <v>0</v>
      </c>
      <c r="AA7" s="1253">
        <v>0</v>
      </c>
      <c r="AB7" s="1473">
        <v>0</v>
      </c>
      <c r="AC7" s="1474">
        <v>0</v>
      </c>
    </row>
    <row r="8" spans="5:29">
      <c r="P8" s="1261" t="s">
        <v>853</v>
      </c>
      <c r="Q8" s="1252">
        <v>0</v>
      </c>
      <c r="R8" s="1253">
        <v>0</v>
      </c>
      <c r="S8" s="1253">
        <v>0</v>
      </c>
      <c r="T8" s="1253">
        <v>0</v>
      </c>
      <c r="U8" s="1253">
        <v>0</v>
      </c>
      <c r="V8" s="1253">
        <v>1</v>
      </c>
      <c r="W8" s="1253">
        <v>-1</v>
      </c>
      <c r="X8" s="1253">
        <v>0</v>
      </c>
      <c r="Y8" s="1253">
        <v>0</v>
      </c>
      <c r="Z8" s="1253">
        <v>1</v>
      </c>
      <c r="AA8" s="1253">
        <v>0</v>
      </c>
      <c r="AB8" s="1473">
        <v>0</v>
      </c>
      <c r="AC8" s="1473">
        <v>0</v>
      </c>
    </row>
    <row r="9" spans="5:29">
      <c r="P9" s="1261" t="s">
        <v>854</v>
      </c>
      <c r="Q9" s="1252">
        <v>0</v>
      </c>
      <c r="R9" s="1253">
        <v>0</v>
      </c>
      <c r="S9" s="1253">
        <v>0</v>
      </c>
      <c r="T9" s="1253">
        <v>0</v>
      </c>
      <c r="U9" s="1253">
        <v>0</v>
      </c>
      <c r="V9" s="1253">
        <v>0</v>
      </c>
      <c r="W9" s="1253">
        <v>1</v>
      </c>
      <c r="X9" s="1253">
        <v>-1</v>
      </c>
      <c r="Y9" s="1253">
        <v>0</v>
      </c>
      <c r="Z9" s="1253">
        <v>0</v>
      </c>
      <c r="AA9" s="1253">
        <v>-1</v>
      </c>
      <c r="AB9" s="1473">
        <v>0</v>
      </c>
      <c r="AC9" s="1473">
        <v>0</v>
      </c>
    </row>
    <row r="10" spans="5:29">
      <c r="P10" s="1261" t="s">
        <v>855</v>
      </c>
      <c r="Q10" s="1252">
        <v>0</v>
      </c>
      <c r="R10" s="1253">
        <v>0</v>
      </c>
      <c r="S10" s="1253">
        <v>0</v>
      </c>
      <c r="T10" s="1253">
        <v>0</v>
      </c>
      <c r="U10" s="1253">
        <v>0</v>
      </c>
      <c r="V10" s="1253">
        <v>0</v>
      </c>
      <c r="W10" s="1253">
        <v>0</v>
      </c>
      <c r="X10" s="1253">
        <v>1</v>
      </c>
      <c r="Y10" s="1253">
        <v>-1</v>
      </c>
      <c r="Z10" s="1253">
        <v>-1</v>
      </c>
      <c r="AA10" s="1253">
        <v>0</v>
      </c>
      <c r="AB10" s="1473">
        <v>0</v>
      </c>
      <c r="AC10" s="1473">
        <v>0</v>
      </c>
    </row>
    <row r="11" spans="5:29">
      <c r="P11" s="1261" t="s">
        <v>856</v>
      </c>
      <c r="Q11" s="1475">
        <v>0</v>
      </c>
      <c r="R11" s="1473">
        <v>0</v>
      </c>
      <c r="S11" s="1473">
        <v>0</v>
      </c>
      <c r="T11" s="1473">
        <v>0</v>
      </c>
      <c r="U11" s="1473">
        <v>0</v>
      </c>
      <c r="V11" s="1473">
        <v>0</v>
      </c>
      <c r="W11" s="1473">
        <v>0</v>
      </c>
      <c r="X11" s="1473">
        <v>0</v>
      </c>
      <c r="Y11" s="1473">
        <v>0</v>
      </c>
      <c r="Z11" s="1473">
        <v>0</v>
      </c>
      <c r="AA11" s="1473">
        <v>0</v>
      </c>
      <c r="AB11" s="1473">
        <v>0</v>
      </c>
      <c r="AC11" s="1473">
        <v>0</v>
      </c>
    </row>
    <row r="12" spans="5:29" ht="15" thickBot="1">
      <c r="P12" s="1255"/>
      <c r="Q12" s="1256">
        <f t="shared" ref="Q12:AC12" si="0">SUM(Q7:Q11)</f>
        <v>0</v>
      </c>
      <c r="R12" s="1257">
        <f t="shared" si="0"/>
        <v>0</v>
      </c>
      <c r="S12" s="1257">
        <f t="shared" si="0"/>
        <v>0</v>
      </c>
      <c r="T12" s="1257">
        <f t="shared" si="0"/>
        <v>1</v>
      </c>
      <c r="U12" s="1257">
        <f t="shared" si="0"/>
        <v>-1</v>
      </c>
      <c r="V12" s="1257">
        <f t="shared" si="0"/>
        <v>0</v>
      </c>
      <c r="W12" s="1257">
        <f t="shared" si="0"/>
        <v>0</v>
      </c>
      <c r="X12" s="1257">
        <f t="shared" si="0"/>
        <v>0</v>
      </c>
      <c r="Y12" s="1257">
        <f t="shared" si="0"/>
        <v>-1</v>
      </c>
      <c r="Z12" s="1257">
        <f t="shared" si="0"/>
        <v>0</v>
      </c>
      <c r="AA12" s="1257">
        <f t="shared" si="0"/>
        <v>-1</v>
      </c>
      <c r="AB12" s="1473">
        <v>0</v>
      </c>
      <c r="AC12" s="1473">
        <v>0</v>
      </c>
    </row>
    <row r="13" spans="5:29" ht="15" thickBot="1">
      <c r="P13" s="1393" t="s">
        <v>1098</v>
      </c>
      <c r="Q13" s="1397"/>
      <c r="R13" s="1397"/>
      <c r="S13" s="1397"/>
      <c r="T13" s="1397"/>
      <c r="U13" s="1397"/>
      <c r="V13" s="1397"/>
      <c r="W13" s="1397"/>
      <c r="X13" s="1397"/>
      <c r="Y13" s="1397"/>
      <c r="Z13" s="1397"/>
      <c r="AA13" s="1397"/>
      <c r="AB13" s="1397"/>
      <c r="AC13" s="1394"/>
    </row>
    <row r="14" spans="5:29">
      <c r="P14" s="1262" t="s">
        <v>1086</v>
      </c>
      <c r="Q14" s="1253"/>
      <c r="R14" s="1253"/>
      <c r="S14" s="1253"/>
      <c r="T14" s="1260">
        <v>4</v>
      </c>
      <c r="U14" s="1260">
        <v>5</v>
      </c>
      <c r="V14" s="1260">
        <v>6</v>
      </c>
      <c r="W14" s="1260">
        <v>7</v>
      </c>
      <c r="X14" s="1260">
        <v>8</v>
      </c>
      <c r="Y14" s="1260">
        <v>9</v>
      </c>
      <c r="Z14" s="1260">
        <v>10</v>
      </c>
      <c r="AA14" s="1260">
        <v>11</v>
      </c>
      <c r="AB14" s="1260">
        <v>12</v>
      </c>
      <c r="AC14" s="1259">
        <v>13</v>
      </c>
    </row>
    <row r="15" spans="5:29">
      <c r="P15" s="1262" t="s">
        <v>1352</v>
      </c>
      <c r="Q15" s="1253"/>
      <c r="R15" s="1253"/>
      <c r="S15" s="1253"/>
      <c r="T15" s="1267">
        <f t="shared" ref="T15:AC15" si="1">(1/T16^2)*(1/T17^2)*(T17-T18)^2</f>
        <v>9.4322494145404889E-2</v>
      </c>
      <c r="U15" s="1267">
        <f t="shared" si="1"/>
        <v>0.53817533530067185</v>
      </c>
      <c r="V15" s="1267">
        <f t="shared" si="1"/>
        <v>7.9529826105650611E-2</v>
      </c>
      <c r="W15" s="1267">
        <f t="shared" si="1"/>
        <v>3.7097346667629596</v>
      </c>
      <c r="X15" s="1267">
        <f t="shared" si="1"/>
        <v>7.8199914724731183E-5</v>
      </c>
      <c r="Y15" s="1267">
        <f t="shared" si="1"/>
        <v>0.260122685794488</v>
      </c>
      <c r="Z15" s="1267">
        <f t="shared" si="1"/>
        <v>0.14777516111833752</v>
      </c>
      <c r="AA15" s="1267">
        <f t="shared" si="1"/>
        <v>0.32760287583364928</v>
      </c>
      <c r="AB15" s="1267"/>
      <c r="AC15" s="1268"/>
    </row>
    <row r="16" spans="5:29">
      <c r="P16" s="1262" t="s">
        <v>1353</v>
      </c>
      <c r="Q16" s="1263"/>
      <c r="R16" s="1263"/>
      <c r="S16" s="1263"/>
      <c r="T16" s="1269">
        <v>0.05</v>
      </c>
      <c r="U16" s="1269">
        <v>0.05</v>
      </c>
      <c r="V16" s="1269">
        <v>0.05</v>
      </c>
      <c r="W16" s="1269">
        <v>0.05</v>
      </c>
      <c r="X16" s="1269">
        <v>0.05</v>
      </c>
      <c r="Y16" s="1269">
        <v>0.05</v>
      </c>
      <c r="Z16" s="1269">
        <v>0.05</v>
      </c>
      <c r="AA16" s="1269">
        <v>0.05</v>
      </c>
      <c r="AB16" s="1269"/>
      <c r="AC16" s="1270"/>
    </row>
    <row r="17" spans="1:29">
      <c r="P17" s="1262" t="s">
        <v>1354</v>
      </c>
      <c r="Q17" s="1253"/>
      <c r="R17" s="1253"/>
      <c r="S17" s="1253"/>
      <c r="T17" s="1276">
        <v>23.159999999999997</v>
      </c>
      <c r="U17" s="1276">
        <v>0.85556435643564366</v>
      </c>
      <c r="V17" s="1276">
        <v>23.015999999999998</v>
      </c>
      <c r="W17" s="1276">
        <v>28.139999999999997</v>
      </c>
      <c r="X17" s="1276">
        <v>9.7714285714285722</v>
      </c>
      <c r="Y17" s="1276">
        <v>1.6506885245901641</v>
      </c>
      <c r="Z17" s="1276">
        <v>8.3184000000000005</v>
      </c>
      <c r="AA17" s="1276">
        <v>21.703999999999997</v>
      </c>
      <c r="AB17" s="1276"/>
      <c r="AC17" s="1277"/>
    </row>
    <row r="18" spans="1:29" ht="15" thickBot="1">
      <c r="P18" s="1264" t="s">
        <v>1355</v>
      </c>
      <c r="Q18" s="1257"/>
      <c r="R18" s="1257"/>
      <c r="S18" s="1257"/>
      <c r="T18" s="1282">
        <v>23.515644582468504</v>
      </c>
      <c r="U18" s="1282">
        <v>0.8241820699615453</v>
      </c>
      <c r="V18" s="1282">
        <v>22.691462512483</v>
      </c>
      <c r="W18" s="1282">
        <v>30.849976480215762</v>
      </c>
      <c r="X18" s="1282">
        <v>9.7671080993205202</v>
      </c>
      <c r="Y18" s="1282">
        <v>1.6085941316070298</v>
      </c>
      <c r="Z18" s="1282">
        <v>8.1585139677347271</v>
      </c>
      <c r="AA18" s="1282">
        <v>21.082868380892183</v>
      </c>
      <c r="AB18" s="1282"/>
      <c r="AC18" s="1283"/>
    </row>
    <row r="19" spans="1:29" ht="15" thickBot="1">
      <c r="P19" s="1393" t="s">
        <v>1357</v>
      </c>
      <c r="Q19" s="1397"/>
      <c r="R19" s="1397"/>
      <c r="S19" s="1397"/>
      <c r="T19" s="1397"/>
      <c r="U19" s="1397"/>
      <c r="V19" s="1397"/>
      <c r="W19" s="1397"/>
      <c r="X19" s="1397"/>
      <c r="Y19" s="1397"/>
      <c r="Z19" s="1397"/>
      <c r="AA19" s="1397"/>
      <c r="AB19" s="1397"/>
      <c r="AC19" s="1394"/>
    </row>
    <row r="20" spans="1:29">
      <c r="P20" s="1262" t="s">
        <v>1358</v>
      </c>
      <c r="Q20" s="1253"/>
      <c r="R20" s="1253"/>
      <c r="S20" s="1253"/>
      <c r="T20" s="1267">
        <f t="shared" ref="T20:AC20" si="2">(1/T21^2)*(1/T22^2)*(T22-T23)^2</f>
        <v>3.5003006007164896</v>
      </c>
      <c r="U20" s="1267">
        <f t="shared" si="2"/>
        <v>0.5416874032990775</v>
      </c>
      <c r="V20" s="1267">
        <f t="shared" si="2"/>
        <v>3.350358314801543E-2</v>
      </c>
      <c r="W20" s="1267">
        <f t="shared" si="2"/>
        <v>0.59760633193054924</v>
      </c>
      <c r="X20" s="1267">
        <f t="shared" si="2"/>
        <v>7.3239497257614194E-2</v>
      </c>
      <c r="Y20" s="1267">
        <f t="shared" si="2"/>
        <v>1.4589153056552764</v>
      </c>
      <c r="Z20" s="1267">
        <f t="shared" si="2"/>
        <v>2.8608485094501493E-2</v>
      </c>
      <c r="AA20" s="1267">
        <f t="shared" si="2"/>
        <v>7.9312342092612668E-3</v>
      </c>
      <c r="AB20" s="1267"/>
      <c r="AC20" s="1268"/>
    </row>
    <row r="21" spans="1:29">
      <c r="P21" s="1262" t="s">
        <v>1353</v>
      </c>
      <c r="Q21" s="1263"/>
      <c r="R21" s="1263"/>
      <c r="S21" s="1263"/>
      <c r="T21" s="1269">
        <v>0.05</v>
      </c>
      <c r="U21" s="1269">
        <v>0.05</v>
      </c>
      <c r="V21" s="1269">
        <v>0.05</v>
      </c>
      <c r="W21" s="1269">
        <v>0.05</v>
      </c>
      <c r="X21" s="1269">
        <v>0.05</v>
      </c>
      <c r="Y21" s="1269">
        <v>0.05</v>
      </c>
      <c r="Z21" s="1269">
        <v>0.05</v>
      </c>
      <c r="AA21" s="1269">
        <v>0.05</v>
      </c>
      <c r="AB21" s="1269"/>
      <c r="AC21" s="1270"/>
    </row>
    <row r="22" spans="1:29">
      <c r="P22" s="1262" t="s">
        <v>1354</v>
      </c>
      <c r="Q22" s="1253"/>
      <c r="R22" s="1253"/>
      <c r="S22" s="1253"/>
      <c r="T22" s="1276">
        <v>2.2959999999999998</v>
      </c>
      <c r="U22" s="1276">
        <v>25.77</v>
      </c>
      <c r="V22" s="1276">
        <v>1.6850000000000001</v>
      </c>
      <c r="W22" s="1276">
        <v>2.085</v>
      </c>
      <c r="X22" s="1276">
        <v>5.92</v>
      </c>
      <c r="Y22" s="1276">
        <v>23.39</v>
      </c>
      <c r="Z22" s="1276">
        <v>2.8260000000000001</v>
      </c>
      <c r="AA22" s="1276">
        <v>0.154</v>
      </c>
      <c r="AB22" s="1276"/>
      <c r="AC22" s="1277"/>
    </row>
    <row r="23" spans="1:29">
      <c r="P23" s="1262" t="s">
        <v>1355</v>
      </c>
      <c r="Q23" s="1253"/>
      <c r="R23" s="1253"/>
      <c r="S23" s="1253"/>
      <c r="T23" s="1282">
        <v>2.5107803567109119</v>
      </c>
      <c r="U23" s="1282">
        <v>24.821671525063238</v>
      </c>
      <c r="V23" s="1282">
        <v>1.7004211065477988</v>
      </c>
      <c r="W23" s="1282">
        <v>2.0044095355155651</v>
      </c>
      <c r="X23" s="1282">
        <v>6.0001058786339874</v>
      </c>
      <c r="Y23" s="1282">
        <v>21.977412800662304</v>
      </c>
      <c r="Z23" s="1282">
        <v>2.849899542773167</v>
      </c>
      <c r="AA23" s="1282">
        <v>0.15331425742711488</v>
      </c>
      <c r="AB23" s="1282"/>
      <c r="AC23" s="1283"/>
    </row>
    <row r="24" spans="1:29">
      <c r="P24" s="1262" t="s">
        <v>1407</v>
      </c>
      <c r="Q24" s="1253"/>
      <c r="R24" s="1253"/>
      <c r="S24" s="1253"/>
      <c r="T24" s="1276">
        <f t="shared" ref="T24:AC25" si="3">T22*T17/100</f>
        <v>0.53175359999999994</v>
      </c>
      <c r="U24" s="1276">
        <f t="shared" si="3"/>
        <v>0.22047893465346535</v>
      </c>
      <c r="V24" s="1276">
        <f t="shared" si="3"/>
        <v>0.38781959999999999</v>
      </c>
      <c r="W24" s="1276">
        <f t="shared" si="3"/>
        <v>0.58671899999999999</v>
      </c>
      <c r="X24" s="1276">
        <f t="shared" si="3"/>
        <v>0.57846857142857144</v>
      </c>
      <c r="Y24" s="1276">
        <f t="shared" si="3"/>
        <v>0.38609604590163937</v>
      </c>
      <c r="Z24" s="1276">
        <f t="shared" si="3"/>
        <v>0.23507798400000002</v>
      </c>
      <c r="AA24" s="1276">
        <f t="shared" si="3"/>
        <v>3.3424159999999994E-2</v>
      </c>
      <c r="AB24" s="1276"/>
      <c r="AC24" s="1277"/>
    </row>
    <row r="25" spans="1:29" ht="15" thickBot="1">
      <c r="O25" s="110"/>
      <c r="P25" s="1262" t="s">
        <v>1408</v>
      </c>
      <c r="Q25" s="1257"/>
      <c r="R25" s="1257"/>
      <c r="S25" s="1257"/>
      <c r="T25" s="1282">
        <f>T23*T18/100</f>
        <v>0.59042618493057286</v>
      </c>
      <c r="U25" s="1282">
        <f t="shared" si="3"/>
        <v>0.20457576617432166</v>
      </c>
      <c r="V25" s="1282">
        <f t="shared" si="3"/>
        <v>0.38585041794664238</v>
      </c>
      <c r="W25" s="1282">
        <f t="shared" si="3"/>
        <v>0.61835987027375383</v>
      </c>
      <c r="X25" s="1282">
        <f t="shared" si="3"/>
        <v>0.58603682723986683</v>
      </c>
      <c r="Y25" s="1282">
        <f>Y23*Y18/100</f>
        <v>0.35352737259050598</v>
      </c>
      <c r="Z25" s="1282">
        <f t="shared" si="3"/>
        <v>0.23250945226355696</v>
      </c>
      <c r="AA25" s="1282">
        <f t="shared" si="3"/>
        <v>3.2323043102500851E-2</v>
      </c>
      <c r="AB25" s="1282"/>
      <c r="AC25" s="1283"/>
    </row>
    <row r="26" spans="1:29" ht="15" thickBot="1">
      <c r="A26" t="s">
        <v>1305</v>
      </c>
      <c r="O26" s="110"/>
      <c r="P26" s="1393" t="s">
        <v>1359</v>
      </c>
      <c r="Q26" s="1397"/>
      <c r="R26" s="1397"/>
      <c r="S26" s="1397"/>
      <c r="T26" s="1397"/>
      <c r="U26" s="1397"/>
      <c r="V26" s="1397"/>
      <c r="W26" s="1397"/>
      <c r="X26" s="1397"/>
      <c r="Y26" s="1397"/>
      <c r="Z26" s="1397"/>
      <c r="AA26" s="1397"/>
      <c r="AB26" s="1397"/>
      <c r="AC26" s="1394"/>
    </row>
    <row r="27" spans="1:29">
      <c r="A27" t="s">
        <v>1306</v>
      </c>
      <c r="O27" s="110"/>
      <c r="P27" s="286" t="s">
        <v>1358</v>
      </c>
      <c r="Q27" s="1273"/>
      <c r="R27" s="1273"/>
      <c r="S27" s="1273"/>
      <c r="T27" s="1274">
        <f t="shared" ref="T27:AC27" si="4">(1/T28^2)*(1/T29^2)*(T29-T30)^2</f>
        <v>0.68367386627667004</v>
      </c>
      <c r="U27" s="1274">
        <f t="shared" si="4"/>
        <v>7.9406399995742456E-3</v>
      </c>
      <c r="V27" s="1274">
        <f t="shared" si="4"/>
        <v>6.2405369170721636</v>
      </c>
      <c r="W27" s="1274">
        <f t="shared" si="4"/>
        <v>1.3659406320899232</v>
      </c>
      <c r="X27" s="1274">
        <f t="shared" si="4"/>
        <v>0.29315189568501959</v>
      </c>
      <c r="Y27" s="1274">
        <f t="shared" si="4"/>
        <v>0.63553336547167205</v>
      </c>
      <c r="Z27" s="1274">
        <f t="shared" si="4"/>
        <v>0.46073857157546649</v>
      </c>
      <c r="AA27" s="1274">
        <f t="shared" si="4"/>
        <v>1.9897510295768124</v>
      </c>
      <c r="AB27" s="1274"/>
      <c r="AC27" s="1275"/>
    </row>
    <row r="28" spans="1:29">
      <c r="A28" t="s">
        <v>1307</v>
      </c>
      <c r="O28" s="110"/>
      <c r="P28" s="1262" t="s">
        <v>1353</v>
      </c>
      <c r="Q28" s="1263"/>
      <c r="R28" s="1263"/>
      <c r="S28" s="1263"/>
      <c r="T28" s="1269">
        <v>0.05</v>
      </c>
      <c r="U28" s="1269">
        <v>0.05</v>
      </c>
      <c r="V28" s="1269">
        <v>0.05</v>
      </c>
      <c r="W28" s="1269">
        <v>0.05</v>
      </c>
      <c r="X28" s="1269">
        <v>0.05</v>
      </c>
      <c r="Y28" s="1269">
        <v>0.05</v>
      </c>
      <c r="Z28" s="1269">
        <v>0.05</v>
      </c>
      <c r="AA28" s="1269">
        <v>0.05</v>
      </c>
      <c r="AB28" s="1269"/>
      <c r="AC28" s="1270"/>
    </row>
    <row r="29" spans="1:29">
      <c r="O29" s="110"/>
      <c r="P29" s="1262" t="s">
        <v>1354</v>
      </c>
      <c r="Q29" s="1253"/>
      <c r="R29" s="1253"/>
      <c r="S29" s="1253"/>
      <c r="T29" s="1276">
        <v>5.56</v>
      </c>
      <c r="U29" s="1276">
        <v>17.100000000000001</v>
      </c>
      <c r="V29" s="1276">
        <v>6.15</v>
      </c>
      <c r="W29" s="1276">
        <v>6.33</v>
      </c>
      <c r="X29" s="1276">
        <v>10.3</v>
      </c>
      <c r="Y29" s="1276">
        <v>21.6</v>
      </c>
      <c r="Z29" s="1276">
        <v>7.32</v>
      </c>
      <c r="AA29" s="1276">
        <v>3.81</v>
      </c>
      <c r="AB29" s="1276"/>
      <c r="AC29" s="1277"/>
    </row>
    <row r="30" spans="1:29">
      <c r="O30" s="110"/>
      <c r="P30" s="1262" t="s">
        <v>1355</v>
      </c>
      <c r="Q30" s="1253"/>
      <c r="R30" s="1253"/>
      <c r="S30" s="1253"/>
      <c r="T30" s="1282">
        <v>5.789863113790199</v>
      </c>
      <c r="U30" s="1282">
        <v>17.023810720204949</v>
      </c>
      <c r="V30" s="1282">
        <v>5.3818322000598409</v>
      </c>
      <c r="W30" s="1282">
        <v>5.9600954900479453</v>
      </c>
      <c r="X30" s="1282">
        <v>10.021160957660053</v>
      </c>
      <c r="Y30" s="1282">
        <v>22.460979742785021</v>
      </c>
      <c r="Z30" s="1282">
        <v>7.5684324779370913</v>
      </c>
      <c r="AA30" s="1282">
        <v>4.0787165091710964</v>
      </c>
      <c r="AB30" s="1282"/>
      <c r="AC30" s="1283"/>
    </row>
    <row r="31" spans="1:29">
      <c r="B31" s="1463" t="s">
        <v>1415</v>
      </c>
      <c r="C31" s="1463"/>
      <c r="D31" s="1463"/>
      <c r="E31" s="1463"/>
      <c r="F31" s="1463"/>
      <c r="G31" s="1463"/>
      <c r="H31" s="1463"/>
      <c r="I31" s="1463"/>
      <c r="J31" s="1463"/>
      <c r="K31" s="1463"/>
      <c r="L31" s="1463"/>
      <c r="M31" s="1463"/>
      <c r="O31" s="110"/>
      <c r="P31" s="1262" t="s">
        <v>1409</v>
      </c>
      <c r="Q31" s="1253"/>
      <c r="R31" s="1253"/>
      <c r="S31" s="1253"/>
      <c r="T31" s="1276">
        <f t="shared" ref="T31:AC32" si="5">T29*T17/100</f>
        <v>1.2876959999999997</v>
      </c>
      <c r="U31" s="1276">
        <f t="shared" si="5"/>
        <v>0.14630150495049507</v>
      </c>
      <c r="V31" s="1276">
        <f t="shared" si="5"/>
        <v>1.415484</v>
      </c>
      <c r="W31" s="1276">
        <f t="shared" si="5"/>
        <v>1.7812619999999999</v>
      </c>
      <c r="X31" s="1276">
        <f t="shared" si="5"/>
        <v>1.0064571428571432</v>
      </c>
      <c r="Y31" s="1276">
        <f t="shared" si="5"/>
        <v>0.35654872131147547</v>
      </c>
      <c r="Z31" s="1276">
        <f t="shared" si="5"/>
        <v>0.60890688000000004</v>
      </c>
      <c r="AA31" s="1276">
        <f t="shared" si="5"/>
        <v>0.82692239999999984</v>
      </c>
      <c r="AB31" s="1276"/>
      <c r="AC31" s="1277"/>
    </row>
    <row r="32" spans="1:29" ht="15" thickBot="1">
      <c r="B32" s="1246" t="s">
        <v>26</v>
      </c>
      <c r="C32" s="1246" t="s">
        <v>1086</v>
      </c>
      <c r="D32" s="1246" t="s">
        <v>867</v>
      </c>
      <c r="E32" s="1246" t="s">
        <v>868</v>
      </c>
      <c r="F32" s="1246" t="s">
        <v>1171</v>
      </c>
      <c r="G32" s="1246" t="s">
        <v>310</v>
      </c>
      <c r="H32" s="1246" t="s">
        <v>882</v>
      </c>
      <c r="I32" s="1246" t="s">
        <v>865</v>
      </c>
      <c r="J32" s="1246" t="s">
        <v>865</v>
      </c>
      <c r="K32" s="1246" t="s">
        <v>866</v>
      </c>
      <c r="L32" s="1246" t="s">
        <v>874</v>
      </c>
      <c r="M32" s="1246" t="s">
        <v>873</v>
      </c>
      <c r="O32" s="110"/>
      <c r="P32" s="1264" t="s">
        <v>1410</v>
      </c>
      <c r="Q32" s="1257"/>
      <c r="R32" s="1257"/>
      <c r="S32" s="1257"/>
      <c r="T32" s="1282">
        <f t="shared" si="5"/>
        <v>1.3615236316503472</v>
      </c>
      <c r="U32" s="1282">
        <f t="shared" si="5"/>
        <v>0.14030719558012061</v>
      </c>
      <c r="V32" s="1282">
        <f t="shared" si="5"/>
        <v>1.2212164361613178</v>
      </c>
      <c r="W32" s="1282">
        <f t="shared" si="5"/>
        <v>1.8386880568781916</v>
      </c>
      <c r="X32" s="1282">
        <f t="shared" si="5"/>
        <v>0.97877762354156073</v>
      </c>
      <c r="Y32" s="1282">
        <f t="shared" si="5"/>
        <v>0.36130600204388358</v>
      </c>
      <c r="Z32" s="1282">
        <f t="shared" si="5"/>
        <v>0.6174716208510691</v>
      </c>
      <c r="AA32" s="1282">
        <f t="shared" si="5"/>
        <v>0.85991043325826255</v>
      </c>
      <c r="AB32" s="1282"/>
      <c r="AC32" s="1283"/>
    </row>
    <row r="33" spans="2:29" ht="15" thickBot="1">
      <c r="B33" s="928">
        <v>1</v>
      </c>
      <c r="C33" s="757" t="s">
        <v>844</v>
      </c>
      <c r="D33" s="757"/>
      <c r="E33" s="757"/>
      <c r="F33" s="757"/>
      <c r="G33" s="940"/>
      <c r="H33" s="940"/>
      <c r="I33" s="940"/>
      <c r="J33" s="757"/>
      <c r="K33" s="941"/>
      <c r="L33" s="928"/>
      <c r="M33" s="928"/>
      <c r="O33" s="110"/>
      <c r="P33" s="1265" t="s">
        <v>1360</v>
      </c>
      <c r="Q33" s="1266">
        <f>SUM(T15:AC15,T20:AC20,T27:AC27)</f>
        <v>23.076400604033974</v>
      </c>
      <c r="R33" s="1253"/>
      <c r="S33" s="1253"/>
      <c r="T33" s="1253"/>
      <c r="U33" s="1253"/>
      <c r="V33" s="1253"/>
      <c r="W33" s="1253"/>
      <c r="X33" s="1253"/>
      <c r="Y33" s="1253"/>
      <c r="Z33" s="1253"/>
      <c r="AA33" s="1253"/>
      <c r="AB33" s="1253"/>
      <c r="AC33" s="1254"/>
    </row>
    <row r="34" spans="2:29" ht="15" thickBot="1">
      <c r="B34" s="928">
        <v>2</v>
      </c>
      <c r="C34" s="757" t="s">
        <v>845</v>
      </c>
      <c r="D34" s="757"/>
      <c r="E34" s="757"/>
      <c r="F34" s="757"/>
      <c r="G34" s="940"/>
      <c r="H34" s="940"/>
      <c r="I34" s="940"/>
      <c r="J34" s="757"/>
      <c r="K34" s="941"/>
      <c r="L34" s="928"/>
      <c r="M34" s="928"/>
      <c r="O34" s="110"/>
      <c r="P34" s="1252"/>
      <c r="Q34" s="1253"/>
      <c r="R34" s="1253"/>
      <c r="S34" s="1253"/>
      <c r="T34" s="1253"/>
      <c r="U34" s="846" t="s">
        <v>1417</v>
      </c>
      <c r="V34" s="1253"/>
      <c r="W34" s="1253"/>
      <c r="X34" s="1045" t="s">
        <v>264</v>
      </c>
      <c r="Y34" s="1482" t="s">
        <v>1418</v>
      </c>
      <c r="Z34" s="1253"/>
      <c r="AA34" s="846" t="s">
        <v>1183</v>
      </c>
      <c r="AB34" s="1253"/>
      <c r="AC34" s="1254"/>
    </row>
    <row r="35" spans="2:29" ht="15" thickBot="1">
      <c r="B35" s="928">
        <v>3</v>
      </c>
      <c r="C35" s="757" t="s">
        <v>846</v>
      </c>
      <c r="D35" s="757"/>
      <c r="E35" s="757"/>
      <c r="F35" s="757"/>
      <c r="G35" s="940"/>
      <c r="H35" s="940"/>
      <c r="I35" s="940"/>
      <c r="J35" s="757"/>
      <c r="K35" s="941"/>
      <c r="L35" s="928"/>
      <c r="M35" s="928"/>
      <c r="P35" s="280"/>
      <c r="Q35" s="281" t="s">
        <v>1361</v>
      </c>
      <c r="R35" s="281" t="s">
        <v>1362</v>
      </c>
      <c r="S35" s="282" t="s">
        <v>1363</v>
      </c>
      <c r="T35" s="846" t="s">
        <v>1056</v>
      </c>
      <c r="U35" s="1483">
        <f>U23</f>
        <v>24.821671525063238</v>
      </c>
      <c r="V35" s="1253"/>
      <c r="W35" s="1253"/>
      <c r="X35" s="1484">
        <f>X23</f>
        <v>6.0001058786339874</v>
      </c>
      <c r="Y35" s="1268">
        <f>Y23</f>
        <v>21.977412800662304</v>
      </c>
      <c r="Z35" s="1253"/>
      <c r="AA35" s="1483">
        <f>SUM(U25,Y25)/SUM(U18,Y18)*100</f>
        <v>22.940997959655345</v>
      </c>
      <c r="AB35" s="1253"/>
      <c r="AC35" s="1254"/>
    </row>
    <row r="36" spans="2:29">
      <c r="B36" s="928">
        <v>4</v>
      </c>
      <c r="C36" s="1128" t="s">
        <v>830</v>
      </c>
      <c r="D36" s="1239">
        <v>1776.6</v>
      </c>
      <c r="E36" s="1239">
        <v>289.5</v>
      </c>
      <c r="F36" s="757">
        <f t="shared" ref="F36:F45" si="6">D36-E36</f>
        <v>1487.1</v>
      </c>
      <c r="G36" s="1477">
        <f t="shared" ref="G36:G45" si="7">+E36/D36*100</f>
        <v>16.295170550489701</v>
      </c>
      <c r="H36" s="1281">
        <v>0</v>
      </c>
      <c r="I36" s="1281">
        <v>45</v>
      </c>
      <c r="J36" s="757">
        <f t="shared" ref="J36:J45" si="8">+H36*60+I36</f>
        <v>45</v>
      </c>
      <c r="K36" s="1279">
        <f t="shared" ref="K36:K45" si="9">+(E36/1000)/(J36/3600)</f>
        <v>23.159999999999997</v>
      </c>
      <c r="L36" s="1280">
        <v>2.2959999999999998</v>
      </c>
      <c r="M36" s="1280">
        <v>5.56</v>
      </c>
      <c r="P36" s="1251" t="s">
        <v>847</v>
      </c>
      <c r="Q36" s="1253"/>
      <c r="R36" s="1253"/>
      <c r="S36" s="1254"/>
      <c r="T36" s="847" t="s">
        <v>1096</v>
      </c>
      <c r="U36" s="1483">
        <f>U37*U38</f>
        <v>34.648830183298415</v>
      </c>
      <c r="V36" s="1253">
        <f>U25/T25*100</f>
        <v>34.648830183298415</v>
      </c>
      <c r="W36" s="1253">
        <f>X25/W25*100</f>
        <v>94.772778023325273</v>
      </c>
      <c r="X36" s="1484">
        <f>X37*X38</f>
        <v>94.772778023325273</v>
      </c>
      <c r="Y36" s="1268">
        <f>Y37*Y38</f>
        <v>60.325112033583181</v>
      </c>
      <c r="Z36" s="1253">
        <f>Y25/X25*100</f>
        <v>60.325112033583181</v>
      </c>
      <c r="AA36" s="1487">
        <f>(Y25+U25)/T25*100</f>
        <v>94.52547210968531</v>
      </c>
      <c r="AB36" s="1488">
        <f>AA37*AA38</f>
        <v>94.525472109685296</v>
      </c>
      <c r="AC36" s="1254"/>
    </row>
    <row r="37" spans="2:29">
      <c r="B37" s="928">
        <v>5</v>
      </c>
      <c r="C37" s="1073" t="s">
        <v>831</v>
      </c>
      <c r="D37" s="1239">
        <v>2986.3</v>
      </c>
      <c r="E37" s="1239">
        <v>720.1</v>
      </c>
      <c r="F37" s="757">
        <f t="shared" si="6"/>
        <v>2266.2000000000003</v>
      </c>
      <c r="G37" s="1477">
        <f t="shared" si="7"/>
        <v>24.113451428188728</v>
      </c>
      <c r="H37" s="1281">
        <v>50</v>
      </c>
      <c r="I37" s="1281">
        <v>30</v>
      </c>
      <c r="J37" s="757">
        <f t="shared" si="8"/>
        <v>3030</v>
      </c>
      <c r="K37" s="1279">
        <f t="shared" si="9"/>
        <v>0.85556435643564366</v>
      </c>
      <c r="L37" s="1280">
        <v>25.77</v>
      </c>
      <c r="M37" s="1280">
        <v>17.100000000000001</v>
      </c>
      <c r="P37" s="1251" t="s">
        <v>849</v>
      </c>
      <c r="Q37" s="1253"/>
      <c r="R37" s="1253"/>
      <c r="S37" s="1254"/>
      <c r="T37" s="847" t="s">
        <v>1178</v>
      </c>
      <c r="U37" s="1483">
        <f>U18/T18*100</f>
        <v>3.5048244885279205</v>
      </c>
      <c r="V37" s="1253"/>
      <c r="W37" s="1253"/>
      <c r="X37" s="1484">
        <f>X18/W18*100</f>
        <v>31.660017976299638</v>
      </c>
      <c r="Y37" s="1268">
        <f>Y18/X18*100</f>
        <v>16.469502694650597</v>
      </c>
      <c r="Z37" s="1253"/>
      <c r="AA37" s="1483">
        <f>(U18+Y18)/T18*100</f>
        <v>10.345351976370107</v>
      </c>
      <c r="AB37" s="1253"/>
      <c r="AC37" s="1254"/>
    </row>
    <row r="38" spans="2:29" ht="15" thickBot="1">
      <c r="B38" s="928">
        <v>6</v>
      </c>
      <c r="C38" s="1073" t="s">
        <v>832</v>
      </c>
      <c r="D38" s="1239">
        <v>1780.3</v>
      </c>
      <c r="E38" s="1239">
        <v>287.7</v>
      </c>
      <c r="F38" s="757">
        <f t="shared" si="6"/>
        <v>1492.6</v>
      </c>
      <c r="G38" s="1477">
        <f t="shared" si="7"/>
        <v>16.160197719485481</v>
      </c>
      <c r="H38" s="1281">
        <v>0</v>
      </c>
      <c r="I38" s="1281">
        <v>45</v>
      </c>
      <c r="J38" s="757">
        <f t="shared" si="8"/>
        <v>45</v>
      </c>
      <c r="K38" s="1279">
        <f t="shared" si="9"/>
        <v>23.015999999999998</v>
      </c>
      <c r="L38" s="1280">
        <v>1.6850000000000001</v>
      </c>
      <c r="M38" s="1280">
        <v>6.15</v>
      </c>
      <c r="P38" s="1251" t="s">
        <v>851</v>
      </c>
      <c r="Q38" s="1253">
        <f>SUMPRODUCT(T7:AC7,$T$18:$AC$18)</f>
        <v>2.3959501049830578E-11</v>
      </c>
      <c r="R38" s="1253">
        <f>SUMPRODUCT(T7:AC7,$T$25:$AC$25)</f>
        <v>8.096088244258226E-10</v>
      </c>
      <c r="S38" s="1254">
        <f>SUMPRODUCT(T7:AC7,$T$32:$AC$32)</f>
        <v>-9.1091134635234994E-11</v>
      </c>
      <c r="T38" s="706" t="s">
        <v>753</v>
      </c>
      <c r="U38" s="1485">
        <f>U23/T23</f>
        <v>9.8860386009946684</v>
      </c>
      <c r="V38" s="1253"/>
      <c r="W38" s="1253"/>
      <c r="X38" s="1486">
        <f>X23/W23</f>
        <v>2.993453070502714</v>
      </c>
      <c r="Y38" s="1272">
        <f>Y23/X23</f>
        <v>3.6628374974052602</v>
      </c>
      <c r="Z38" s="1253"/>
      <c r="AA38" s="1485">
        <f>AA35/T23</f>
        <v>9.136999139864125</v>
      </c>
      <c r="AB38" s="1253"/>
      <c r="AC38" s="1254"/>
    </row>
    <row r="39" spans="2:29">
      <c r="B39" s="928">
        <v>7</v>
      </c>
      <c r="C39" s="1073" t="s">
        <v>833</v>
      </c>
      <c r="D39" s="1239">
        <v>1763.4</v>
      </c>
      <c r="E39" s="1239">
        <v>234.5</v>
      </c>
      <c r="F39" s="757">
        <f t="shared" si="6"/>
        <v>1528.9</v>
      </c>
      <c r="G39" s="1477">
        <f t="shared" si="7"/>
        <v>13.298173982080073</v>
      </c>
      <c r="H39" s="1281">
        <v>0</v>
      </c>
      <c r="I39" s="1281">
        <v>30</v>
      </c>
      <c r="J39" s="757">
        <f t="shared" si="8"/>
        <v>30</v>
      </c>
      <c r="K39" s="1279">
        <f t="shared" si="9"/>
        <v>28.139999999999997</v>
      </c>
      <c r="L39" s="1280">
        <v>2.085</v>
      </c>
      <c r="M39" s="1280">
        <v>6.33</v>
      </c>
      <c r="P39" s="1251" t="s">
        <v>853</v>
      </c>
      <c r="Q39" s="1253">
        <f>SUMPRODUCT(T8:AC8,$T$18:$AC$18)</f>
        <v>1.964650664376677E-12</v>
      </c>
      <c r="R39" s="1253">
        <f>SUMPRODUCT(T8:AC8,$T$25:$AC$25)</f>
        <v>-6.3554495000062161E-11</v>
      </c>
      <c r="S39" s="1254">
        <f>SUMPRODUCT(T8:AC8,$T$32:$AC$32)</f>
        <v>1.3419532152170177E-10</v>
      </c>
      <c r="T39" s="1253"/>
      <c r="U39" s="1253"/>
      <c r="V39" s="1253"/>
      <c r="W39" s="1253"/>
      <c r="X39" s="1253"/>
      <c r="Y39" s="1253"/>
      <c r="Z39" s="1253"/>
      <c r="AA39" s="1253"/>
      <c r="AB39" s="1253"/>
      <c r="AC39" s="1254"/>
    </row>
    <row r="40" spans="2:29">
      <c r="B40" s="928">
        <v>8</v>
      </c>
      <c r="C40" s="1073" t="s">
        <v>834</v>
      </c>
      <c r="D40" s="1239">
        <v>1852.8</v>
      </c>
      <c r="E40" s="1239">
        <v>190</v>
      </c>
      <c r="F40" s="757">
        <f t="shared" si="6"/>
        <v>1662.8</v>
      </c>
      <c r="G40" s="1477">
        <f t="shared" si="7"/>
        <v>10.254749568221071</v>
      </c>
      <c r="H40" s="1281">
        <v>1</v>
      </c>
      <c r="I40" s="1281">
        <v>10</v>
      </c>
      <c r="J40" s="757">
        <f t="shared" si="8"/>
        <v>70</v>
      </c>
      <c r="K40" s="1279">
        <f t="shared" si="9"/>
        <v>9.7714285714285722</v>
      </c>
      <c r="L40" s="1280">
        <v>5.92</v>
      </c>
      <c r="M40" s="1280">
        <v>10.3</v>
      </c>
      <c r="P40" s="1251" t="s">
        <v>854</v>
      </c>
      <c r="Q40" s="1253">
        <f>SUMPRODUCT(T9:AC9,$T$18:$AC$18)</f>
        <v>3.0588864774472313E-12</v>
      </c>
      <c r="R40" s="1253">
        <f>SUMPRODUCT(T9:AC9,$T$25:$AC$25)</f>
        <v>-6.8613850712218039E-11</v>
      </c>
      <c r="S40" s="1254">
        <f>SUMPRODUCT(T9:AC9,$T$32:$AC$32)</f>
        <v>7.8368311839938087E-11</v>
      </c>
      <c r="T40" s="1253"/>
      <c r="U40" s="1253"/>
      <c r="V40" s="1253"/>
      <c r="W40" s="1253"/>
      <c r="X40" s="1253"/>
      <c r="Y40" s="1253"/>
      <c r="Z40" s="1253"/>
      <c r="AA40" s="1253"/>
      <c r="AB40" s="1253"/>
      <c r="AC40" s="1254"/>
    </row>
    <row r="41" spans="2:29">
      <c r="B41" s="928">
        <v>9</v>
      </c>
      <c r="C41" s="1073" t="s">
        <v>835</v>
      </c>
      <c r="D41" s="1239">
        <v>3174.2</v>
      </c>
      <c r="E41" s="1239">
        <v>839.1</v>
      </c>
      <c r="F41" s="757">
        <f t="shared" si="6"/>
        <v>2335.1</v>
      </c>
      <c r="G41" s="1477">
        <f t="shared" si="7"/>
        <v>26.435007245920232</v>
      </c>
      <c r="H41" s="1281">
        <v>30</v>
      </c>
      <c r="I41" s="1281">
        <v>30</v>
      </c>
      <c r="J41" s="757">
        <f t="shared" si="8"/>
        <v>1830</v>
      </c>
      <c r="K41" s="1279">
        <f t="shared" si="9"/>
        <v>1.6506885245901641</v>
      </c>
      <c r="L41" s="1280">
        <v>23.39</v>
      </c>
      <c r="M41" s="1280">
        <v>21.6</v>
      </c>
      <c r="P41" s="1251" t="s">
        <v>855</v>
      </c>
      <c r="Q41" s="1253">
        <f>SUMPRODUCT(T10:AC10,$T$18:$AC$18)</f>
        <v>-2.1236346015029994E-11</v>
      </c>
      <c r="R41" s="1253">
        <f>SUMPRODUCT(T10:AC10,$T$25:$AC$25)</f>
        <v>2.385803887783311E-9</v>
      </c>
      <c r="S41" s="1254">
        <f>SUMPRODUCT(T10:AC10,$T$32:$AC$32)</f>
        <v>6.4660810039640637E-10</v>
      </c>
      <c r="T41" s="1253"/>
      <c r="U41" s="1253"/>
      <c r="V41" s="1253"/>
      <c r="W41" s="1253"/>
      <c r="X41" s="1253"/>
      <c r="Y41" s="1253"/>
      <c r="Z41" s="1253"/>
      <c r="AA41" s="1253"/>
      <c r="AB41" s="1253"/>
      <c r="AC41" s="1254"/>
    </row>
    <row r="42" spans="2:29">
      <c r="B42" s="928">
        <v>10</v>
      </c>
      <c r="C42" s="1073" t="s">
        <v>836</v>
      </c>
      <c r="D42" s="1239">
        <v>1733.2</v>
      </c>
      <c r="E42" s="1239">
        <v>173.3</v>
      </c>
      <c r="F42" s="757">
        <f t="shared" si="6"/>
        <v>1559.9</v>
      </c>
      <c r="G42" s="1477">
        <f t="shared" si="7"/>
        <v>9.9988460650819295</v>
      </c>
      <c r="H42" s="1281">
        <v>1</v>
      </c>
      <c r="I42" s="1281">
        <v>15</v>
      </c>
      <c r="J42" s="757">
        <f t="shared" si="8"/>
        <v>75</v>
      </c>
      <c r="K42" s="1279">
        <f t="shared" si="9"/>
        <v>8.3184000000000005</v>
      </c>
      <c r="L42" s="1280">
        <v>2.8260000000000001</v>
      </c>
      <c r="M42" s="1280">
        <v>7.32</v>
      </c>
      <c r="P42" s="1251" t="s">
        <v>856</v>
      </c>
      <c r="Q42" s="1253">
        <f>SUMPRODUCT(T11:AC11,$T$18:$AC$18)</f>
        <v>0</v>
      </c>
      <c r="R42" s="1253">
        <f>SUMPRODUCT(T11:AC11,$T$25:$AC$25)</f>
        <v>0</v>
      </c>
      <c r="S42" s="1254">
        <f>SUMPRODUCT(T11:AC11,$T$32:$AC$32)</f>
        <v>0</v>
      </c>
      <c r="T42" s="1253"/>
      <c r="U42" s="1253"/>
      <c r="V42" s="1253"/>
      <c r="W42" s="1253"/>
      <c r="X42" s="1253"/>
      <c r="Y42" s="1253"/>
      <c r="Z42" s="1253"/>
      <c r="AA42" s="1253"/>
      <c r="AB42" s="1253"/>
      <c r="AC42" s="1254"/>
    </row>
    <row r="43" spans="2:29" ht="15" thickBot="1">
      <c r="B43" s="928">
        <v>11</v>
      </c>
      <c r="C43" s="1073" t="s">
        <v>837</v>
      </c>
      <c r="D43" s="1239">
        <v>1691.3</v>
      </c>
      <c r="E43" s="1239">
        <v>271.3</v>
      </c>
      <c r="F43" s="757">
        <f t="shared" si="6"/>
        <v>1420</v>
      </c>
      <c r="G43" s="1477">
        <f t="shared" si="7"/>
        <v>16.040915272275765</v>
      </c>
      <c r="H43" s="1281">
        <v>0</v>
      </c>
      <c r="I43" s="1281">
        <v>45</v>
      </c>
      <c r="J43" s="757">
        <f t="shared" si="8"/>
        <v>45</v>
      </c>
      <c r="K43" s="1279">
        <f t="shared" si="9"/>
        <v>21.703999999999997</v>
      </c>
      <c r="L43" s="1280">
        <v>0.154</v>
      </c>
      <c r="M43" s="1280">
        <v>3.81</v>
      </c>
      <c r="P43" s="1255" t="s">
        <v>861</v>
      </c>
      <c r="Q43" s="1257"/>
      <c r="R43" s="1257"/>
      <c r="S43" s="1258"/>
      <c r="T43" s="1257"/>
      <c r="U43" s="1257"/>
      <c r="V43" s="1257"/>
      <c r="W43" s="1257"/>
      <c r="X43" s="1257"/>
      <c r="Y43" s="1257"/>
      <c r="Z43" s="1257"/>
      <c r="AA43" s="1257"/>
      <c r="AB43" s="1257"/>
      <c r="AC43" s="1258"/>
    </row>
    <row r="44" spans="2:29">
      <c r="B44" s="928">
        <v>12</v>
      </c>
      <c r="C44" s="757"/>
      <c r="D44" s="757"/>
      <c r="E44" s="757"/>
      <c r="F44" s="757">
        <f t="shared" si="6"/>
        <v>0</v>
      </c>
      <c r="G44" s="1477" t="e">
        <f t="shared" si="7"/>
        <v>#DIV/0!</v>
      </c>
      <c r="H44" s="1088"/>
      <c r="I44" s="1088"/>
      <c r="J44" s="757">
        <f t="shared" si="8"/>
        <v>0</v>
      </c>
      <c r="K44" s="1279" t="e">
        <f t="shared" si="9"/>
        <v>#DIV/0!</v>
      </c>
      <c r="L44" s="1280"/>
      <c r="M44" s="1280"/>
      <c r="P44" s="1462" t="s">
        <v>1411</v>
      </c>
      <c r="Q44" s="1462"/>
    </row>
    <row r="45" spans="2:29">
      <c r="B45" s="928">
        <v>13</v>
      </c>
      <c r="C45" s="757"/>
      <c r="D45" s="757"/>
      <c r="E45" s="757"/>
      <c r="F45" s="757">
        <f t="shared" si="6"/>
        <v>0</v>
      </c>
      <c r="G45" s="1064" t="e">
        <f t="shared" si="7"/>
        <v>#DIV/0!</v>
      </c>
      <c r="H45" s="1088"/>
      <c r="I45" s="1088"/>
      <c r="J45" s="757">
        <f t="shared" si="8"/>
        <v>0</v>
      </c>
      <c r="K45" s="1279" t="e">
        <f t="shared" si="9"/>
        <v>#DIV/0!</v>
      </c>
      <c r="L45" s="1280"/>
      <c r="M45" s="1280"/>
      <c r="P45" s="928" t="s">
        <v>33</v>
      </c>
      <c r="Q45" s="880">
        <f>SUMPRODUCT(T17:AA17,T12:AA12)/SUM(T17)*100</f>
        <v>-4.5347706434620436</v>
      </c>
    </row>
    <row r="46" spans="2:29">
      <c r="P46" s="928" t="s">
        <v>1395</v>
      </c>
      <c r="Q46" s="880">
        <f>SUMPRODUCT(T24:AA24,T12:AA12)/SUM(T24)*100</f>
        <v>-20.356334316327111</v>
      </c>
    </row>
    <row r="47" spans="2:29">
      <c r="P47" s="928" t="s">
        <v>1396</v>
      </c>
      <c r="Q47" s="880">
        <f>SUMPRODUCT(T31:AA31,T12:AA12)/SUM(T31)*100</f>
        <v>-3.2675900415913866</v>
      </c>
    </row>
    <row r="48" spans="2:29">
      <c r="B48" s="1246" t="s">
        <v>26</v>
      </c>
      <c r="C48" s="1246" t="s">
        <v>1086</v>
      </c>
      <c r="D48" s="1065" t="s">
        <v>867</v>
      </c>
      <c r="E48" s="1065" t="s">
        <v>868</v>
      </c>
      <c r="F48" s="1065" t="s">
        <v>1172</v>
      </c>
      <c r="G48" s="1065" t="s">
        <v>1173</v>
      </c>
      <c r="H48" s="1065" t="s">
        <v>1174</v>
      </c>
      <c r="I48" s="1065" t="s">
        <v>1413</v>
      </c>
      <c r="J48" s="1065" t="s">
        <v>882</v>
      </c>
      <c r="K48" s="1065" t="s">
        <v>865</v>
      </c>
      <c r="L48" s="1065" t="s">
        <v>865</v>
      </c>
      <c r="M48" s="1065" t="s">
        <v>866</v>
      </c>
      <c r="N48" s="1065" t="s">
        <v>1412</v>
      </c>
    </row>
    <row r="49" spans="2:42">
      <c r="B49" s="928">
        <v>1</v>
      </c>
      <c r="C49" s="757" t="s">
        <v>844</v>
      </c>
      <c r="D49" s="757"/>
      <c r="E49" s="757"/>
      <c r="F49" s="757"/>
      <c r="G49" s="757"/>
      <c r="H49" s="757"/>
      <c r="I49" s="940"/>
      <c r="J49" s="940"/>
      <c r="K49" s="940"/>
      <c r="L49" s="757"/>
      <c r="M49" s="941"/>
      <c r="N49" s="941"/>
    </row>
    <row r="50" spans="2:42">
      <c r="B50" s="928">
        <v>2</v>
      </c>
      <c r="C50" s="757" t="s">
        <v>845</v>
      </c>
      <c r="D50" s="757"/>
      <c r="E50" s="757"/>
      <c r="F50" s="757"/>
      <c r="G50" s="757"/>
      <c r="H50" s="757"/>
      <c r="I50" s="940"/>
      <c r="J50" s="940"/>
      <c r="K50" s="940"/>
      <c r="L50" s="757"/>
      <c r="M50" s="941"/>
      <c r="N50" s="941"/>
    </row>
    <row r="51" spans="2:42">
      <c r="B51" s="928">
        <v>3</v>
      </c>
      <c r="C51" s="757" t="s">
        <v>846</v>
      </c>
      <c r="D51" s="757"/>
      <c r="E51" s="757"/>
      <c r="F51" s="757"/>
      <c r="G51" s="757"/>
      <c r="H51" s="757"/>
      <c r="I51" s="940"/>
      <c r="J51" s="940"/>
      <c r="K51" s="940"/>
      <c r="L51" s="757"/>
      <c r="M51" s="941"/>
      <c r="N51" s="941"/>
    </row>
    <row r="52" spans="2:42">
      <c r="B52" s="928">
        <v>4</v>
      </c>
      <c r="C52" s="1128" t="s">
        <v>830</v>
      </c>
      <c r="D52" s="1239">
        <v>1776.6</v>
      </c>
      <c r="E52" s="1239">
        <v>289.5</v>
      </c>
      <c r="F52" s="941">
        <f>(L52/3600)*N52*1000</f>
        <v>293.94574609040177</v>
      </c>
      <c r="G52" s="941">
        <f t="shared" ref="G52:G61" si="10">F52+F36</f>
        <v>1781.0457460904017</v>
      </c>
      <c r="H52" s="1476">
        <f t="shared" ref="H52:H61" si="11">(F52/G52)*100</f>
        <v>16.504109831858401</v>
      </c>
      <c r="I52" s="1064">
        <f t="shared" ref="I52:I61" si="12">+E52/D52*100</f>
        <v>16.295170550489701</v>
      </c>
      <c r="J52" s="1281">
        <v>0</v>
      </c>
      <c r="K52" s="1281">
        <v>45</v>
      </c>
      <c r="L52" s="757">
        <f t="shared" ref="L52:L61" si="13">+J52*60+K52</f>
        <v>45</v>
      </c>
      <c r="M52" s="941">
        <f t="shared" ref="M52:M61" si="14">+(F52/1000)/(L52/3600)</f>
        <v>23.515659687232137</v>
      </c>
      <c r="N52" s="1279">
        <v>23.515659687232141</v>
      </c>
      <c r="P52" s="1267"/>
    </row>
    <row r="53" spans="2:42">
      <c r="B53" s="928">
        <v>5</v>
      </c>
      <c r="C53" s="1073" t="s">
        <v>831</v>
      </c>
      <c r="D53" s="1239">
        <v>2986.3</v>
      </c>
      <c r="E53" s="1239">
        <v>720.1</v>
      </c>
      <c r="F53" s="941">
        <f t="shared" ref="F53:F61" si="15">(L53*N53*1000)/3600</f>
        <v>693.68228130720388</v>
      </c>
      <c r="G53" s="941">
        <f t="shared" si="10"/>
        <v>2959.8822813072043</v>
      </c>
      <c r="H53" s="1476">
        <f t="shared" si="11"/>
        <v>23.436144257765736</v>
      </c>
      <c r="I53" s="1064">
        <f t="shared" si="12"/>
        <v>24.113451428188728</v>
      </c>
      <c r="J53" s="1281">
        <v>50</v>
      </c>
      <c r="K53" s="1281">
        <v>30</v>
      </c>
      <c r="L53" s="757">
        <f t="shared" si="13"/>
        <v>3030</v>
      </c>
      <c r="M53" s="941">
        <f t="shared" si="14"/>
        <v>0.82417696788974715</v>
      </c>
      <c r="N53" s="1279">
        <v>0.82417696788974726</v>
      </c>
      <c r="P53" s="1267"/>
      <c r="AP53" s="4" t="s">
        <v>1351</v>
      </c>
    </row>
    <row r="54" spans="2:42">
      <c r="B54" s="928">
        <v>6</v>
      </c>
      <c r="C54" s="1073" t="s">
        <v>832</v>
      </c>
      <c r="D54" s="1239">
        <v>1780.3</v>
      </c>
      <c r="E54" s="1239">
        <v>287.7</v>
      </c>
      <c r="F54" s="941">
        <f t="shared" si="15"/>
        <v>283.64353399175991</v>
      </c>
      <c r="G54" s="941">
        <f t="shared" si="10"/>
        <v>1776.2435339917597</v>
      </c>
      <c r="H54" s="1476">
        <f t="shared" si="11"/>
        <v>15.968729994716805</v>
      </c>
      <c r="I54" s="1064">
        <f t="shared" si="12"/>
        <v>16.160197719485481</v>
      </c>
      <c r="J54" s="1281">
        <v>0</v>
      </c>
      <c r="K54" s="1281">
        <v>45</v>
      </c>
      <c r="L54" s="757">
        <f t="shared" si="13"/>
        <v>45</v>
      </c>
      <c r="M54" s="941">
        <f t="shared" si="14"/>
        <v>22.69148271934079</v>
      </c>
      <c r="N54" s="1279">
        <v>22.691482719340794</v>
      </c>
      <c r="P54" s="1267"/>
    </row>
    <row r="55" spans="2:42">
      <c r="B55" s="928">
        <v>7</v>
      </c>
      <c r="C55" s="1073" t="s">
        <v>833</v>
      </c>
      <c r="D55" s="1239">
        <v>1763.4</v>
      </c>
      <c r="E55" s="1239">
        <v>234.5</v>
      </c>
      <c r="F55" s="941">
        <f t="shared" si="15"/>
        <v>257.08342925895522</v>
      </c>
      <c r="G55" s="941">
        <f t="shared" si="10"/>
        <v>1785.9834292589553</v>
      </c>
      <c r="H55" s="1476">
        <f>(F55/G55)*100</f>
        <v>14.394502493543568</v>
      </c>
      <c r="I55" s="1064">
        <f t="shared" si="12"/>
        <v>13.298173982080073</v>
      </c>
      <c r="J55" s="1281">
        <v>0</v>
      </c>
      <c r="K55" s="1281">
        <v>30</v>
      </c>
      <c r="L55" s="757">
        <f t="shared" si="13"/>
        <v>30</v>
      </c>
      <c r="M55" s="941">
        <f t="shared" si="14"/>
        <v>30.850011511074626</v>
      </c>
      <c r="N55" s="1279">
        <v>30.850011511074623</v>
      </c>
      <c r="P55" s="1267"/>
    </row>
    <row r="56" spans="2:42">
      <c r="B56" s="928">
        <v>8</v>
      </c>
      <c r="C56" s="1073" t="s">
        <v>834</v>
      </c>
      <c r="D56" s="1239">
        <v>1852.8</v>
      </c>
      <c r="E56" s="1239">
        <v>190</v>
      </c>
      <c r="F56" s="941">
        <f t="shared" si="15"/>
        <v>189.91628762435852</v>
      </c>
      <c r="G56" s="941">
        <f t="shared" si="10"/>
        <v>1852.7162876243585</v>
      </c>
      <c r="H56" s="1476">
        <f t="shared" si="11"/>
        <v>10.25069455549928</v>
      </c>
      <c r="I56" s="1064">
        <f t="shared" si="12"/>
        <v>10.254749568221071</v>
      </c>
      <c r="J56" s="1281">
        <v>1</v>
      </c>
      <c r="K56" s="1281">
        <v>10</v>
      </c>
      <c r="L56" s="757">
        <f t="shared" si="13"/>
        <v>70</v>
      </c>
      <c r="M56" s="941">
        <f t="shared" si="14"/>
        <v>9.7671233635384382</v>
      </c>
      <c r="N56" s="1279">
        <v>9.7671233635384382</v>
      </c>
      <c r="P56" s="1267"/>
    </row>
    <row r="57" spans="2:42">
      <c r="B57" s="928">
        <v>9</v>
      </c>
      <c r="C57" s="1073" t="s">
        <v>835</v>
      </c>
      <c r="D57" s="1239">
        <v>3174.2</v>
      </c>
      <c r="E57" s="1239">
        <v>839.1</v>
      </c>
      <c r="F57" s="941">
        <f t="shared" si="15"/>
        <v>817.70224066311562</v>
      </c>
      <c r="G57" s="941">
        <f t="shared" si="10"/>
        <v>3152.8022406631153</v>
      </c>
      <c r="H57" s="1476">
        <f t="shared" si="11"/>
        <v>25.935728861037976</v>
      </c>
      <c r="I57" s="1064">
        <f t="shared" si="12"/>
        <v>26.435007245920232</v>
      </c>
      <c r="J57" s="1281">
        <v>30</v>
      </c>
      <c r="K57" s="1281">
        <v>30</v>
      </c>
      <c r="L57" s="757">
        <f t="shared" si="13"/>
        <v>1830</v>
      </c>
      <c r="M57" s="941">
        <f t="shared" si="14"/>
        <v>1.6085945717962931</v>
      </c>
      <c r="N57" s="1279">
        <v>1.6085945717962931</v>
      </c>
      <c r="P57" s="1267"/>
    </row>
    <row r="58" spans="2:42">
      <c r="B58" s="928">
        <v>10</v>
      </c>
      <c r="C58" s="1073" t="s">
        <v>836</v>
      </c>
      <c r="D58" s="1239">
        <v>1733.2</v>
      </c>
      <c r="E58" s="1239">
        <v>173.3</v>
      </c>
      <c r="F58" s="941">
        <f t="shared" si="15"/>
        <v>169.96934982782508</v>
      </c>
      <c r="G58" s="941">
        <f t="shared" si="10"/>
        <v>1729.8693498278251</v>
      </c>
      <c r="H58" s="1476">
        <f t="shared" si="11"/>
        <v>9.8255599386590795</v>
      </c>
      <c r="I58" s="1064">
        <f t="shared" si="12"/>
        <v>9.9988460650819295</v>
      </c>
      <c r="J58" s="1281">
        <v>1</v>
      </c>
      <c r="K58" s="1281">
        <v>15</v>
      </c>
      <c r="L58" s="757">
        <f t="shared" si="13"/>
        <v>75</v>
      </c>
      <c r="M58" s="941">
        <f t="shared" si="14"/>
        <v>8.1585287917356037</v>
      </c>
      <c r="N58" s="1279">
        <v>8.1585287917356037</v>
      </c>
      <c r="P58" s="1267"/>
    </row>
    <row r="59" spans="2:42">
      <c r="B59" s="928">
        <v>11</v>
      </c>
      <c r="C59" s="1073" t="s">
        <v>837</v>
      </c>
      <c r="D59" s="1239">
        <v>1691.3</v>
      </c>
      <c r="E59" s="1239">
        <v>271.3</v>
      </c>
      <c r="F59" s="941">
        <f t="shared" si="15"/>
        <v>263.5361018444126</v>
      </c>
      <c r="G59" s="941">
        <f t="shared" si="10"/>
        <v>1683.5361018444125</v>
      </c>
      <c r="H59" s="1476">
        <f t="shared" si="11"/>
        <v>15.653724417058438</v>
      </c>
      <c r="I59" s="1064">
        <f t="shared" si="12"/>
        <v>16.040915272275765</v>
      </c>
      <c r="J59" s="1281">
        <v>0</v>
      </c>
      <c r="K59" s="1281">
        <v>45</v>
      </c>
      <c r="L59" s="757">
        <f t="shared" si="13"/>
        <v>45</v>
      </c>
      <c r="M59" s="941">
        <f t="shared" si="14"/>
        <v>21.082888147553007</v>
      </c>
      <c r="N59" s="1279">
        <v>21.082888147553007</v>
      </c>
      <c r="P59" s="1267"/>
    </row>
    <row r="60" spans="2:42">
      <c r="B60" s="928">
        <v>12</v>
      </c>
      <c r="C60" s="942"/>
      <c r="D60" s="757"/>
      <c r="E60" s="757"/>
      <c r="F60" s="941">
        <f t="shared" si="15"/>
        <v>0</v>
      </c>
      <c r="G60" s="941">
        <f t="shared" si="10"/>
        <v>0</v>
      </c>
      <c r="H60" s="1278" t="e">
        <f t="shared" si="11"/>
        <v>#DIV/0!</v>
      </c>
      <c r="I60" s="1064" t="e">
        <f t="shared" si="12"/>
        <v>#DIV/0!</v>
      </c>
      <c r="J60" s="1089"/>
      <c r="K60" s="1089"/>
      <c r="L60" s="757">
        <f t="shared" si="13"/>
        <v>0</v>
      </c>
      <c r="M60" s="941" t="e">
        <f t="shared" si="14"/>
        <v>#DIV/0!</v>
      </c>
      <c r="N60" s="1279"/>
    </row>
    <row r="61" spans="2:42">
      <c r="B61" s="928">
        <v>13</v>
      </c>
      <c r="C61" s="757"/>
      <c r="D61" s="757"/>
      <c r="E61" s="757"/>
      <c r="F61" s="941">
        <f t="shared" si="15"/>
        <v>0</v>
      </c>
      <c r="G61" s="941">
        <f t="shared" si="10"/>
        <v>0</v>
      </c>
      <c r="H61" s="1278" t="e">
        <f t="shared" si="11"/>
        <v>#DIV/0!</v>
      </c>
      <c r="I61" s="1064" t="e">
        <f t="shared" si="12"/>
        <v>#DIV/0!</v>
      </c>
      <c r="J61" s="1088"/>
      <c r="K61" s="1088"/>
      <c r="L61" s="757">
        <f t="shared" si="13"/>
        <v>0</v>
      </c>
      <c r="M61" s="941" t="e">
        <f t="shared" si="14"/>
        <v>#DIV/0!</v>
      </c>
      <c r="N61" s="1279"/>
      <c r="AP61" s="4" t="s">
        <v>1356</v>
      </c>
    </row>
  </sheetData>
  <mergeCells count="7">
    <mergeCell ref="P44:Q44"/>
    <mergeCell ref="P2:AC2"/>
    <mergeCell ref="E3:F3"/>
    <mergeCell ref="P13:AC13"/>
    <mergeCell ref="P19:AC19"/>
    <mergeCell ref="P26:AC26"/>
    <mergeCell ref="B31:M31"/>
  </mergeCell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78A74-45C7-4208-997B-3B6E79E3A708}">
  <sheetPr>
    <tabColor theme="9" tint="0.79998168889431442"/>
  </sheetPr>
  <dimension ref="A2:AP61"/>
  <sheetViews>
    <sheetView topLeftCell="L10" zoomScale="70" zoomScaleNormal="70" workbookViewId="0">
      <selection activeCell="T21" sqref="T21:AA21"/>
    </sheetView>
  </sheetViews>
  <sheetFormatPr baseColWidth="10" defaultColWidth="10.7265625" defaultRowHeight="14.5"/>
  <cols>
    <col min="1" max="1" width="10.7265625" style="4"/>
    <col min="2" max="2" width="2.90625" style="4" bestFit="1" customWidth="1"/>
    <col min="3" max="3" width="28.54296875" style="4" bestFit="1" customWidth="1"/>
    <col min="4" max="4" width="17.7265625" style="4" bestFit="1" customWidth="1"/>
    <col min="5" max="5" width="18" style="4" bestFit="1" customWidth="1"/>
    <col min="6" max="6" width="15.36328125" style="4" bestFit="1" customWidth="1"/>
    <col min="7" max="8" width="18" style="4" customWidth="1"/>
    <col min="9" max="9" width="12.26953125" style="4" bestFit="1" customWidth="1"/>
    <col min="10" max="10" width="10.7265625" style="4"/>
    <col min="11" max="11" width="17.08984375" style="4" bestFit="1" customWidth="1"/>
    <col min="12" max="12" width="8.7265625" style="4" bestFit="1" customWidth="1"/>
    <col min="13" max="13" width="17.08984375" style="4" bestFit="1" customWidth="1"/>
    <col min="14" max="14" width="14.6328125" style="4" bestFit="1" customWidth="1"/>
    <col min="15" max="15" width="10.7265625" style="4"/>
    <col min="16" max="16" width="15.81640625" style="4" bestFit="1" customWidth="1"/>
    <col min="17" max="19" width="12.54296875" style="4" bestFit="1" customWidth="1"/>
    <col min="20" max="26" width="11.81640625" style="4" bestFit="1" customWidth="1"/>
    <col min="27" max="27" width="11.90625" style="4" bestFit="1" customWidth="1"/>
    <col min="28" max="29" width="11.81640625" style="4" bestFit="1" customWidth="1"/>
    <col min="30" max="16384" width="10.7265625" style="4"/>
  </cols>
  <sheetData>
    <row r="2" spans="5:29">
      <c r="P2" s="1307" t="s">
        <v>1416</v>
      </c>
      <c r="Q2" s="1308"/>
      <c r="R2" s="1308"/>
      <c r="S2" s="1308"/>
      <c r="T2" s="1308"/>
      <c r="U2" s="1308"/>
      <c r="V2" s="1308"/>
      <c r="W2" s="1308"/>
      <c r="X2" s="1308"/>
      <c r="Y2" s="1308"/>
      <c r="Z2" s="1308"/>
      <c r="AA2" s="1308"/>
      <c r="AB2" s="1308"/>
      <c r="AC2" s="1308"/>
    </row>
    <row r="3" spans="5:29" ht="15" thickBot="1">
      <c r="E3" s="1396"/>
      <c r="F3" s="1396"/>
      <c r="P3" s="1247" t="s">
        <v>1350</v>
      </c>
      <c r="Q3" s="1247" t="s">
        <v>993</v>
      </c>
      <c r="R3" s="1247" t="s">
        <v>1398</v>
      </c>
      <c r="S3" s="1247" t="s">
        <v>23</v>
      </c>
      <c r="T3" s="1247" t="s">
        <v>1400</v>
      </c>
      <c r="U3" s="1247" t="s">
        <v>1401</v>
      </c>
      <c r="V3" s="1247" t="s">
        <v>1402</v>
      </c>
      <c r="W3" s="1247" t="s">
        <v>1414</v>
      </c>
      <c r="X3" s="1247" t="s">
        <v>1399</v>
      </c>
      <c r="Y3" s="1247" t="s">
        <v>1403</v>
      </c>
      <c r="Z3" s="1247" t="s">
        <v>1404</v>
      </c>
      <c r="AA3" s="1247" t="s">
        <v>1405</v>
      </c>
      <c r="AB3" s="1247" t="s">
        <v>1136</v>
      </c>
      <c r="AC3" s="1247" t="s">
        <v>841</v>
      </c>
    </row>
    <row r="4" spans="5:29">
      <c r="P4" s="705" t="s">
        <v>809</v>
      </c>
      <c r="Q4" s="1248">
        <v>1</v>
      </c>
      <c r="R4" s="1249">
        <v>2</v>
      </c>
      <c r="S4" s="1249">
        <v>3</v>
      </c>
      <c r="T4" s="1249">
        <v>4</v>
      </c>
      <c r="U4" s="1249">
        <v>5</v>
      </c>
      <c r="V4" s="1249">
        <v>6</v>
      </c>
      <c r="W4" s="1249">
        <v>7</v>
      </c>
      <c r="X4" s="1249">
        <v>8</v>
      </c>
      <c r="Y4" s="1249">
        <v>9</v>
      </c>
      <c r="Z4" s="1249">
        <v>10</v>
      </c>
      <c r="AA4" s="1249">
        <v>11</v>
      </c>
      <c r="AB4" s="1249">
        <v>12</v>
      </c>
      <c r="AC4" s="1250">
        <v>13</v>
      </c>
    </row>
    <row r="5" spans="5:29">
      <c r="P5" s="1261" t="s">
        <v>847</v>
      </c>
      <c r="Q5" s="1252"/>
      <c r="R5" s="1253"/>
      <c r="S5" s="1253"/>
      <c r="T5" s="1253"/>
      <c r="U5" s="1253"/>
      <c r="V5" s="1253"/>
      <c r="W5" s="1253"/>
      <c r="X5" s="1253"/>
      <c r="Y5" s="1253"/>
      <c r="Z5" s="1253"/>
      <c r="AA5" s="1253"/>
      <c r="AB5" s="1253"/>
      <c r="AC5" s="1254"/>
    </row>
    <row r="6" spans="5:29">
      <c r="P6" s="1261" t="s">
        <v>849</v>
      </c>
      <c r="Q6" s="1252"/>
      <c r="R6" s="1253"/>
      <c r="S6" s="1253"/>
      <c r="T6" s="1253"/>
      <c r="U6" s="1253"/>
      <c r="V6" s="1253"/>
      <c r="W6" s="1253"/>
      <c r="X6" s="1253"/>
      <c r="Y6" s="1253"/>
      <c r="Z6" s="1253"/>
      <c r="AA6" s="1253"/>
      <c r="AB6" s="1253"/>
      <c r="AC6" s="1254"/>
    </row>
    <row r="7" spans="5:29">
      <c r="P7" s="1261" t="s">
        <v>851</v>
      </c>
      <c r="Q7" s="1252">
        <v>0</v>
      </c>
      <c r="R7" s="1253">
        <v>0</v>
      </c>
      <c r="S7" s="1253">
        <v>0</v>
      </c>
      <c r="T7" s="1253">
        <v>1</v>
      </c>
      <c r="U7" s="1253">
        <v>-1</v>
      </c>
      <c r="V7" s="1253">
        <v>-1</v>
      </c>
      <c r="W7" s="1253">
        <v>0</v>
      </c>
      <c r="X7" s="1253">
        <v>0</v>
      </c>
      <c r="Y7" s="1253">
        <v>0</v>
      </c>
      <c r="Z7" s="1253">
        <v>0</v>
      </c>
      <c r="AA7" s="1253">
        <v>0</v>
      </c>
      <c r="AB7" s="1473">
        <v>0</v>
      </c>
      <c r="AC7" s="1474">
        <v>0</v>
      </c>
    </row>
    <row r="8" spans="5:29">
      <c r="P8" s="1261" t="s">
        <v>853</v>
      </c>
      <c r="Q8" s="1252">
        <v>0</v>
      </c>
      <c r="R8" s="1253">
        <v>0</v>
      </c>
      <c r="S8" s="1253">
        <v>0</v>
      </c>
      <c r="T8" s="1253">
        <v>0</v>
      </c>
      <c r="U8" s="1253">
        <v>0</v>
      </c>
      <c r="V8" s="1253">
        <v>1</v>
      </c>
      <c r="W8" s="1253">
        <v>-1</v>
      </c>
      <c r="X8" s="1253">
        <v>0</v>
      </c>
      <c r="Y8" s="1253">
        <v>0</v>
      </c>
      <c r="Z8" s="1253">
        <v>1</v>
      </c>
      <c r="AA8" s="1253">
        <v>0</v>
      </c>
      <c r="AB8" s="1473">
        <v>0</v>
      </c>
      <c r="AC8" s="1473">
        <v>0</v>
      </c>
    </row>
    <row r="9" spans="5:29">
      <c r="P9" s="1261" t="s">
        <v>854</v>
      </c>
      <c r="Q9" s="1252">
        <v>0</v>
      </c>
      <c r="R9" s="1253">
        <v>0</v>
      </c>
      <c r="S9" s="1253">
        <v>0</v>
      </c>
      <c r="T9" s="1253">
        <v>0</v>
      </c>
      <c r="U9" s="1253">
        <v>0</v>
      </c>
      <c r="V9" s="1253">
        <v>0</v>
      </c>
      <c r="W9" s="1253">
        <v>1</v>
      </c>
      <c r="X9" s="1253">
        <v>-1</v>
      </c>
      <c r="Y9" s="1253">
        <v>0</v>
      </c>
      <c r="Z9" s="1253">
        <v>0</v>
      </c>
      <c r="AA9" s="1253">
        <v>-1</v>
      </c>
      <c r="AB9" s="1473">
        <v>0</v>
      </c>
      <c r="AC9" s="1473">
        <v>0</v>
      </c>
    </row>
    <row r="10" spans="5:29">
      <c r="P10" s="1261" t="s">
        <v>855</v>
      </c>
      <c r="Q10" s="1252">
        <v>0</v>
      </c>
      <c r="R10" s="1253">
        <v>0</v>
      </c>
      <c r="S10" s="1253">
        <v>0</v>
      </c>
      <c r="T10" s="1253">
        <v>0</v>
      </c>
      <c r="U10" s="1253">
        <v>0</v>
      </c>
      <c r="V10" s="1253">
        <v>0</v>
      </c>
      <c r="W10" s="1253">
        <v>0</v>
      </c>
      <c r="X10" s="1253">
        <v>1</v>
      </c>
      <c r="Y10" s="1253">
        <v>-1</v>
      </c>
      <c r="Z10" s="1253">
        <v>-1</v>
      </c>
      <c r="AA10" s="1253">
        <v>0</v>
      </c>
      <c r="AB10" s="1473">
        <v>0</v>
      </c>
      <c r="AC10" s="1473">
        <v>0</v>
      </c>
    </row>
    <row r="11" spans="5:29">
      <c r="P11" s="1261" t="s">
        <v>856</v>
      </c>
      <c r="Q11" s="1475">
        <v>0</v>
      </c>
      <c r="R11" s="1473">
        <v>0</v>
      </c>
      <c r="S11" s="1473">
        <v>0</v>
      </c>
      <c r="T11" s="1473">
        <v>0</v>
      </c>
      <c r="U11" s="1473">
        <v>0</v>
      </c>
      <c r="V11" s="1473">
        <v>0</v>
      </c>
      <c r="W11" s="1473">
        <v>0</v>
      </c>
      <c r="X11" s="1473">
        <v>0</v>
      </c>
      <c r="Y11" s="1473">
        <v>0</v>
      </c>
      <c r="Z11" s="1473">
        <v>0</v>
      </c>
      <c r="AA11" s="1473">
        <v>0</v>
      </c>
      <c r="AB11" s="1473">
        <v>0</v>
      </c>
      <c r="AC11" s="1473">
        <v>0</v>
      </c>
    </row>
    <row r="12" spans="5:29" ht="15" thickBot="1">
      <c r="P12" s="1255"/>
      <c r="Q12" s="1256">
        <f t="shared" ref="Q12:AC12" si="0">SUM(Q7:Q11)</f>
        <v>0</v>
      </c>
      <c r="R12" s="1257">
        <f t="shared" si="0"/>
        <v>0</v>
      </c>
      <c r="S12" s="1257">
        <f t="shared" si="0"/>
        <v>0</v>
      </c>
      <c r="T12" s="1257">
        <f t="shared" si="0"/>
        <v>1</v>
      </c>
      <c r="U12" s="1257">
        <f t="shared" si="0"/>
        <v>-1</v>
      </c>
      <c r="V12" s="1257">
        <f t="shared" si="0"/>
        <v>0</v>
      </c>
      <c r="W12" s="1257">
        <f t="shared" si="0"/>
        <v>0</v>
      </c>
      <c r="X12" s="1257">
        <f t="shared" si="0"/>
        <v>0</v>
      </c>
      <c r="Y12" s="1257">
        <f t="shared" si="0"/>
        <v>-1</v>
      </c>
      <c r="Z12" s="1257">
        <f t="shared" si="0"/>
        <v>0</v>
      </c>
      <c r="AA12" s="1257">
        <f t="shared" si="0"/>
        <v>-1</v>
      </c>
      <c r="AB12" s="1473">
        <v>0</v>
      </c>
      <c r="AC12" s="1473">
        <v>0</v>
      </c>
    </row>
    <row r="13" spans="5:29" ht="15" thickBot="1">
      <c r="P13" s="1393" t="s">
        <v>1098</v>
      </c>
      <c r="Q13" s="1397"/>
      <c r="R13" s="1397"/>
      <c r="S13" s="1397"/>
      <c r="T13" s="1397"/>
      <c r="U13" s="1397"/>
      <c r="V13" s="1397"/>
      <c r="W13" s="1397"/>
      <c r="X13" s="1397"/>
      <c r="Y13" s="1397"/>
      <c r="Z13" s="1397"/>
      <c r="AA13" s="1397"/>
      <c r="AB13" s="1397"/>
      <c r="AC13" s="1394"/>
    </row>
    <row r="14" spans="5:29">
      <c r="P14" s="1262" t="s">
        <v>1086</v>
      </c>
      <c r="Q14" s="1253"/>
      <c r="R14" s="1253"/>
      <c r="S14" s="1253"/>
      <c r="T14" s="1260">
        <v>4</v>
      </c>
      <c r="U14" s="1260">
        <v>5</v>
      </c>
      <c r="V14" s="1260">
        <v>6</v>
      </c>
      <c r="W14" s="1260">
        <v>7</v>
      </c>
      <c r="X14" s="1260">
        <v>8</v>
      </c>
      <c r="Y14" s="1260">
        <v>9</v>
      </c>
      <c r="Z14" s="1260">
        <v>10</v>
      </c>
      <c r="AA14" s="1260">
        <v>11</v>
      </c>
      <c r="AB14" s="1260">
        <v>12</v>
      </c>
      <c r="AC14" s="1259">
        <v>13</v>
      </c>
    </row>
    <row r="15" spans="5:29">
      <c r="P15" s="1262" t="s">
        <v>1352</v>
      </c>
      <c r="Q15" s="1253"/>
      <c r="R15" s="1253"/>
      <c r="S15" s="1253"/>
      <c r="T15" s="1267">
        <f t="shared" ref="T15:AC15" si="1">(1/T16^2)*(1/T17^2)*(T17-T18)^2</f>
        <v>5.3094016277568548</v>
      </c>
      <c r="U15" s="1267">
        <f t="shared" si="1"/>
        <v>1.3102485955240071</v>
      </c>
      <c r="V15" s="1267">
        <f t="shared" si="1"/>
        <v>0.84178325276171961</v>
      </c>
      <c r="W15" s="1267">
        <f t="shared" si="1"/>
        <v>1.6292294423081828E-3</v>
      </c>
      <c r="X15" s="1267">
        <f t="shared" si="1"/>
        <v>4.5509264538304943E-2</v>
      </c>
      <c r="Y15" s="1267">
        <f t="shared" si="1"/>
        <v>0.87974531079273799</v>
      </c>
      <c r="Z15" s="1267">
        <f t="shared" si="1"/>
        <v>0.1018230595708013</v>
      </c>
      <c r="AA15" s="1267">
        <f t="shared" si="1"/>
        <v>2.3578884833942473</v>
      </c>
      <c r="AB15" s="1267"/>
      <c r="AC15" s="1268"/>
    </row>
    <row r="16" spans="5:29">
      <c r="P16" s="1262" t="s">
        <v>1353</v>
      </c>
      <c r="Q16" s="1263"/>
      <c r="R16" s="1263"/>
      <c r="S16" s="1263"/>
      <c r="T16" s="1269">
        <v>0.05</v>
      </c>
      <c r="U16" s="1269">
        <f>5/100</f>
        <v>0.05</v>
      </c>
      <c r="V16" s="1269">
        <f>5/100</f>
        <v>0.05</v>
      </c>
      <c r="W16" s="1269">
        <v>0.05</v>
      </c>
      <c r="X16" s="1269">
        <v>0.05</v>
      </c>
      <c r="Y16" s="1269">
        <f>5/100</f>
        <v>0.05</v>
      </c>
      <c r="Z16" s="1269">
        <f>5/100</f>
        <v>0.05</v>
      </c>
      <c r="AA16" s="1269">
        <f>5/100</f>
        <v>0.05</v>
      </c>
      <c r="AB16" s="1269"/>
      <c r="AC16" s="1270"/>
    </row>
    <row r="17" spans="1:29">
      <c r="P17" s="1262" t="s">
        <v>1354</v>
      </c>
      <c r="Q17" s="1253"/>
      <c r="R17" s="1253"/>
      <c r="S17" s="1253"/>
      <c r="T17" s="1276">
        <v>20.452800000000003</v>
      </c>
      <c r="U17" s="1276">
        <v>1.4509629629629628</v>
      </c>
      <c r="V17" s="1276">
        <v>20.500800000000002</v>
      </c>
      <c r="W17" s="1276">
        <v>26.424000000000003</v>
      </c>
      <c r="X17" s="1276">
        <v>7.1159999999999997</v>
      </c>
      <c r="Y17" s="1276">
        <v>2.3738181818181818</v>
      </c>
      <c r="Z17" s="1276">
        <v>5.0093333333333332</v>
      </c>
      <c r="AA17" s="1276">
        <v>20.773714285714284</v>
      </c>
      <c r="AB17" s="1276"/>
      <c r="AC17" s="1277"/>
    </row>
    <row r="18" spans="1:29" ht="15" thickBot="1">
      <c r="P18" s="1264" t="s">
        <v>1355</v>
      </c>
      <c r="Q18" s="1257"/>
      <c r="R18" s="1257"/>
      <c r="S18" s="1257"/>
      <c r="T18" s="1282">
        <v>22.809181287340884</v>
      </c>
      <c r="U18" s="1282">
        <v>1.3679199337913037</v>
      </c>
      <c r="V18" s="1282">
        <v>21.441261353542167</v>
      </c>
      <c r="W18" s="1282">
        <v>26.370671460499644</v>
      </c>
      <c r="X18" s="1282">
        <v>7.1919024601157755</v>
      </c>
      <c r="Y18" s="1282">
        <v>2.262492353142195</v>
      </c>
      <c r="Z18" s="1282">
        <v>4.9294101069728153</v>
      </c>
      <c r="AA18" s="1282">
        <v>19.178769000414661</v>
      </c>
      <c r="AB18" s="1282"/>
      <c r="AC18" s="1283"/>
    </row>
    <row r="19" spans="1:29" ht="15" thickBot="1">
      <c r="P19" s="1393" t="s">
        <v>1357</v>
      </c>
      <c r="Q19" s="1397"/>
      <c r="R19" s="1397"/>
      <c r="S19" s="1397"/>
      <c r="T19" s="1397"/>
      <c r="U19" s="1397"/>
      <c r="V19" s="1397"/>
      <c r="W19" s="1397"/>
      <c r="X19" s="1397"/>
      <c r="Y19" s="1397"/>
      <c r="Z19" s="1397"/>
      <c r="AA19" s="1397"/>
      <c r="AB19" s="1397"/>
      <c r="AC19" s="1394"/>
    </row>
    <row r="20" spans="1:29">
      <c r="P20" s="1262" t="s">
        <v>1358</v>
      </c>
      <c r="Q20" s="1253"/>
      <c r="R20" s="1253"/>
      <c r="S20" s="1253"/>
      <c r="T20" s="1267">
        <f t="shared" ref="T20:AC20" si="2">(1/T21^2)*(1/T22^2)*(T22-T23)^2</f>
        <v>1.3553183827067998</v>
      </c>
      <c r="U20" s="1267">
        <f t="shared" si="2"/>
        <v>0.52707084301810181</v>
      </c>
      <c r="V20" s="1267">
        <f t="shared" si="2"/>
        <v>0.61555022783405033</v>
      </c>
      <c r="W20" s="1267">
        <f t="shared" si="2"/>
        <v>2.6643903025789777E-5</v>
      </c>
      <c r="X20" s="1267">
        <f t="shared" si="2"/>
        <v>0.25946691929673005</v>
      </c>
      <c r="Y20" s="1267">
        <f t="shared" si="2"/>
        <v>0.91937091781657265</v>
      </c>
      <c r="Z20" s="1267">
        <f t="shared" si="2"/>
        <v>4.5673483728958165E-2</v>
      </c>
      <c r="AA20" s="1267">
        <f t="shared" si="2"/>
        <v>2.2632322406437162E-2</v>
      </c>
      <c r="AB20" s="1267"/>
      <c r="AC20" s="1268"/>
    </row>
    <row r="21" spans="1:29">
      <c r="P21" s="1262" t="s">
        <v>1353</v>
      </c>
      <c r="Q21" s="1263"/>
      <c r="R21" s="1263"/>
      <c r="S21" s="1263"/>
      <c r="T21" s="1269">
        <f t="shared" ref="T21:X21" si="3">5/100</f>
        <v>0.05</v>
      </c>
      <c r="U21" s="1269">
        <f t="shared" si="3"/>
        <v>0.05</v>
      </c>
      <c r="V21" s="1269">
        <f t="shared" si="3"/>
        <v>0.05</v>
      </c>
      <c r="W21" s="1269">
        <f t="shared" si="3"/>
        <v>0.05</v>
      </c>
      <c r="X21" s="1269">
        <f t="shared" si="3"/>
        <v>0.05</v>
      </c>
      <c r="Y21" s="1269">
        <v>0.05</v>
      </c>
      <c r="Z21" s="1269">
        <f>5/100</f>
        <v>0.05</v>
      </c>
      <c r="AA21" s="1269">
        <f>5/100</f>
        <v>0.05</v>
      </c>
      <c r="AB21" s="1269"/>
      <c r="AC21" s="1270"/>
    </row>
    <row r="22" spans="1:29">
      <c r="P22" s="1262" t="s">
        <v>1354</v>
      </c>
      <c r="Q22" s="1253"/>
      <c r="R22" s="1253"/>
      <c r="S22" s="1253"/>
      <c r="T22" s="1276">
        <v>2.2839999999999998</v>
      </c>
      <c r="U22" s="1276">
        <v>23.75</v>
      </c>
      <c r="V22" s="1276">
        <v>1.069</v>
      </c>
      <c r="W22" s="1276">
        <v>1.512</v>
      </c>
      <c r="X22" s="1276">
        <v>5.31</v>
      </c>
      <c r="Y22" s="1276">
        <v>9.83</v>
      </c>
      <c r="Z22" s="1276">
        <v>3.22</v>
      </c>
      <c r="AA22" s="1276">
        <v>0.13900000000000001</v>
      </c>
      <c r="AB22" s="1276"/>
      <c r="AC22" s="1277"/>
    </row>
    <row r="23" spans="1:29">
      <c r="P23" s="1262" t="s">
        <v>1355</v>
      </c>
      <c r="Q23" s="1253"/>
      <c r="R23" s="1253"/>
      <c r="S23" s="1253"/>
      <c r="T23" s="1282">
        <v>2.4169495183618364</v>
      </c>
      <c r="U23" s="1282">
        <v>22.887879217583322</v>
      </c>
      <c r="V23" s="1282">
        <v>1.1109352713687972</v>
      </c>
      <c r="W23" s="1282">
        <v>1.5116097699427293</v>
      </c>
      <c r="X23" s="1282">
        <v>5.1747598875778476</v>
      </c>
      <c r="Y23" s="1282">
        <v>9.3587309672792891</v>
      </c>
      <c r="Z23" s="1282">
        <v>3.2544078824070639</v>
      </c>
      <c r="AA23" s="1282">
        <v>0.13795443902471596</v>
      </c>
      <c r="AB23" s="1282"/>
      <c r="AC23" s="1283"/>
    </row>
    <row r="24" spans="1:29">
      <c r="P24" s="1262" t="s">
        <v>1407</v>
      </c>
      <c r="Q24" s="1253"/>
      <c r="R24" s="1253"/>
      <c r="S24" s="1253"/>
      <c r="T24" s="1276">
        <f t="shared" ref="T24:AC25" si="4">T22*T17/100</f>
        <v>0.46714195200000008</v>
      </c>
      <c r="U24" s="1276">
        <f t="shared" si="4"/>
        <v>0.34460370370370363</v>
      </c>
      <c r="V24" s="1276">
        <f t="shared" si="4"/>
        <v>0.219153552</v>
      </c>
      <c r="W24" s="1276">
        <f t="shared" si="4"/>
        <v>0.39953088000000009</v>
      </c>
      <c r="X24" s="1276">
        <f t="shared" si="4"/>
        <v>0.37785959999999996</v>
      </c>
      <c r="Y24" s="1276">
        <f t="shared" si="4"/>
        <v>0.23334632727272728</v>
      </c>
      <c r="Z24" s="1276">
        <f t="shared" si="4"/>
        <v>0.16130053333333333</v>
      </c>
      <c r="AA24" s="1276">
        <f t="shared" si="4"/>
        <v>2.8875462857142861E-2</v>
      </c>
      <c r="AB24" s="1276"/>
      <c r="AC24" s="1277"/>
    </row>
    <row r="25" spans="1:29" ht="15" thickBot="1">
      <c r="O25" s="110"/>
      <c r="P25" s="1262" t="s">
        <v>1408</v>
      </c>
      <c r="Q25" s="1257"/>
      <c r="R25" s="1257"/>
      <c r="S25" s="1257"/>
      <c r="T25" s="1282">
        <f t="shared" si="4"/>
        <v>0.55128639726666362</v>
      </c>
      <c r="U25" s="1282">
        <f t="shared" si="4"/>
        <v>0.31308786223939933</v>
      </c>
      <c r="V25" s="1282">
        <f t="shared" si="4"/>
        <v>0.23819853500286672</v>
      </c>
      <c r="W25" s="1282">
        <f t="shared" si="4"/>
        <v>0.39862164619641161</v>
      </c>
      <c r="X25" s="1282">
        <f t="shared" si="4"/>
        <v>0.37216368365979557</v>
      </c>
      <c r="Y25" s="1282">
        <f t="shared" si="4"/>
        <v>0.21174057248584449</v>
      </c>
      <c r="Z25" s="1282">
        <f t="shared" si="4"/>
        <v>0.16042311107749377</v>
      </c>
      <c r="AA25" s="1282">
        <f t="shared" si="4"/>
        <v>2.6457963186368172E-2</v>
      </c>
      <c r="AB25" s="1282"/>
      <c r="AC25" s="1283"/>
    </row>
    <row r="26" spans="1:29" ht="15" thickBot="1">
      <c r="A26" t="s">
        <v>1305</v>
      </c>
      <c r="O26" s="110"/>
      <c r="P26" s="1393" t="s">
        <v>1359</v>
      </c>
      <c r="Q26" s="1397"/>
      <c r="R26" s="1397"/>
      <c r="S26" s="1397"/>
      <c r="T26" s="1397"/>
      <c r="U26" s="1397"/>
      <c r="V26" s="1397"/>
      <c r="W26" s="1397"/>
      <c r="X26" s="1397"/>
      <c r="Y26" s="1397"/>
      <c r="Z26" s="1397"/>
      <c r="AA26" s="1397"/>
      <c r="AB26" s="1397"/>
      <c r="AC26" s="1394"/>
    </row>
    <row r="27" spans="1:29">
      <c r="A27" t="s">
        <v>1308</v>
      </c>
      <c r="O27" s="110"/>
      <c r="P27" s="286" t="s">
        <v>1358</v>
      </c>
      <c r="Q27" s="1273"/>
      <c r="R27" s="1273"/>
      <c r="S27" s="1273"/>
      <c r="T27" s="1274">
        <f t="shared" ref="T27:AC27" si="5">(1/T28^2)*(1/T29^2)*(T29-T30)^2</f>
        <v>5.9538074731833364</v>
      </c>
      <c r="U27" s="1274">
        <f t="shared" si="5"/>
        <v>0.22548780798049931</v>
      </c>
      <c r="V27" s="1274">
        <f t="shared" si="5"/>
        <v>7.5697840975839092</v>
      </c>
      <c r="W27" s="1274">
        <f t="shared" si="5"/>
        <v>2.2323483199442746</v>
      </c>
      <c r="X27" s="1274">
        <f t="shared" si="5"/>
        <v>8.8915950517888689</v>
      </c>
      <c r="Y27" s="1274">
        <f t="shared" si="5"/>
        <v>1.4644132089590927</v>
      </c>
      <c r="Z27" s="1274">
        <f t="shared" si="5"/>
        <v>3.200148037257744</v>
      </c>
      <c r="AA27" s="1274">
        <f t="shared" si="5"/>
        <v>0.57328795012855416</v>
      </c>
      <c r="AB27" s="1274"/>
      <c r="AC27" s="1275"/>
    </row>
    <row r="28" spans="1:29">
      <c r="A28" t="s">
        <v>1309</v>
      </c>
      <c r="O28" s="110"/>
      <c r="P28" s="1262" t="s">
        <v>1353</v>
      </c>
      <c r="Q28" s="1263"/>
      <c r="R28" s="1263"/>
      <c r="S28" s="1263"/>
      <c r="T28" s="1269">
        <f t="shared" ref="T28:V28" si="6">5/100</f>
        <v>0.05</v>
      </c>
      <c r="U28" s="1269">
        <f t="shared" si="6"/>
        <v>0.05</v>
      </c>
      <c r="V28" s="1269">
        <f t="shared" si="6"/>
        <v>0.05</v>
      </c>
      <c r="W28" s="1269">
        <v>0.05</v>
      </c>
      <c r="X28" s="1269">
        <f t="shared" ref="X28:AC28" si="7">5/100</f>
        <v>0.05</v>
      </c>
      <c r="Y28" s="1269">
        <f t="shared" si="7"/>
        <v>0.05</v>
      </c>
      <c r="Z28" s="1269">
        <f t="shared" si="7"/>
        <v>0.05</v>
      </c>
      <c r="AA28" s="1269">
        <f t="shared" si="7"/>
        <v>0.05</v>
      </c>
      <c r="AB28" s="1269"/>
      <c r="AC28" s="1270"/>
    </row>
    <row r="29" spans="1:29">
      <c r="O29" s="110"/>
      <c r="P29" s="1262" t="s">
        <v>1354</v>
      </c>
      <c r="Q29" s="1253"/>
      <c r="R29" s="1253"/>
      <c r="S29" s="1253"/>
      <c r="T29" s="1276">
        <v>5.21</v>
      </c>
      <c r="U29" s="1276">
        <v>16.899999999999999</v>
      </c>
      <c r="V29" s="1276">
        <v>5.99</v>
      </c>
      <c r="W29" s="1276">
        <v>6.43</v>
      </c>
      <c r="X29" s="1276">
        <v>12.4</v>
      </c>
      <c r="Y29" s="1276">
        <v>12.4</v>
      </c>
      <c r="Z29" s="1276">
        <v>8.59</v>
      </c>
      <c r="AA29" s="1276">
        <v>4.07</v>
      </c>
      <c r="AB29" s="1276"/>
      <c r="AC29" s="1277"/>
    </row>
    <row r="30" spans="1:29">
      <c r="O30" s="110"/>
      <c r="P30" s="1262" t="s">
        <v>1355</v>
      </c>
      <c r="Q30" s="1253"/>
      <c r="R30" s="1253"/>
      <c r="S30" s="1253"/>
      <c r="T30" s="1282">
        <v>5.8456310750601244</v>
      </c>
      <c r="U30" s="1282">
        <v>16.498747047246656</v>
      </c>
      <c r="V30" s="1282">
        <v>5.1659784432435636</v>
      </c>
      <c r="W30" s="1282">
        <v>5.9496453964692746</v>
      </c>
      <c r="X30" s="1282">
        <v>10.551235780877496</v>
      </c>
      <c r="Y30" s="1282">
        <v>13.150280239326531</v>
      </c>
      <c r="Z30" s="1282">
        <v>9.3583307285732786</v>
      </c>
      <c r="AA30" s="1282">
        <v>4.2240816144538709</v>
      </c>
      <c r="AB30" s="1282"/>
      <c r="AC30" s="1283"/>
    </row>
    <row r="31" spans="1:29">
      <c r="B31" s="1463" t="s">
        <v>1415</v>
      </c>
      <c r="C31" s="1463"/>
      <c r="D31" s="1463"/>
      <c r="E31" s="1463"/>
      <c r="F31" s="1463"/>
      <c r="G31" s="1463"/>
      <c r="H31" s="1463"/>
      <c r="I31" s="1463"/>
      <c r="J31" s="1463"/>
      <c r="K31" s="1463"/>
      <c r="L31" s="1463"/>
      <c r="M31" s="1463"/>
      <c r="O31" s="110"/>
      <c r="P31" s="1262" t="s">
        <v>1409</v>
      </c>
      <c r="Q31" s="1253"/>
      <c r="R31" s="1253"/>
      <c r="S31" s="1253"/>
      <c r="T31" s="1276">
        <f t="shared" ref="T31:AC32" si="8">T29*T17/100</f>
        <v>1.0655908800000002</v>
      </c>
      <c r="U31" s="1276">
        <f t="shared" si="8"/>
        <v>0.24521274074074068</v>
      </c>
      <c r="V31" s="1276">
        <f t="shared" si="8"/>
        <v>1.2279979200000002</v>
      </c>
      <c r="W31" s="1276">
        <f t="shared" si="8"/>
        <v>1.6990632000000003</v>
      </c>
      <c r="X31" s="1276">
        <f t="shared" si="8"/>
        <v>0.88238399999999995</v>
      </c>
      <c r="Y31" s="1276">
        <f t="shared" si="8"/>
        <v>0.29435345454545453</v>
      </c>
      <c r="Z31" s="1276">
        <f t="shared" si="8"/>
        <v>0.43030173333333332</v>
      </c>
      <c r="AA31" s="1276">
        <f t="shared" si="8"/>
        <v>0.84549017142857141</v>
      </c>
      <c r="AB31" s="1276"/>
      <c r="AC31" s="1277"/>
    </row>
    <row r="32" spans="1:29" ht="15" thickBot="1">
      <c r="B32" s="1246" t="s">
        <v>26</v>
      </c>
      <c r="C32" s="1246" t="s">
        <v>1086</v>
      </c>
      <c r="D32" s="1246" t="s">
        <v>867</v>
      </c>
      <c r="E32" s="1246" t="s">
        <v>868</v>
      </c>
      <c r="F32" s="1246" t="s">
        <v>1171</v>
      </c>
      <c r="G32" s="1246" t="s">
        <v>310</v>
      </c>
      <c r="H32" s="1246" t="s">
        <v>882</v>
      </c>
      <c r="I32" s="1246" t="s">
        <v>865</v>
      </c>
      <c r="J32" s="1246" t="s">
        <v>865</v>
      </c>
      <c r="K32" s="1246" t="s">
        <v>866</v>
      </c>
      <c r="L32" s="1246" t="s">
        <v>874</v>
      </c>
      <c r="M32" s="1246" t="s">
        <v>873</v>
      </c>
      <c r="O32" s="110"/>
      <c r="P32" s="1264" t="s">
        <v>1410</v>
      </c>
      <c r="Q32" s="1257"/>
      <c r="R32" s="1257"/>
      <c r="S32" s="1257"/>
      <c r="T32" s="1282">
        <f t="shared" si="8"/>
        <v>1.3333405892995975</v>
      </c>
      <c r="U32" s="1282">
        <f t="shared" si="8"/>
        <v>0.22568964968509114</v>
      </c>
      <c r="V32" s="1282">
        <f t="shared" si="8"/>
        <v>1.1076509394835015</v>
      </c>
      <c r="W32" s="1282">
        <f t="shared" si="8"/>
        <v>1.568961440567654</v>
      </c>
      <c r="X32" s="1282">
        <f t="shared" si="8"/>
        <v>0.75883458569754469</v>
      </c>
      <c r="Y32" s="1282">
        <f t="shared" si="8"/>
        <v>0.29752408483153192</v>
      </c>
      <c r="Z32" s="1282">
        <f t="shared" si="8"/>
        <v>0.46131050077823388</v>
      </c>
      <c r="AA32" s="1282">
        <f t="shared" si="8"/>
        <v>0.8101268552250942</v>
      </c>
      <c r="AB32" s="1282"/>
      <c r="AC32" s="1283"/>
    </row>
    <row r="33" spans="2:29" ht="15" thickBot="1">
      <c r="B33" s="928">
        <v>1</v>
      </c>
      <c r="C33" s="757" t="s">
        <v>844</v>
      </c>
      <c r="D33" s="757"/>
      <c r="E33" s="757"/>
      <c r="F33" s="757"/>
      <c r="G33" s="940"/>
      <c r="H33" s="940"/>
      <c r="I33" s="940"/>
      <c r="J33" s="757"/>
      <c r="K33" s="941"/>
      <c r="L33" s="928"/>
      <c r="M33" s="928"/>
      <c r="O33" s="110"/>
      <c r="P33" s="1265" t="s">
        <v>1360</v>
      </c>
      <c r="Q33" s="1266">
        <f>SUM(T15:AC15,T20:AC20,T27:AC27)</f>
        <v>44.704010511317939</v>
      </c>
      <c r="R33" s="1253"/>
      <c r="S33" s="1253"/>
      <c r="T33" s="1253"/>
      <c r="U33" s="1253"/>
      <c r="V33" s="1253"/>
      <c r="W33" s="1253"/>
      <c r="X33" s="1253"/>
      <c r="Y33" s="1253"/>
      <c r="Z33" s="1253"/>
      <c r="AA33" s="1253"/>
      <c r="AB33" s="1253"/>
      <c r="AC33" s="1254"/>
    </row>
    <row r="34" spans="2:29" ht="15" thickBot="1">
      <c r="B34" s="928">
        <v>2</v>
      </c>
      <c r="C34" s="757" t="s">
        <v>845</v>
      </c>
      <c r="D34" s="757"/>
      <c r="E34" s="757"/>
      <c r="F34" s="757"/>
      <c r="G34" s="940"/>
      <c r="H34" s="940"/>
      <c r="I34" s="940"/>
      <c r="J34" s="757"/>
      <c r="K34" s="941"/>
      <c r="L34" s="928"/>
      <c r="M34" s="928"/>
      <c r="O34" s="110"/>
      <c r="P34" s="1252"/>
      <c r="Q34" s="1253"/>
      <c r="R34" s="1253"/>
      <c r="S34" s="1253"/>
      <c r="T34" s="1253"/>
      <c r="U34" s="846" t="s">
        <v>1417</v>
      </c>
      <c r="V34" s="1253"/>
      <c r="W34" s="1253"/>
      <c r="X34" s="1045" t="s">
        <v>264</v>
      </c>
      <c r="Y34" s="1482" t="s">
        <v>1418</v>
      </c>
      <c r="Z34" s="1253"/>
      <c r="AA34" s="846" t="s">
        <v>1183</v>
      </c>
      <c r="AB34" s="1253"/>
      <c r="AC34" s="1254"/>
    </row>
    <row r="35" spans="2:29" ht="15" thickBot="1">
      <c r="B35" s="928">
        <v>3</v>
      </c>
      <c r="C35" s="757" t="s">
        <v>846</v>
      </c>
      <c r="D35" s="757"/>
      <c r="E35" s="757"/>
      <c r="F35" s="757"/>
      <c r="G35" s="940"/>
      <c r="H35" s="940"/>
      <c r="I35" s="940"/>
      <c r="J35" s="757"/>
      <c r="K35" s="941"/>
      <c r="L35" s="928"/>
      <c r="M35" s="928"/>
      <c r="P35" s="280"/>
      <c r="Q35" s="281" t="s">
        <v>1361</v>
      </c>
      <c r="R35" s="281" t="s">
        <v>1362</v>
      </c>
      <c r="S35" s="282" t="s">
        <v>1363</v>
      </c>
      <c r="T35" s="846" t="s">
        <v>1056</v>
      </c>
      <c r="U35" s="1483">
        <f>U23</f>
        <v>22.887879217583322</v>
      </c>
      <c r="V35" s="1253"/>
      <c r="W35" s="1253"/>
      <c r="X35" s="1484">
        <f>X23</f>
        <v>5.1747598875778476</v>
      </c>
      <c r="Y35" s="1268">
        <f>Y23</f>
        <v>9.3587309672792891</v>
      </c>
      <c r="Z35" s="1253"/>
      <c r="AA35" s="1483">
        <f>SUM(U25,Y25)/SUM(U18,Y18)*100</f>
        <v>14.456441672319009</v>
      </c>
      <c r="AB35" s="1253"/>
      <c r="AC35" s="1254"/>
    </row>
    <row r="36" spans="2:29">
      <c r="B36" s="928">
        <v>4</v>
      </c>
      <c r="C36" s="1128" t="s">
        <v>830</v>
      </c>
      <c r="D36" s="1239">
        <v>2702.5</v>
      </c>
      <c r="E36" s="1239">
        <v>426.1</v>
      </c>
      <c r="F36" s="757">
        <f t="shared" ref="F36:F45" si="9">D36-E36</f>
        <v>2276.4</v>
      </c>
      <c r="G36" s="1477">
        <f t="shared" ref="G36:G45" si="10">+E36/D36*100</f>
        <v>15.766882516188716</v>
      </c>
      <c r="H36" s="1281">
        <v>1</v>
      </c>
      <c r="I36" s="1281">
        <v>15</v>
      </c>
      <c r="J36" s="757">
        <f t="shared" ref="J36:J45" si="11">+H36*60+I36</f>
        <v>75</v>
      </c>
      <c r="K36" s="1279">
        <f>+(E36/1000)/(J36/3600)</f>
        <v>20.452800000000003</v>
      </c>
      <c r="L36" s="1280">
        <v>2.2839999999999998</v>
      </c>
      <c r="M36" s="1280">
        <v>5.21</v>
      </c>
      <c r="P36" s="1251" t="s">
        <v>847</v>
      </c>
      <c r="Q36" s="1253"/>
      <c r="R36" s="1253"/>
      <c r="S36" s="1254"/>
      <c r="T36" s="847" t="s">
        <v>1096</v>
      </c>
      <c r="U36" s="1483">
        <f>U37*U38</f>
        <v>56.79223427092019</v>
      </c>
      <c r="V36" s="1253"/>
      <c r="W36" s="1253"/>
      <c r="X36" s="1484">
        <f>X37*X38</f>
        <v>93.362637782199229</v>
      </c>
      <c r="Y36" s="1268">
        <f>Y37*Y38</f>
        <v>56.894474604191103</v>
      </c>
      <c r="Z36" s="1253"/>
      <c r="AA36" s="1487">
        <f>(Y25+U25)/T25*100</f>
        <v>95.200686490252423</v>
      </c>
      <c r="AB36" s="1488">
        <f>AA37*AA38</f>
        <v>95.200686490252409</v>
      </c>
      <c r="AC36" s="1254"/>
    </row>
    <row r="37" spans="2:29">
      <c r="B37" s="928">
        <v>5</v>
      </c>
      <c r="C37" s="1073" t="s">
        <v>831</v>
      </c>
      <c r="D37" s="1239">
        <v>2878.9</v>
      </c>
      <c r="E37" s="1239">
        <v>489.7</v>
      </c>
      <c r="F37" s="757">
        <f t="shared" si="9"/>
        <v>2389.2000000000003</v>
      </c>
      <c r="G37" s="1477">
        <f t="shared" si="10"/>
        <v>17.009969085414568</v>
      </c>
      <c r="H37" s="1281">
        <v>20</v>
      </c>
      <c r="I37" s="1281">
        <v>15</v>
      </c>
      <c r="J37" s="757">
        <f t="shared" si="11"/>
        <v>1215</v>
      </c>
      <c r="K37" s="1279">
        <f t="shared" ref="K36:K45" si="12">+(E37/1000)/(J37/3600)</f>
        <v>1.4509629629629628</v>
      </c>
      <c r="L37" s="1280">
        <v>23.75</v>
      </c>
      <c r="M37" s="1280">
        <v>16.899999999999999</v>
      </c>
      <c r="P37" s="1251" t="s">
        <v>849</v>
      </c>
      <c r="Q37" s="1253"/>
      <c r="R37" s="1253"/>
      <c r="S37" s="1254"/>
      <c r="T37" s="847" t="s">
        <v>1178</v>
      </c>
      <c r="U37" s="1483">
        <f>U18/T18*100</f>
        <v>5.9972338180787776</v>
      </c>
      <c r="V37" s="1253"/>
      <c r="W37" s="1253"/>
      <c r="X37" s="1484">
        <f>X18/W18*100</f>
        <v>27.272352434743468</v>
      </c>
      <c r="Y37" s="1268">
        <f>Y18/X18*100</f>
        <v>31.458885401871445</v>
      </c>
      <c r="Z37" s="1253"/>
      <c r="AA37" s="1483">
        <f>(U18+Y18)/T18*100</f>
        <v>15.916451542907334</v>
      </c>
      <c r="AB37" s="1253"/>
      <c r="AC37" s="1254"/>
    </row>
    <row r="38" spans="2:29" ht="15" thickBot="1">
      <c r="B38" s="928">
        <v>6</v>
      </c>
      <c r="C38" s="1073" t="s">
        <v>832</v>
      </c>
      <c r="D38" s="1239">
        <v>2694.9</v>
      </c>
      <c r="E38" s="1239">
        <v>427.1</v>
      </c>
      <c r="F38" s="757">
        <f t="shared" si="9"/>
        <v>2267.8000000000002</v>
      </c>
      <c r="G38" s="1477">
        <f t="shared" si="10"/>
        <v>15.848454488107166</v>
      </c>
      <c r="H38" s="1281">
        <v>1</v>
      </c>
      <c r="I38" s="1281">
        <v>15</v>
      </c>
      <c r="J38" s="757">
        <f t="shared" si="11"/>
        <v>75</v>
      </c>
      <c r="K38" s="1279">
        <f t="shared" si="12"/>
        <v>20.500800000000002</v>
      </c>
      <c r="L38" s="1280">
        <v>1.069</v>
      </c>
      <c r="M38" s="1280">
        <v>5.99</v>
      </c>
      <c r="P38" s="1251" t="s">
        <v>851</v>
      </c>
      <c r="Q38" s="1253">
        <f>SUMPRODUCT(T7:AC7,$T$18:$AC$18)</f>
        <v>7.4145134476566454E-12</v>
      </c>
      <c r="R38" s="1253">
        <f>SUMPRODUCT(T7:AC7,$T$25:$AC$25)</f>
        <v>2.4397567299772049E-11</v>
      </c>
      <c r="S38" s="1254">
        <f>SUMPRODUCT(T7:AC7,$T$32:$AC$32)</f>
        <v>1.3100498463813892E-10</v>
      </c>
      <c r="T38" s="706" t="s">
        <v>753</v>
      </c>
      <c r="U38" s="1485">
        <f>U23/T23</f>
        <v>9.4697382149281726</v>
      </c>
      <c r="V38" s="1253"/>
      <c r="W38" s="1253"/>
      <c r="X38" s="1486">
        <f>X23/W23</f>
        <v>3.4233437693207716</v>
      </c>
      <c r="Y38" s="1272">
        <f>Y23/X23</f>
        <v>1.8085343418049558</v>
      </c>
      <c r="Z38" s="1253"/>
      <c r="AA38" s="1485">
        <f>AA35/T23</f>
        <v>5.981275803442232</v>
      </c>
      <c r="AB38" s="1253"/>
      <c r="AC38" s="1254"/>
    </row>
    <row r="39" spans="2:29">
      <c r="B39" s="928">
        <v>7</v>
      </c>
      <c r="C39" s="1073" t="s">
        <v>833</v>
      </c>
      <c r="D39" s="1239">
        <v>2628.6</v>
      </c>
      <c r="E39" s="1239">
        <v>330.3</v>
      </c>
      <c r="F39" s="757">
        <f t="shared" si="9"/>
        <v>2298.2999999999997</v>
      </c>
      <c r="G39" s="1477">
        <f t="shared" si="10"/>
        <v>12.565624286692536</v>
      </c>
      <c r="H39" s="1281">
        <v>0</v>
      </c>
      <c r="I39" s="1281">
        <v>45</v>
      </c>
      <c r="J39" s="757">
        <f t="shared" si="11"/>
        <v>45</v>
      </c>
      <c r="K39" s="1279">
        <f t="shared" si="12"/>
        <v>26.424000000000003</v>
      </c>
      <c r="L39" s="1280">
        <v>1.512</v>
      </c>
      <c r="M39" s="1280">
        <v>6.43</v>
      </c>
      <c r="P39" s="1251" t="s">
        <v>853</v>
      </c>
      <c r="Q39" s="1253">
        <f>SUMPRODUCT(T8:AC8,$T$18:$AC$18)</f>
        <v>1.5338841308221163E-11</v>
      </c>
      <c r="R39" s="1253">
        <f>SUMPRODUCT(T8:AC8,$T$25:$AC$25)</f>
        <v>-1.1605111316370653E-10</v>
      </c>
      <c r="S39" s="1254">
        <f>SUMPRODUCT(T8:AC8,$T$32:$AC$32)</f>
        <v>-3.0591862376638801E-10</v>
      </c>
      <c r="T39" s="1253"/>
      <c r="U39" s="1253"/>
      <c r="V39" s="1253"/>
      <c r="W39" s="1253"/>
      <c r="X39" s="1253"/>
      <c r="Y39" s="1253"/>
      <c r="Z39" s="1253"/>
      <c r="AA39" s="1253"/>
      <c r="AB39" s="1253"/>
      <c r="AC39" s="1254"/>
    </row>
    <row r="40" spans="2:29">
      <c r="B40" s="928">
        <v>8</v>
      </c>
      <c r="C40" s="1073" t="s">
        <v>834</v>
      </c>
      <c r="D40" s="1239">
        <v>2651.3</v>
      </c>
      <c r="E40" s="1239">
        <v>296.5</v>
      </c>
      <c r="F40" s="757">
        <f t="shared" si="9"/>
        <v>2354.8000000000002</v>
      </c>
      <c r="G40" s="1477">
        <f t="shared" si="10"/>
        <v>11.183193150529929</v>
      </c>
      <c r="H40" s="1281">
        <v>2</v>
      </c>
      <c r="I40" s="1281">
        <v>30</v>
      </c>
      <c r="J40" s="757">
        <f t="shared" si="11"/>
        <v>150</v>
      </c>
      <c r="K40" s="1279">
        <f t="shared" si="12"/>
        <v>7.1159999999999997</v>
      </c>
      <c r="L40" s="1280">
        <v>5.31</v>
      </c>
      <c r="M40" s="1280">
        <v>12.4</v>
      </c>
      <c r="P40" s="1251" t="s">
        <v>854</v>
      </c>
      <c r="Q40" s="1253">
        <f>SUMPRODUCT(T9:AC9,$T$18:$AC$18)</f>
        <v>-3.0794922167842742E-11</v>
      </c>
      <c r="R40" s="1253">
        <f>SUMPRODUCT(T9:AC9,$T$25:$AC$25)</f>
        <v>-6.4975214097984235E-10</v>
      </c>
      <c r="S40" s="1254">
        <f>SUMPRODUCT(T9:AC9,$T$32:$AC$32)</f>
        <v>-3.549849303396968E-10</v>
      </c>
      <c r="T40" s="1253"/>
      <c r="U40" s="1253"/>
      <c r="V40" s="1253"/>
      <c r="W40" s="1253"/>
      <c r="X40" s="1253"/>
      <c r="Y40" s="1253"/>
      <c r="Z40" s="1253"/>
      <c r="AA40" s="1253"/>
      <c r="AB40" s="1253"/>
      <c r="AC40" s="1254"/>
    </row>
    <row r="41" spans="2:29">
      <c r="B41" s="928">
        <v>9</v>
      </c>
      <c r="C41" s="1073" t="s">
        <v>835</v>
      </c>
      <c r="D41" s="1239">
        <v>2510.1999999999998</v>
      </c>
      <c r="E41" s="1239">
        <v>217.6</v>
      </c>
      <c r="F41" s="757">
        <f t="shared" si="9"/>
        <v>2292.6</v>
      </c>
      <c r="G41" s="1477">
        <f t="shared" si="10"/>
        <v>8.6686319815154178</v>
      </c>
      <c r="H41" s="1281">
        <v>5</v>
      </c>
      <c r="I41" s="1281">
        <v>30</v>
      </c>
      <c r="J41" s="757">
        <f t="shared" si="11"/>
        <v>330</v>
      </c>
      <c r="K41" s="1279">
        <f t="shared" si="12"/>
        <v>2.3738181818181818</v>
      </c>
      <c r="L41" s="1280">
        <v>9.83</v>
      </c>
      <c r="M41" s="1280">
        <v>12.4</v>
      </c>
      <c r="P41" s="1251" t="s">
        <v>855</v>
      </c>
      <c r="Q41" s="1253">
        <f>SUMPRODUCT(T10:AC10,$T$18:$AC$18)</f>
        <v>7.6560979778150795E-13</v>
      </c>
      <c r="R41" s="1253">
        <f>SUMPRODUCT(T10:AC10,$T$25:$AC$25)</f>
        <v>9.6457314358033841E-11</v>
      </c>
      <c r="S41" s="1254">
        <f>SUMPRODUCT(T10:AC10,$T$32:$AC$32)</f>
        <v>8.7778895263568302E-11</v>
      </c>
      <c r="T41" s="1253"/>
      <c r="U41" s="1253"/>
      <c r="V41" s="1253"/>
      <c r="W41" s="1253"/>
      <c r="X41" s="1253"/>
      <c r="Y41" s="1253"/>
      <c r="Z41" s="1253"/>
      <c r="AA41" s="1253"/>
      <c r="AB41" s="1253"/>
      <c r="AC41" s="1254"/>
    </row>
    <row r="42" spans="2:29">
      <c r="B42" s="928">
        <v>10</v>
      </c>
      <c r="C42" s="1073" t="s">
        <v>836</v>
      </c>
      <c r="D42" s="1239">
        <v>3923.2</v>
      </c>
      <c r="E42" s="1239">
        <v>375.7</v>
      </c>
      <c r="F42" s="757">
        <f t="shared" si="9"/>
        <v>3547.5</v>
      </c>
      <c r="G42" s="1477">
        <f t="shared" si="10"/>
        <v>9.5763662316476346</v>
      </c>
      <c r="H42" s="1281">
        <v>4</v>
      </c>
      <c r="I42" s="1281">
        <v>30</v>
      </c>
      <c r="J42" s="757">
        <f t="shared" si="11"/>
        <v>270</v>
      </c>
      <c r="K42" s="1279">
        <f t="shared" si="12"/>
        <v>5.0093333333333332</v>
      </c>
      <c r="L42" s="1280">
        <v>3.22</v>
      </c>
      <c r="M42" s="1280">
        <v>8.59</v>
      </c>
      <c r="P42" s="1251" t="s">
        <v>856</v>
      </c>
      <c r="Q42" s="1253">
        <f>SUMPRODUCT(T11:AC11,$T$18:$AC$18)</f>
        <v>0</v>
      </c>
      <c r="R42" s="1253">
        <f>SUMPRODUCT(T11:AC11,$T$25:$AC$25)</f>
        <v>0</v>
      </c>
      <c r="S42" s="1254">
        <f>SUMPRODUCT(T11:AC11,$T$32:$AC$32)</f>
        <v>0</v>
      </c>
      <c r="T42" s="1253"/>
      <c r="U42" s="1253"/>
      <c r="V42" s="1253"/>
      <c r="W42" s="1253"/>
      <c r="X42" s="1253"/>
      <c r="Y42" s="1253"/>
      <c r="Z42" s="1253"/>
      <c r="AA42" s="1253"/>
      <c r="AB42" s="1253"/>
      <c r="AC42" s="1254"/>
    </row>
    <row r="43" spans="2:29" ht="15" thickBot="1">
      <c r="B43" s="928">
        <v>11</v>
      </c>
      <c r="C43" s="1073" t="s">
        <v>837</v>
      </c>
      <c r="D43" s="1239">
        <v>4031.1</v>
      </c>
      <c r="E43" s="1239">
        <v>605.9</v>
      </c>
      <c r="F43" s="757">
        <f t="shared" si="9"/>
        <v>3425.2</v>
      </c>
      <c r="G43" s="1477">
        <f t="shared" si="10"/>
        <v>15.030636798888642</v>
      </c>
      <c r="H43" s="1281">
        <v>1</v>
      </c>
      <c r="I43" s="1281">
        <v>45</v>
      </c>
      <c r="J43" s="757">
        <f t="shared" si="11"/>
        <v>105</v>
      </c>
      <c r="K43" s="1279">
        <f t="shared" si="12"/>
        <v>20.773714285714284</v>
      </c>
      <c r="L43" s="1280">
        <v>0.13900000000000001</v>
      </c>
      <c r="M43" s="1280">
        <v>4.07</v>
      </c>
      <c r="P43" s="1255" t="s">
        <v>861</v>
      </c>
      <c r="Q43" s="1257"/>
      <c r="R43" s="1257"/>
      <c r="S43" s="1258"/>
      <c r="T43" s="1257"/>
      <c r="U43" s="1257"/>
      <c r="V43" s="1257"/>
      <c r="W43" s="1257"/>
      <c r="X43" s="1257"/>
      <c r="Y43" s="1257"/>
      <c r="Z43" s="1257"/>
      <c r="AA43" s="1257"/>
      <c r="AB43" s="1257"/>
      <c r="AC43" s="1258"/>
    </row>
    <row r="44" spans="2:29">
      <c r="B44" s="928">
        <v>12</v>
      </c>
      <c r="C44" s="757"/>
      <c r="D44" s="757"/>
      <c r="E44" s="757"/>
      <c r="F44" s="757">
        <f t="shared" si="9"/>
        <v>0</v>
      </c>
      <c r="G44" s="1477" t="e">
        <f t="shared" si="10"/>
        <v>#DIV/0!</v>
      </c>
      <c r="H44" s="1088"/>
      <c r="I44" s="1088"/>
      <c r="J44" s="757">
        <f t="shared" si="11"/>
        <v>0</v>
      </c>
      <c r="K44" s="1279" t="e">
        <f t="shared" si="12"/>
        <v>#DIV/0!</v>
      </c>
      <c r="L44" s="1280"/>
      <c r="M44" s="1280"/>
      <c r="P44" s="1462" t="s">
        <v>1411</v>
      </c>
      <c r="Q44" s="1462"/>
    </row>
    <row r="45" spans="2:29">
      <c r="B45" s="928">
        <v>13</v>
      </c>
      <c r="C45" s="757"/>
      <c r="D45" s="757"/>
      <c r="E45" s="757"/>
      <c r="F45" s="757">
        <f t="shared" si="9"/>
        <v>0</v>
      </c>
      <c r="G45" s="1064" t="e">
        <f t="shared" si="10"/>
        <v>#DIV/0!</v>
      </c>
      <c r="H45" s="1088"/>
      <c r="I45" s="1088"/>
      <c r="J45" s="757">
        <f t="shared" si="11"/>
        <v>0</v>
      </c>
      <c r="K45" s="1279" t="e">
        <f t="shared" si="12"/>
        <v>#DIV/0!</v>
      </c>
      <c r="L45" s="1280"/>
      <c r="M45" s="1280"/>
      <c r="P45" s="928" t="s">
        <v>33</v>
      </c>
      <c r="Q45" s="880">
        <f>SUMPRODUCT(T17:AA17,T12:AA12)/SUM(T17)*100</f>
        <v>-20.269573997180931</v>
      </c>
    </row>
    <row r="46" spans="2:29">
      <c r="P46" s="928" t="s">
        <v>1395</v>
      </c>
      <c r="Q46" s="880">
        <f>SUMPRODUCT(T24:AA24,T12:AA12)/SUM(T24)*100</f>
        <v>-29.901733559903786</v>
      </c>
    </row>
    <row r="47" spans="2:29">
      <c r="P47" s="928" t="s">
        <v>1396</v>
      </c>
      <c r="Q47" s="880">
        <f>SUMPRODUCT(T31:AA31,T12:AA12)/SUM(T31)*100</f>
        <v>-29.980125835420658</v>
      </c>
    </row>
    <row r="48" spans="2:29">
      <c r="B48" s="1246" t="s">
        <v>26</v>
      </c>
      <c r="C48" s="1246" t="s">
        <v>1086</v>
      </c>
      <c r="D48" s="1065" t="s">
        <v>867</v>
      </c>
      <c r="E48" s="1065" t="s">
        <v>868</v>
      </c>
      <c r="F48" s="1065" t="s">
        <v>1172</v>
      </c>
      <c r="G48" s="1065" t="s">
        <v>1173</v>
      </c>
      <c r="H48" s="1065" t="s">
        <v>1174</v>
      </c>
      <c r="I48" s="1065" t="s">
        <v>1413</v>
      </c>
      <c r="J48" s="1065" t="s">
        <v>882</v>
      </c>
      <c r="K48" s="1065" t="s">
        <v>865</v>
      </c>
      <c r="L48" s="1065" t="s">
        <v>865</v>
      </c>
      <c r="M48" s="1065" t="s">
        <v>866</v>
      </c>
      <c r="N48" s="1065" t="s">
        <v>1412</v>
      </c>
    </row>
    <row r="49" spans="2:42">
      <c r="B49" s="928">
        <v>1</v>
      </c>
      <c r="C49" s="757" t="s">
        <v>844</v>
      </c>
      <c r="D49" s="757"/>
      <c r="E49" s="757"/>
      <c r="F49" s="757"/>
      <c r="G49" s="757"/>
      <c r="H49" s="757"/>
      <c r="I49" s="940"/>
      <c r="J49" s="940"/>
      <c r="K49" s="940"/>
      <c r="L49" s="757"/>
      <c r="M49" s="941"/>
      <c r="N49" s="941"/>
    </row>
    <row r="50" spans="2:42">
      <c r="B50" s="928">
        <v>2</v>
      </c>
      <c r="C50" s="757" t="s">
        <v>845</v>
      </c>
      <c r="D50" s="757"/>
      <c r="E50" s="757"/>
      <c r="F50" s="757"/>
      <c r="G50" s="757"/>
      <c r="H50" s="757"/>
      <c r="I50" s="940"/>
      <c r="J50" s="940"/>
      <c r="K50" s="940"/>
      <c r="L50" s="757"/>
      <c r="M50" s="941"/>
      <c r="N50" s="941"/>
    </row>
    <row r="51" spans="2:42">
      <c r="B51" s="928">
        <v>3</v>
      </c>
      <c r="C51" s="757" t="s">
        <v>846</v>
      </c>
      <c r="D51" s="757"/>
      <c r="E51" s="757"/>
      <c r="F51" s="757"/>
      <c r="G51" s="757"/>
      <c r="H51" s="757"/>
      <c r="I51" s="940"/>
      <c r="J51" s="940"/>
      <c r="K51" s="940"/>
      <c r="L51" s="757"/>
      <c r="M51" s="941"/>
      <c r="N51" s="1479"/>
    </row>
    <row r="52" spans="2:42">
      <c r="B52" s="928">
        <v>4</v>
      </c>
      <c r="C52" s="1128" t="s">
        <v>830</v>
      </c>
      <c r="D52" s="1239">
        <v>2702.5</v>
      </c>
      <c r="E52" s="1239">
        <v>426.1</v>
      </c>
      <c r="F52" s="941">
        <f>(L52/3600)*N52*1000</f>
        <v>475.19127681960174</v>
      </c>
      <c r="G52" s="941">
        <f t="shared" ref="G52:G61" si="13">F52+F36</f>
        <v>2751.5912768196017</v>
      </c>
      <c r="H52" s="1476">
        <f t="shared" ref="H52:H61" si="14">(F52/G52)*100</f>
        <v>17.269689754535296</v>
      </c>
      <c r="I52" s="1064">
        <f t="shared" ref="I52:I61" si="15">+E52/D52*100</f>
        <v>15.766882516188716</v>
      </c>
      <c r="J52" s="1281">
        <v>1</v>
      </c>
      <c r="K52" s="1281">
        <v>15</v>
      </c>
      <c r="L52" s="757">
        <f t="shared" ref="L52:L61" si="16">+J52*60+K52</f>
        <v>75</v>
      </c>
      <c r="M52" s="1478">
        <f t="shared" ref="M52:M61" si="17">+(F52/1000)/(L52/3600)</f>
        <v>22.809181287340884</v>
      </c>
      <c r="N52" s="1481">
        <v>22.809181287340884</v>
      </c>
      <c r="P52" s="1267"/>
    </row>
    <row r="53" spans="2:42">
      <c r="B53" s="928">
        <v>5</v>
      </c>
      <c r="C53" s="1073" t="s">
        <v>831</v>
      </c>
      <c r="D53" s="1239">
        <v>2878.9</v>
      </c>
      <c r="E53" s="1239">
        <v>489.7</v>
      </c>
      <c r="F53" s="941">
        <f t="shared" ref="F53:F61" si="18">(L53*N53*1000)/3600</f>
        <v>461.67297765456493</v>
      </c>
      <c r="G53" s="941">
        <f t="shared" si="13"/>
        <v>2850.8729776545651</v>
      </c>
      <c r="H53" s="1476">
        <f t="shared" si="14"/>
        <v>16.194091468585412</v>
      </c>
      <c r="I53" s="1064">
        <f t="shared" si="15"/>
        <v>17.009969085414568</v>
      </c>
      <c r="J53" s="1281">
        <v>20</v>
      </c>
      <c r="K53" s="1281">
        <v>15</v>
      </c>
      <c r="L53" s="757">
        <f t="shared" si="16"/>
        <v>1215</v>
      </c>
      <c r="M53" s="1478">
        <f t="shared" si="17"/>
        <v>1.3679199337913035</v>
      </c>
      <c r="N53" s="1481">
        <v>1.3679199337913037</v>
      </c>
      <c r="P53" s="1267"/>
      <c r="AP53" s="4" t="s">
        <v>1351</v>
      </c>
    </row>
    <row r="54" spans="2:42">
      <c r="B54" s="928">
        <v>6</v>
      </c>
      <c r="C54" s="1073" t="s">
        <v>832</v>
      </c>
      <c r="D54" s="1239">
        <v>2694.9</v>
      </c>
      <c r="E54" s="1239">
        <v>427.1</v>
      </c>
      <c r="F54" s="941">
        <f t="shared" si="18"/>
        <v>446.69294486546187</v>
      </c>
      <c r="G54" s="941">
        <f t="shared" si="13"/>
        <v>2714.4929448654621</v>
      </c>
      <c r="H54" s="1476">
        <f t="shared" si="14"/>
        <v>16.4558521218629</v>
      </c>
      <c r="I54" s="1064">
        <f t="shared" si="15"/>
        <v>15.848454488107166</v>
      </c>
      <c r="J54" s="1281">
        <v>1</v>
      </c>
      <c r="K54" s="1281">
        <v>15</v>
      </c>
      <c r="L54" s="757">
        <f t="shared" si="16"/>
        <v>75</v>
      </c>
      <c r="M54" s="1478">
        <f t="shared" si="17"/>
        <v>21.441261353542171</v>
      </c>
      <c r="N54" s="1481">
        <v>21.441261353542167</v>
      </c>
      <c r="P54" s="1267"/>
    </row>
    <row r="55" spans="2:42">
      <c r="B55" s="928">
        <v>7</v>
      </c>
      <c r="C55" s="1073" t="s">
        <v>833</v>
      </c>
      <c r="D55" s="1239">
        <v>2628.6</v>
      </c>
      <c r="E55" s="1239">
        <v>330.3</v>
      </c>
      <c r="F55" s="941">
        <f t="shared" si="18"/>
        <v>329.6333932562456</v>
      </c>
      <c r="G55" s="941">
        <f t="shared" si="13"/>
        <v>2627.9333932562454</v>
      </c>
      <c r="H55" s="1476">
        <f>(F55/G55)*100</f>
        <v>12.543445511295864</v>
      </c>
      <c r="I55" s="1064">
        <f t="shared" si="15"/>
        <v>12.565624286692536</v>
      </c>
      <c r="J55" s="1281">
        <v>0</v>
      </c>
      <c r="K55" s="1281">
        <v>45</v>
      </c>
      <c r="L55" s="757">
        <f t="shared" si="16"/>
        <v>45</v>
      </c>
      <c r="M55" s="1478">
        <f t="shared" si="17"/>
        <v>26.370671460499644</v>
      </c>
      <c r="N55" s="1481">
        <v>26.370671460499644</v>
      </c>
      <c r="P55" s="1267"/>
    </row>
    <row r="56" spans="2:42">
      <c r="B56" s="928">
        <v>8</v>
      </c>
      <c r="C56" s="1073" t="s">
        <v>834</v>
      </c>
      <c r="D56" s="1239">
        <v>2651.3</v>
      </c>
      <c r="E56" s="1239">
        <v>296.5</v>
      </c>
      <c r="F56" s="941">
        <f t="shared" si="18"/>
        <v>299.66260250482395</v>
      </c>
      <c r="G56" s="941">
        <f t="shared" si="13"/>
        <v>2654.4626025048242</v>
      </c>
      <c r="H56" s="1476">
        <f t="shared" si="14"/>
        <v>11.289012029103519</v>
      </c>
      <c r="I56" s="1064">
        <f t="shared" si="15"/>
        <v>11.183193150529929</v>
      </c>
      <c r="J56" s="1281">
        <v>2</v>
      </c>
      <c r="K56" s="1281">
        <v>30</v>
      </c>
      <c r="L56" s="757">
        <f t="shared" si="16"/>
        <v>150</v>
      </c>
      <c r="M56" s="1478">
        <f t="shared" si="17"/>
        <v>7.1919024601157755</v>
      </c>
      <c r="N56" s="1481">
        <v>7.1919024601157755</v>
      </c>
      <c r="P56" s="1267"/>
    </row>
    <row r="57" spans="2:42">
      <c r="B57" s="928">
        <v>9</v>
      </c>
      <c r="C57" s="1073" t="s">
        <v>835</v>
      </c>
      <c r="D57" s="1239">
        <v>2510.1999999999998</v>
      </c>
      <c r="E57" s="1239">
        <v>217.6</v>
      </c>
      <c r="F57" s="941">
        <f t="shared" si="18"/>
        <v>207.39513237136785</v>
      </c>
      <c r="G57" s="941">
        <f t="shared" si="13"/>
        <v>2499.9951323713676</v>
      </c>
      <c r="H57" s="1476">
        <f t="shared" si="14"/>
        <v>8.2958214472459151</v>
      </c>
      <c r="I57" s="1064">
        <f t="shared" si="15"/>
        <v>8.6686319815154178</v>
      </c>
      <c r="J57" s="1281">
        <v>5</v>
      </c>
      <c r="K57" s="1281">
        <v>30</v>
      </c>
      <c r="L57" s="757">
        <f t="shared" si="16"/>
        <v>330</v>
      </c>
      <c r="M57" s="1478">
        <f t="shared" si="17"/>
        <v>2.262492353142195</v>
      </c>
      <c r="N57" s="1481">
        <v>2.262492353142195</v>
      </c>
      <c r="P57" s="1267"/>
    </row>
    <row r="58" spans="2:42">
      <c r="B58" s="928">
        <v>10</v>
      </c>
      <c r="C58" s="1073" t="s">
        <v>836</v>
      </c>
      <c r="D58" s="1239">
        <v>3923.2</v>
      </c>
      <c r="E58" s="1239">
        <v>375.7</v>
      </c>
      <c r="F58" s="941">
        <f t="shared" si="18"/>
        <v>369.70575802296116</v>
      </c>
      <c r="G58" s="941">
        <f t="shared" si="13"/>
        <v>3917.2057580229612</v>
      </c>
      <c r="H58" s="1476">
        <f t="shared" si="14"/>
        <v>9.4379969003607833</v>
      </c>
      <c r="I58" s="1064">
        <f t="shared" si="15"/>
        <v>9.5763662316476346</v>
      </c>
      <c r="J58" s="1281">
        <v>4</v>
      </c>
      <c r="K58" s="1281">
        <v>30</v>
      </c>
      <c r="L58" s="757">
        <f t="shared" si="16"/>
        <v>270</v>
      </c>
      <c r="M58" s="1478">
        <f t="shared" si="17"/>
        <v>4.9294101069728162</v>
      </c>
      <c r="N58" s="1481">
        <v>4.9294101069728153</v>
      </c>
      <c r="P58" s="1267"/>
    </row>
    <row r="59" spans="2:42">
      <c r="B59" s="928">
        <v>11</v>
      </c>
      <c r="C59" s="1073" t="s">
        <v>837</v>
      </c>
      <c r="D59" s="1239">
        <v>4031.1</v>
      </c>
      <c r="E59" s="1239">
        <v>605.9</v>
      </c>
      <c r="F59" s="941">
        <f t="shared" si="18"/>
        <v>559.38076251209429</v>
      </c>
      <c r="G59" s="941">
        <f t="shared" si="13"/>
        <v>3984.5807625120942</v>
      </c>
      <c r="H59" s="1476">
        <f t="shared" si="14"/>
        <v>14.038635325826112</v>
      </c>
      <c r="I59" s="1064">
        <f t="shared" si="15"/>
        <v>15.030636798888642</v>
      </c>
      <c r="J59" s="1281">
        <v>1</v>
      </c>
      <c r="K59" s="1281">
        <v>45</v>
      </c>
      <c r="L59" s="757">
        <f t="shared" si="16"/>
        <v>105</v>
      </c>
      <c r="M59" s="1478">
        <f t="shared" si="17"/>
        <v>19.178769000414661</v>
      </c>
      <c r="N59" s="1481">
        <v>19.178769000414661</v>
      </c>
      <c r="P59" s="1267"/>
    </row>
    <row r="60" spans="2:42">
      <c r="B60" s="928">
        <v>12</v>
      </c>
      <c r="C60" s="942"/>
      <c r="D60" s="757"/>
      <c r="E60" s="757"/>
      <c r="F60" s="941">
        <f t="shared" si="18"/>
        <v>0</v>
      </c>
      <c r="G60" s="941">
        <f t="shared" si="13"/>
        <v>0</v>
      </c>
      <c r="H60" s="1278" t="e">
        <f t="shared" si="14"/>
        <v>#DIV/0!</v>
      </c>
      <c r="I60" s="1064" t="e">
        <f t="shared" si="15"/>
        <v>#DIV/0!</v>
      </c>
      <c r="J60" s="1089"/>
      <c r="K60" s="1089"/>
      <c r="L60" s="757">
        <f t="shared" si="16"/>
        <v>0</v>
      </c>
      <c r="M60" s="941" t="e">
        <f t="shared" si="17"/>
        <v>#DIV/0!</v>
      </c>
      <c r="N60" s="1480"/>
    </row>
    <row r="61" spans="2:42">
      <c r="B61" s="928">
        <v>13</v>
      </c>
      <c r="C61" s="757"/>
      <c r="D61" s="757"/>
      <c r="E61" s="757"/>
      <c r="F61" s="941">
        <f t="shared" si="18"/>
        <v>0</v>
      </c>
      <c r="G61" s="941">
        <f t="shared" si="13"/>
        <v>0</v>
      </c>
      <c r="H61" s="1278" t="e">
        <f t="shared" si="14"/>
        <v>#DIV/0!</v>
      </c>
      <c r="I61" s="1064" t="e">
        <f t="shared" si="15"/>
        <v>#DIV/0!</v>
      </c>
      <c r="J61" s="1088"/>
      <c r="K61" s="1088"/>
      <c r="L61" s="757">
        <f t="shared" si="16"/>
        <v>0</v>
      </c>
      <c r="M61" s="941" t="e">
        <f t="shared" si="17"/>
        <v>#DIV/0!</v>
      </c>
      <c r="N61" s="1279"/>
      <c r="AP61" s="4" t="s">
        <v>1356</v>
      </c>
    </row>
  </sheetData>
  <mergeCells count="7">
    <mergeCell ref="P44:Q44"/>
    <mergeCell ref="P2:AC2"/>
    <mergeCell ref="E3:F3"/>
    <mergeCell ref="P13:AC13"/>
    <mergeCell ref="P19:AC19"/>
    <mergeCell ref="P26:AC26"/>
    <mergeCell ref="B31:M31"/>
  </mergeCells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34E10-6D7D-4385-B173-100275BDF75F}">
  <sheetPr>
    <tabColor theme="9" tint="0.39997558519241921"/>
  </sheetPr>
  <dimension ref="A2:AP61"/>
  <sheetViews>
    <sheetView topLeftCell="A10" zoomScale="70" zoomScaleNormal="70" workbookViewId="0">
      <selection activeCell="W47" sqref="W47"/>
    </sheetView>
  </sheetViews>
  <sheetFormatPr baseColWidth="10" defaultColWidth="10.7265625" defaultRowHeight="14.5"/>
  <cols>
    <col min="1" max="1" width="10.7265625" style="4"/>
    <col min="2" max="2" width="2.90625" style="4" bestFit="1" customWidth="1"/>
    <col min="3" max="3" width="28.54296875" style="4" bestFit="1" customWidth="1"/>
    <col min="4" max="4" width="17.7265625" style="4" bestFit="1" customWidth="1"/>
    <col min="5" max="5" width="18" style="4" bestFit="1" customWidth="1"/>
    <col min="6" max="6" width="15.36328125" style="4" bestFit="1" customWidth="1"/>
    <col min="7" max="8" width="18" style="4" customWidth="1"/>
    <col min="9" max="9" width="12.26953125" style="4" bestFit="1" customWidth="1"/>
    <col min="10" max="10" width="10.7265625" style="4"/>
    <col min="11" max="11" width="17.08984375" style="4" bestFit="1" customWidth="1"/>
    <col min="12" max="12" width="8.7265625" style="4" bestFit="1" customWidth="1"/>
    <col min="13" max="13" width="17.08984375" style="4" bestFit="1" customWidth="1"/>
    <col min="14" max="14" width="14.6328125" style="4" bestFit="1" customWidth="1"/>
    <col min="15" max="15" width="10.7265625" style="4"/>
    <col min="16" max="16" width="15.81640625" style="4" bestFit="1" customWidth="1"/>
    <col min="17" max="19" width="12.54296875" style="4" bestFit="1" customWidth="1"/>
    <col min="20" max="26" width="11.81640625" style="4" bestFit="1" customWidth="1"/>
    <col min="27" max="27" width="11.90625" style="4" bestFit="1" customWidth="1"/>
    <col min="28" max="29" width="11.81640625" style="4" bestFit="1" customWidth="1"/>
    <col min="30" max="16384" width="10.7265625" style="4"/>
  </cols>
  <sheetData>
    <row r="2" spans="5:29">
      <c r="P2" s="1307" t="s">
        <v>1416</v>
      </c>
      <c r="Q2" s="1308"/>
      <c r="R2" s="1308"/>
      <c r="S2" s="1308"/>
      <c r="T2" s="1308"/>
      <c r="U2" s="1308"/>
      <c r="V2" s="1308"/>
      <c r="W2" s="1308"/>
      <c r="X2" s="1308"/>
      <c r="Y2" s="1308"/>
      <c r="Z2" s="1308"/>
      <c r="AA2" s="1308"/>
      <c r="AB2" s="1308"/>
      <c r="AC2" s="1308"/>
    </row>
    <row r="3" spans="5:29" ht="15" thickBot="1">
      <c r="E3" s="1396"/>
      <c r="F3" s="1396"/>
      <c r="P3" s="1247" t="s">
        <v>1350</v>
      </c>
      <c r="Q3" s="1247" t="s">
        <v>993</v>
      </c>
      <c r="R3" s="1247" t="s">
        <v>1398</v>
      </c>
      <c r="S3" s="1247" t="s">
        <v>23</v>
      </c>
      <c r="T3" s="1247" t="s">
        <v>1400</v>
      </c>
      <c r="U3" s="1247" t="s">
        <v>1401</v>
      </c>
      <c r="V3" s="1247" t="s">
        <v>1402</v>
      </c>
      <c r="W3" s="1247" t="s">
        <v>1414</v>
      </c>
      <c r="X3" s="1247" t="s">
        <v>1399</v>
      </c>
      <c r="Y3" s="1247" t="s">
        <v>1403</v>
      </c>
      <c r="Z3" s="1247" t="s">
        <v>1404</v>
      </c>
      <c r="AA3" s="1247" t="s">
        <v>1405</v>
      </c>
      <c r="AB3" s="1247" t="s">
        <v>1136</v>
      </c>
      <c r="AC3" s="1247" t="s">
        <v>841</v>
      </c>
    </row>
    <row r="4" spans="5:29">
      <c r="P4" s="705" t="s">
        <v>809</v>
      </c>
      <c r="Q4" s="1248">
        <v>1</v>
      </c>
      <c r="R4" s="1249">
        <v>2</v>
      </c>
      <c r="S4" s="1249">
        <v>3</v>
      </c>
      <c r="T4" s="1249">
        <v>4</v>
      </c>
      <c r="U4" s="1249">
        <v>5</v>
      </c>
      <c r="V4" s="1249">
        <v>6</v>
      </c>
      <c r="W4" s="1249">
        <v>7</v>
      </c>
      <c r="X4" s="1249">
        <v>8</v>
      </c>
      <c r="Y4" s="1249">
        <v>9</v>
      </c>
      <c r="Z4" s="1249">
        <v>10</v>
      </c>
      <c r="AA4" s="1249">
        <v>11</v>
      </c>
      <c r="AB4" s="1249">
        <v>12</v>
      </c>
      <c r="AC4" s="1250">
        <v>13</v>
      </c>
    </row>
    <row r="5" spans="5:29">
      <c r="P5" s="1261" t="s">
        <v>847</v>
      </c>
      <c r="Q5" s="1252"/>
      <c r="R5" s="1253"/>
      <c r="S5" s="1253"/>
      <c r="T5" s="1253"/>
      <c r="U5" s="1253"/>
      <c r="V5" s="1253"/>
      <c r="W5" s="1253"/>
      <c r="X5" s="1253"/>
      <c r="Y5" s="1253"/>
      <c r="Z5" s="1253"/>
      <c r="AA5" s="1253"/>
      <c r="AB5" s="1253"/>
      <c r="AC5" s="1254"/>
    </row>
    <row r="6" spans="5:29">
      <c r="P6" s="1261" t="s">
        <v>849</v>
      </c>
      <c r="Q6" s="1252"/>
      <c r="R6" s="1253"/>
      <c r="S6" s="1253"/>
      <c r="T6" s="1253"/>
      <c r="U6" s="1253"/>
      <c r="V6" s="1253"/>
      <c r="W6" s="1253"/>
      <c r="X6" s="1253"/>
      <c r="Y6" s="1253"/>
      <c r="Z6" s="1253"/>
      <c r="AA6" s="1253"/>
      <c r="AB6" s="1253"/>
      <c r="AC6" s="1254"/>
    </row>
    <row r="7" spans="5:29">
      <c r="P7" s="1261" t="s">
        <v>851</v>
      </c>
      <c r="Q7" s="1252">
        <v>0</v>
      </c>
      <c r="R7" s="1253">
        <v>0</v>
      </c>
      <c r="S7" s="1253">
        <v>0</v>
      </c>
      <c r="T7" s="1253">
        <v>1</v>
      </c>
      <c r="U7" s="1253">
        <v>-1</v>
      </c>
      <c r="V7" s="1253">
        <v>-1</v>
      </c>
      <c r="W7" s="1253">
        <v>0</v>
      </c>
      <c r="X7" s="1253">
        <v>0</v>
      </c>
      <c r="Y7" s="1253">
        <v>0</v>
      </c>
      <c r="Z7" s="1253">
        <v>0</v>
      </c>
      <c r="AA7" s="1253">
        <v>0</v>
      </c>
      <c r="AB7" s="1473">
        <v>0</v>
      </c>
      <c r="AC7" s="1474">
        <v>0</v>
      </c>
    </row>
    <row r="8" spans="5:29">
      <c r="P8" s="1261" t="s">
        <v>853</v>
      </c>
      <c r="Q8" s="1252">
        <v>0</v>
      </c>
      <c r="R8" s="1253">
        <v>0</v>
      </c>
      <c r="S8" s="1253">
        <v>0</v>
      </c>
      <c r="T8" s="1253">
        <v>0</v>
      </c>
      <c r="U8" s="1253">
        <v>0</v>
      </c>
      <c r="V8" s="1253">
        <v>1</v>
      </c>
      <c r="W8" s="1253">
        <v>-1</v>
      </c>
      <c r="X8" s="1253">
        <v>0</v>
      </c>
      <c r="Y8" s="1253">
        <v>0</v>
      </c>
      <c r="Z8" s="1253">
        <v>1</v>
      </c>
      <c r="AA8" s="1253">
        <v>0</v>
      </c>
      <c r="AB8" s="1473">
        <v>0</v>
      </c>
      <c r="AC8" s="1473">
        <v>0</v>
      </c>
    </row>
    <row r="9" spans="5:29">
      <c r="P9" s="1261" t="s">
        <v>854</v>
      </c>
      <c r="Q9" s="1252">
        <v>0</v>
      </c>
      <c r="R9" s="1253">
        <v>0</v>
      </c>
      <c r="S9" s="1253">
        <v>0</v>
      </c>
      <c r="T9" s="1253">
        <v>0</v>
      </c>
      <c r="U9" s="1253">
        <v>0</v>
      </c>
      <c r="V9" s="1253">
        <v>0</v>
      </c>
      <c r="W9" s="1253">
        <v>1</v>
      </c>
      <c r="X9" s="1253">
        <v>-1</v>
      </c>
      <c r="Y9" s="1253">
        <v>0</v>
      </c>
      <c r="Z9" s="1253">
        <v>0</v>
      </c>
      <c r="AA9" s="1253">
        <v>-1</v>
      </c>
      <c r="AB9" s="1473">
        <v>0</v>
      </c>
      <c r="AC9" s="1473">
        <v>0</v>
      </c>
    </row>
    <row r="10" spans="5:29">
      <c r="P10" s="1261" t="s">
        <v>855</v>
      </c>
      <c r="Q10" s="1252">
        <v>0</v>
      </c>
      <c r="R10" s="1253">
        <v>0</v>
      </c>
      <c r="S10" s="1253">
        <v>0</v>
      </c>
      <c r="T10" s="1253">
        <v>0</v>
      </c>
      <c r="U10" s="1253">
        <v>0</v>
      </c>
      <c r="V10" s="1253">
        <v>0</v>
      </c>
      <c r="W10" s="1253">
        <v>0</v>
      </c>
      <c r="X10" s="1253">
        <v>1</v>
      </c>
      <c r="Y10" s="1253">
        <v>-1</v>
      </c>
      <c r="Z10" s="1253">
        <v>-1</v>
      </c>
      <c r="AA10" s="1253">
        <v>0</v>
      </c>
      <c r="AB10" s="1473">
        <v>0</v>
      </c>
      <c r="AC10" s="1473">
        <v>0</v>
      </c>
    </row>
    <row r="11" spans="5:29">
      <c r="P11" s="1261" t="s">
        <v>856</v>
      </c>
      <c r="Q11" s="1475">
        <v>0</v>
      </c>
      <c r="R11" s="1473">
        <v>0</v>
      </c>
      <c r="S11" s="1473">
        <v>0</v>
      </c>
      <c r="T11" s="1473">
        <v>0</v>
      </c>
      <c r="U11" s="1473">
        <v>0</v>
      </c>
      <c r="V11" s="1473">
        <v>0</v>
      </c>
      <c r="W11" s="1473">
        <v>0</v>
      </c>
      <c r="X11" s="1473">
        <v>0</v>
      </c>
      <c r="Y11" s="1473">
        <v>0</v>
      </c>
      <c r="Z11" s="1473">
        <v>0</v>
      </c>
      <c r="AA11" s="1473">
        <v>0</v>
      </c>
      <c r="AB11" s="1473">
        <v>0</v>
      </c>
      <c r="AC11" s="1473">
        <v>0</v>
      </c>
    </row>
    <row r="12" spans="5:29" ht="15" thickBot="1">
      <c r="P12" s="1255"/>
      <c r="Q12" s="1256">
        <f t="shared" ref="Q12:AC12" si="0">SUM(Q7:Q11)</f>
        <v>0</v>
      </c>
      <c r="R12" s="1257">
        <f t="shared" si="0"/>
        <v>0</v>
      </c>
      <c r="S12" s="1257">
        <f t="shared" si="0"/>
        <v>0</v>
      </c>
      <c r="T12" s="1257">
        <f t="shared" si="0"/>
        <v>1</v>
      </c>
      <c r="U12" s="1257">
        <f t="shared" si="0"/>
        <v>-1</v>
      </c>
      <c r="V12" s="1257">
        <f t="shared" si="0"/>
        <v>0</v>
      </c>
      <c r="W12" s="1257">
        <f t="shared" si="0"/>
        <v>0</v>
      </c>
      <c r="X12" s="1257">
        <f t="shared" si="0"/>
        <v>0</v>
      </c>
      <c r="Y12" s="1257">
        <f t="shared" si="0"/>
        <v>-1</v>
      </c>
      <c r="Z12" s="1257">
        <f t="shared" si="0"/>
        <v>0</v>
      </c>
      <c r="AA12" s="1257">
        <f t="shared" si="0"/>
        <v>-1</v>
      </c>
      <c r="AB12" s="1473">
        <v>0</v>
      </c>
      <c r="AC12" s="1473">
        <v>0</v>
      </c>
    </row>
    <row r="13" spans="5:29" ht="15" thickBot="1">
      <c r="P13" s="1393" t="s">
        <v>1098</v>
      </c>
      <c r="Q13" s="1397"/>
      <c r="R13" s="1397"/>
      <c r="S13" s="1397"/>
      <c r="T13" s="1397"/>
      <c r="U13" s="1397"/>
      <c r="V13" s="1397"/>
      <c r="W13" s="1397"/>
      <c r="X13" s="1397"/>
      <c r="Y13" s="1397"/>
      <c r="Z13" s="1397"/>
      <c r="AA13" s="1397"/>
      <c r="AB13" s="1397"/>
      <c r="AC13" s="1394"/>
    </row>
    <row r="14" spans="5:29">
      <c r="P14" s="1262" t="s">
        <v>1086</v>
      </c>
      <c r="Q14" s="1253"/>
      <c r="R14" s="1253"/>
      <c r="S14" s="1253"/>
      <c r="T14" s="1260">
        <v>4</v>
      </c>
      <c r="U14" s="1260">
        <v>5</v>
      </c>
      <c r="V14" s="1260">
        <v>6</v>
      </c>
      <c r="W14" s="1260">
        <v>7</v>
      </c>
      <c r="X14" s="1260">
        <v>8</v>
      </c>
      <c r="Y14" s="1260">
        <v>9</v>
      </c>
      <c r="Z14" s="1260">
        <v>10</v>
      </c>
      <c r="AA14" s="1260">
        <v>11</v>
      </c>
      <c r="AB14" s="1260">
        <v>12</v>
      </c>
      <c r="AC14" s="1259">
        <v>13</v>
      </c>
    </row>
    <row r="15" spans="5:29">
      <c r="P15" s="1262" t="s">
        <v>1352</v>
      </c>
      <c r="Q15" s="1253"/>
      <c r="R15" s="1253"/>
      <c r="S15" s="1253"/>
      <c r="T15" s="1267">
        <f t="shared" ref="T15:AC15" si="1">(1/T16^2)*(1/T17^2)*(T17-T18)^2</f>
        <v>1.1781410910762473</v>
      </c>
      <c r="U15" s="1267">
        <f t="shared" si="1"/>
        <v>0.36735789239987698</v>
      </c>
      <c r="V15" s="1267">
        <f t="shared" si="1"/>
        <v>3.2807398509251039E-2</v>
      </c>
      <c r="W15" s="1267">
        <f t="shared" si="1"/>
        <v>0.12285953986395803</v>
      </c>
      <c r="X15" s="1267">
        <f t="shared" si="1"/>
        <v>0.45893573452792319</v>
      </c>
      <c r="Y15" s="1267">
        <f t="shared" si="1"/>
        <v>3.8306425397303036E-2</v>
      </c>
      <c r="Z15" s="1267">
        <f t="shared" si="1"/>
        <v>0.58257798379901227</v>
      </c>
      <c r="AA15" s="1267">
        <f t="shared" si="1"/>
        <v>1.2113009198552496</v>
      </c>
      <c r="AB15" s="1267"/>
      <c r="AC15" s="1268"/>
    </row>
    <row r="16" spans="5:29">
      <c r="P16" s="1262" t="s">
        <v>1353</v>
      </c>
      <c r="Q16" s="1263"/>
      <c r="R16" s="1263"/>
      <c r="S16" s="1263"/>
      <c r="T16" s="1269">
        <v>0.05</v>
      </c>
      <c r="U16" s="1269">
        <v>0.05</v>
      </c>
      <c r="V16" s="1269">
        <v>0.05</v>
      </c>
      <c r="W16" s="1269">
        <v>0.05</v>
      </c>
      <c r="X16" s="1269">
        <v>0.05</v>
      </c>
      <c r="Y16" s="1269">
        <v>0.05</v>
      </c>
      <c r="Z16" s="1269">
        <v>0.05</v>
      </c>
      <c r="AA16" s="1269">
        <v>0.05</v>
      </c>
      <c r="AB16" s="1269"/>
      <c r="AC16" s="1270"/>
    </row>
    <row r="17" spans="1:29">
      <c r="P17" s="1262" t="s">
        <v>1354</v>
      </c>
      <c r="Q17" s="1253"/>
      <c r="R17" s="1253"/>
      <c r="S17" s="1253"/>
      <c r="T17" s="1276">
        <f>K36</f>
        <v>21.468</v>
      </c>
      <c r="U17" s="1276">
        <f>+K37</f>
        <v>1.0259787985865725</v>
      </c>
      <c r="V17" s="1276">
        <f>+K38</f>
        <v>21.443999999999999</v>
      </c>
      <c r="W17" s="1276">
        <f>+K39</f>
        <v>27.110399999999998</v>
      </c>
      <c r="X17" s="1276">
        <f>+K40</f>
        <v>7.9609090909090909</v>
      </c>
      <c r="Y17" s="1276">
        <f>+K41</f>
        <v>1.7611666666666668</v>
      </c>
      <c r="Z17" s="1276">
        <f>+K42</f>
        <v>5.7286956521739132</v>
      </c>
      <c r="AA17" s="1276">
        <f>+K43</f>
        <v>21.052800000000005</v>
      </c>
      <c r="AB17" s="1276"/>
      <c r="AC17" s="1277"/>
    </row>
    <row r="18" spans="1:29" ht="15" thickBot="1">
      <c r="P18" s="1264" t="s">
        <v>1355</v>
      </c>
      <c r="Q18" s="1257"/>
      <c r="R18" s="1257"/>
      <c r="S18" s="1257"/>
      <c r="T18" s="1282">
        <v>22.6330920603381</v>
      </c>
      <c r="U18" s="1282">
        <v>0.99488648221702491</v>
      </c>
      <c r="V18" s="1282">
        <v>21.638205578120793</v>
      </c>
      <c r="W18" s="1282">
        <v>27.585527723421311</v>
      </c>
      <c r="X18" s="1282">
        <v>7.6912540109093266</v>
      </c>
      <c r="Y18" s="1282">
        <v>1.7439318655965728</v>
      </c>
      <c r="Z18" s="1282">
        <v>5.9473221453137208</v>
      </c>
      <c r="AA18" s="1282">
        <v>19.894273712545559</v>
      </c>
      <c r="AB18" s="1282"/>
      <c r="AC18" s="1283"/>
    </row>
    <row r="19" spans="1:29" ht="15" thickBot="1">
      <c r="P19" s="1393" t="s">
        <v>1357</v>
      </c>
      <c r="Q19" s="1397"/>
      <c r="R19" s="1397"/>
      <c r="S19" s="1397"/>
      <c r="T19" s="1397"/>
      <c r="U19" s="1397"/>
      <c r="V19" s="1397"/>
      <c r="W19" s="1397"/>
      <c r="X19" s="1397"/>
      <c r="Y19" s="1397"/>
      <c r="Z19" s="1397"/>
      <c r="AA19" s="1397"/>
      <c r="AB19" s="1397"/>
      <c r="AC19" s="1394"/>
    </row>
    <row r="20" spans="1:29">
      <c r="P20" s="1262" t="s">
        <v>1358</v>
      </c>
      <c r="Q20" s="1253"/>
      <c r="R20" s="1253"/>
      <c r="S20" s="1253"/>
      <c r="T20" s="1267">
        <f t="shared" ref="T20:AC20" si="2">(1/T21^2)*(1/T22^2)*(T22-T23)^2</f>
        <v>0.93294990778714648</v>
      </c>
      <c r="U20" s="1267">
        <f t="shared" si="2"/>
        <v>0.21075203644676033</v>
      </c>
      <c r="V20" s="1267">
        <f t="shared" si="2"/>
        <v>9.915399527312066E-2</v>
      </c>
      <c r="W20" s="1267">
        <f t="shared" si="2"/>
        <v>0.3738534922810689</v>
      </c>
      <c r="X20" s="1267">
        <f t="shared" si="2"/>
        <v>0.85967523008231139</v>
      </c>
      <c r="Y20" s="1267">
        <f t="shared" si="2"/>
        <v>1.2343605684673629</v>
      </c>
      <c r="Z20" s="1267">
        <f t="shared" si="2"/>
        <v>2.7052103499357504E-2</v>
      </c>
      <c r="AA20" s="1267">
        <f t="shared" si="2"/>
        <v>2.4193690268511526E-3</v>
      </c>
      <c r="AB20" s="1267"/>
      <c r="AC20" s="1268"/>
    </row>
    <row r="21" spans="1:29">
      <c r="P21" s="1262" t="s">
        <v>1353</v>
      </c>
      <c r="Q21" s="1263"/>
      <c r="R21" s="1263"/>
      <c r="S21" s="1263"/>
      <c r="T21" s="1269">
        <v>0.05</v>
      </c>
      <c r="U21" s="1269">
        <v>0.05</v>
      </c>
      <c r="V21" s="1269">
        <v>0.05</v>
      </c>
      <c r="W21" s="1269">
        <v>0.05</v>
      </c>
      <c r="X21" s="1269">
        <v>0.05</v>
      </c>
      <c r="Y21" s="1269">
        <v>0.05</v>
      </c>
      <c r="Z21" s="1269">
        <v>0.05</v>
      </c>
      <c r="AA21" s="1269">
        <v>0.05</v>
      </c>
      <c r="AB21" s="1269"/>
      <c r="AC21" s="1270"/>
    </row>
    <row r="22" spans="1:29">
      <c r="P22" s="1262" t="s">
        <v>1354</v>
      </c>
      <c r="Q22" s="1253"/>
      <c r="R22" s="1253"/>
      <c r="S22" s="1253"/>
      <c r="T22" s="1276">
        <f>+L36</f>
        <v>2.29</v>
      </c>
      <c r="U22" s="1276">
        <f>+L37</f>
        <v>24.759999999999998</v>
      </c>
      <c r="V22" s="1276">
        <f>+L38</f>
        <v>1.377</v>
      </c>
      <c r="W22" s="1276">
        <f>+L39</f>
        <v>1.7985</v>
      </c>
      <c r="X22" s="1276">
        <f>+L40</f>
        <v>5.6150000000000002</v>
      </c>
      <c r="Y22" s="1276">
        <f>+L41</f>
        <v>16.61</v>
      </c>
      <c r="Z22" s="1276">
        <f>+L42</f>
        <v>3.0230000000000001</v>
      </c>
      <c r="AA22" s="1276">
        <f>+L43</f>
        <v>0.14650000000000002</v>
      </c>
      <c r="AB22" s="1276"/>
      <c r="AC22" s="1277"/>
    </row>
    <row r="23" spans="1:29">
      <c r="P23" s="1262" t="s">
        <v>1355</v>
      </c>
      <c r="Q23" s="1253"/>
      <c r="R23" s="1253"/>
      <c r="S23" s="1253"/>
      <c r="T23" s="1282">
        <v>2.4005947852684133</v>
      </c>
      <c r="U23" s="1282">
        <v>24.191662209467019</v>
      </c>
      <c r="V23" s="1282">
        <v>1.3986799888089931</v>
      </c>
      <c r="W23" s="1282">
        <v>1.7435166537189963</v>
      </c>
      <c r="X23" s="1282">
        <v>5.8753076741135475</v>
      </c>
      <c r="Y23" s="1282">
        <v>15.687299710914136</v>
      </c>
      <c r="Z23" s="1282">
        <v>2.9981395679673564</v>
      </c>
      <c r="AA23" s="1282">
        <v>0.14613970462500703</v>
      </c>
      <c r="AB23" s="1282"/>
      <c r="AC23" s="1283"/>
    </row>
    <row r="24" spans="1:29">
      <c r="P24" s="1262" t="s">
        <v>1407</v>
      </c>
      <c r="Q24" s="1253"/>
      <c r="R24" s="1253"/>
      <c r="S24" s="1253"/>
      <c r="T24" s="1276">
        <f t="shared" ref="T24:AC25" si="3">T22*T17/100</f>
        <v>0.49161720000000003</v>
      </c>
      <c r="U24" s="1276">
        <f t="shared" si="3"/>
        <v>0.25403235053003531</v>
      </c>
      <c r="V24" s="1276">
        <f t="shared" si="3"/>
        <v>0.29528388</v>
      </c>
      <c r="W24" s="1276">
        <f t="shared" si="3"/>
        <v>0.487580544</v>
      </c>
      <c r="X24" s="1276">
        <f t="shared" si="3"/>
        <v>0.4470050454545455</v>
      </c>
      <c r="Y24" s="1276">
        <f t="shared" si="3"/>
        <v>0.29252978333333335</v>
      </c>
      <c r="Z24" s="1276">
        <f t="shared" si="3"/>
        <v>0.1731784695652174</v>
      </c>
      <c r="AA24" s="1276">
        <f t="shared" si="3"/>
        <v>3.084235200000001E-2</v>
      </c>
      <c r="AB24" s="1276"/>
      <c r="AC24" s="1277"/>
    </row>
    <row r="25" spans="1:29" ht="15" thickBot="1">
      <c r="O25" s="110"/>
      <c r="P25" s="1262" t="s">
        <v>1408</v>
      </c>
      <c r="Q25" s="1257"/>
      <c r="R25" s="1257"/>
      <c r="S25" s="1257"/>
      <c r="T25" s="1282">
        <f t="shared" si="3"/>
        <v>0.54332882774547575</v>
      </c>
      <c r="U25" s="1282">
        <f t="shared" si="3"/>
        <v>0.24067957714559182</v>
      </c>
      <c r="V25" s="1282">
        <f t="shared" si="3"/>
        <v>0.30264925135852683</v>
      </c>
      <c r="W25" s="1282">
        <f t="shared" si="3"/>
        <v>0.48095826987412127</v>
      </c>
      <c r="X25" s="1282">
        <f t="shared" si="3"/>
        <v>0.45188483713852173</v>
      </c>
      <c r="Y25" s="1282">
        <f t="shared" si="3"/>
        <v>0.27357581851027069</v>
      </c>
      <c r="Z25" s="1282">
        <f t="shared" si="3"/>
        <v>0.17830901847313568</v>
      </c>
      <c r="AA25" s="1282">
        <f t="shared" si="3"/>
        <v>2.9073432840804499E-2</v>
      </c>
      <c r="AB25" s="1282"/>
      <c r="AC25" s="1283"/>
    </row>
    <row r="26" spans="1:29" ht="15" thickBot="1">
      <c r="A26" t="s">
        <v>1305</v>
      </c>
      <c r="O26" s="110"/>
      <c r="P26" s="1393" t="s">
        <v>1359</v>
      </c>
      <c r="Q26" s="1397"/>
      <c r="R26" s="1397"/>
      <c r="S26" s="1397"/>
      <c r="T26" s="1397"/>
      <c r="U26" s="1397"/>
      <c r="V26" s="1397"/>
      <c r="W26" s="1397"/>
      <c r="X26" s="1397"/>
      <c r="Y26" s="1397"/>
      <c r="Z26" s="1397"/>
      <c r="AA26" s="1397"/>
      <c r="AB26" s="1397"/>
      <c r="AC26" s="1394"/>
    </row>
    <row r="27" spans="1:29">
      <c r="A27" t="s">
        <v>1308</v>
      </c>
      <c r="O27" s="110"/>
      <c r="P27" s="286" t="s">
        <v>1358</v>
      </c>
      <c r="Q27" s="1273"/>
      <c r="R27" s="1273"/>
      <c r="S27" s="1273"/>
      <c r="T27" s="1274">
        <f t="shared" ref="T27:AC27" si="4">(1/T28^2)*(1/T29^2)*(T29-T30)^2</f>
        <v>2.1920995896493101</v>
      </c>
      <c r="U27" s="1274">
        <f t="shared" si="4"/>
        <v>4.2226957094261205E-2</v>
      </c>
      <c r="V27" s="1274">
        <f t="shared" si="4"/>
        <v>6.844778487120287</v>
      </c>
      <c r="W27" s="1274">
        <f t="shared" si="4"/>
        <v>1.8078209288867984</v>
      </c>
      <c r="X27" s="1274">
        <f t="shared" si="4"/>
        <v>2.0500130148655833</v>
      </c>
      <c r="Y27" s="1274">
        <f t="shared" si="4"/>
        <v>0.88946071115594727</v>
      </c>
      <c r="Z27" s="1274">
        <f t="shared" si="4"/>
        <v>1.2935938800275795</v>
      </c>
      <c r="AA27" s="1274">
        <f t="shared" si="4"/>
        <v>1.4591468310383848</v>
      </c>
      <c r="AB27" s="1274"/>
      <c r="AC27" s="1275"/>
    </row>
    <row r="28" spans="1:29">
      <c r="A28" t="s">
        <v>1309</v>
      </c>
      <c r="O28" s="110"/>
      <c r="P28" s="1262" t="s">
        <v>1353</v>
      </c>
      <c r="Q28" s="1263"/>
      <c r="R28" s="1263"/>
      <c r="S28" s="1263"/>
      <c r="T28" s="1269">
        <v>0.05</v>
      </c>
      <c r="U28" s="1269">
        <v>0.05</v>
      </c>
      <c r="V28" s="1269">
        <v>0.05</v>
      </c>
      <c r="W28" s="1269">
        <v>0.05</v>
      </c>
      <c r="X28" s="1269">
        <v>0.05</v>
      </c>
      <c r="Y28" s="1269">
        <v>0.05</v>
      </c>
      <c r="Z28" s="1269">
        <v>0.05</v>
      </c>
      <c r="AA28" s="1269">
        <v>0.05</v>
      </c>
      <c r="AB28" s="1269"/>
      <c r="AC28" s="1270"/>
    </row>
    <row r="29" spans="1:29">
      <c r="O29" s="110"/>
      <c r="P29" s="1262" t="s">
        <v>1354</v>
      </c>
      <c r="Q29" s="1253"/>
      <c r="R29" s="1253"/>
      <c r="S29" s="1253"/>
      <c r="T29" s="1276">
        <f>+M36</f>
        <v>5.3849999999999998</v>
      </c>
      <c r="U29" s="1276">
        <f>+M37</f>
        <v>17</v>
      </c>
      <c r="V29" s="1276">
        <f>+M38</f>
        <v>6.07</v>
      </c>
      <c r="W29" s="1276">
        <f>+M39</f>
        <v>6.38</v>
      </c>
      <c r="X29" s="1276">
        <f>+M40</f>
        <v>11.350000000000001</v>
      </c>
      <c r="Y29" s="1276">
        <f>+M41</f>
        <v>17</v>
      </c>
      <c r="Z29" s="1276">
        <f>+M42</f>
        <v>7.9550000000000001</v>
      </c>
      <c r="AA29" s="1276">
        <f>+M43</f>
        <v>3.9400000000000004</v>
      </c>
      <c r="AB29" s="1276"/>
      <c r="AC29" s="1277"/>
    </row>
    <row r="30" spans="1:29">
      <c r="O30" s="110"/>
      <c r="P30" s="1262" t="s">
        <v>1355</v>
      </c>
      <c r="Q30" s="1253"/>
      <c r="R30" s="1253"/>
      <c r="S30" s="1253"/>
      <c r="T30" s="1282">
        <v>5.783644569519824</v>
      </c>
      <c r="U30" s="1282">
        <v>16.825331810278449</v>
      </c>
      <c r="V30" s="1282">
        <v>5.2759672883311133</v>
      </c>
      <c r="W30" s="1282">
        <v>5.9510878113827381</v>
      </c>
      <c r="X30" s="1282">
        <v>10.537461075382353</v>
      </c>
      <c r="Y30" s="1282">
        <v>17.801645410272005</v>
      </c>
      <c r="Z30" s="1282">
        <v>8.4073860084478529</v>
      </c>
      <c r="AA30" s="1282">
        <v>4.177966445882122</v>
      </c>
      <c r="AB30" s="1282"/>
      <c r="AC30" s="1283"/>
    </row>
    <row r="31" spans="1:29">
      <c r="B31" s="1463" t="s">
        <v>1415</v>
      </c>
      <c r="C31" s="1463"/>
      <c r="D31" s="1463"/>
      <c r="E31" s="1463"/>
      <c r="F31" s="1463"/>
      <c r="G31" s="1463"/>
      <c r="H31" s="1463"/>
      <c r="I31" s="1463"/>
      <c r="J31" s="1463"/>
      <c r="K31" s="1463"/>
      <c r="L31" s="1463"/>
      <c r="M31" s="1463"/>
      <c r="O31" s="110"/>
      <c r="P31" s="1262" t="s">
        <v>1409</v>
      </c>
      <c r="Q31" s="1253"/>
      <c r="R31" s="1253"/>
      <c r="S31" s="1253"/>
      <c r="T31" s="1276">
        <f t="shared" ref="T31:AC32" si="5">T29*T17/100</f>
        <v>1.1560518</v>
      </c>
      <c r="U31" s="1276">
        <f t="shared" si="5"/>
        <v>0.17441639575971732</v>
      </c>
      <c r="V31" s="1276">
        <f t="shared" si="5"/>
        <v>1.3016508</v>
      </c>
      <c r="W31" s="1276">
        <f t="shared" si="5"/>
        <v>1.72964352</v>
      </c>
      <c r="X31" s="1276">
        <f t="shared" si="5"/>
        <v>0.90356318181818196</v>
      </c>
      <c r="Y31" s="1276">
        <f t="shared" si="5"/>
        <v>0.29939833333333338</v>
      </c>
      <c r="Z31" s="1276">
        <f t="shared" si="5"/>
        <v>0.45571773913043478</v>
      </c>
      <c r="AA31" s="1276">
        <f t="shared" si="5"/>
        <v>0.82948032000000027</v>
      </c>
      <c r="AB31" s="1276"/>
      <c r="AC31" s="1277"/>
    </row>
    <row r="32" spans="1:29" ht="15" thickBot="1">
      <c r="B32" s="1246" t="s">
        <v>26</v>
      </c>
      <c r="C32" s="1246" t="s">
        <v>1086</v>
      </c>
      <c r="D32" s="1246" t="s">
        <v>867</v>
      </c>
      <c r="E32" s="1246" t="s">
        <v>868</v>
      </c>
      <c r="F32" s="1246" t="s">
        <v>1171</v>
      </c>
      <c r="G32" s="1246" t="s">
        <v>310</v>
      </c>
      <c r="H32" s="1246" t="s">
        <v>882</v>
      </c>
      <c r="I32" s="1246" t="s">
        <v>865</v>
      </c>
      <c r="J32" s="1246" t="s">
        <v>865</v>
      </c>
      <c r="K32" s="1246" t="s">
        <v>866</v>
      </c>
      <c r="L32" s="1246" t="s">
        <v>874</v>
      </c>
      <c r="M32" s="1246" t="s">
        <v>873</v>
      </c>
      <c r="O32" s="110"/>
      <c r="P32" s="1264" t="s">
        <v>1410</v>
      </c>
      <c r="Q32" s="1257"/>
      <c r="R32" s="1257"/>
      <c r="S32" s="1257"/>
      <c r="T32" s="1282">
        <f t="shared" si="5"/>
        <v>1.3090175998621669</v>
      </c>
      <c r="U32" s="1282">
        <f t="shared" si="5"/>
        <v>0.16739295176862132</v>
      </c>
      <c r="V32" s="1282">
        <f t="shared" si="5"/>
        <v>1.1416246480834913</v>
      </c>
      <c r="W32" s="1282">
        <f t="shared" si="5"/>
        <v>1.6416389780541316</v>
      </c>
      <c r="X32" s="1282">
        <f t="shared" si="5"/>
        <v>0.81046289760835433</v>
      </c>
      <c r="Y32" s="1282">
        <f t="shared" si="5"/>
        <v>0.31044856691024325</v>
      </c>
      <c r="Z32" s="1282">
        <f t="shared" si="5"/>
        <v>0.50001432992242645</v>
      </c>
      <c r="AA32" s="1282">
        <f t="shared" si="5"/>
        <v>0.831176080362101</v>
      </c>
      <c r="AB32" s="1282"/>
      <c r="AC32" s="1283"/>
    </row>
    <row r="33" spans="2:29" ht="15" thickBot="1">
      <c r="B33" s="928">
        <v>1</v>
      </c>
      <c r="C33" s="757" t="s">
        <v>844</v>
      </c>
      <c r="D33" s="757"/>
      <c r="E33" s="757"/>
      <c r="F33" s="757"/>
      <c r="G33" s="940"/>
      <c r="H33" s="940"/>
      <c r="I33" s="940"/>
      <c r="J33" s="757"/>
      <c r="K33" s="941"/>
      <c r="L33" s="928"/>
      <c r="M33" s="928"/>
      <c r="O33" s="110"/>
      <c r="P33" s="1265" t="s">
        <v>1360</v>
      </c>
      <c r="Q33" s="1266">
        <f>SUM(T15:AC15,T20:AC20,T27:AC27)</f>
        <v>24.311644088130954</v>
      </c>
      <c r="R33" s="1253"/>
      <c r="S33" s="1253"/>
      <c r="T33" s="1253"/>
      <c r="U33" s="1253"/>
      <c r="V33" s="1253"/>
      <c r="W33" s="1253"/>
      <c r="X33" s="1253"/>
      <c r="Y33" s="1253"/>
      <c r="Z33" s="1253"/>
      <c r="AA33" s="1253"/>
      <c r="AB33" s="1253"/>
      <c r="AC33" s="1254"/>
    </row>
    <row r="34" spans="2:29" ht="15" thickBot="1">
      <c r="B34" s="928">
        <v>2</v>
      </c>
      <c r="C34" s="757" t="s">
        <v>845</v>
      </c>
      <c r="D34" s="757"/>
      <c r="E34" s="757"/>
      <c r="F34" s="757"/>
      <c r="G34" s="940"/>
      <c r="H34" s="940"/>
      <c r="I34" s="940"/>
      <c r="J34" s="757"/>
      <c r="K34" s="941"/>
      <c r="L34" s="928"/>
      <c r="M34" s="928"/>
      <c r="O34" s="110"/>
      <c r="P34" s="1252"/>
      <c r="Q34" s="1253"/>
      <c r="R34" s="1253"/>
      <c r="S34" s="1253"/>
      <c r="T34" s="1492"/>
      <c r="U34" s="705" t="s">
        <v>1417</v>
      </c>
      <c r="V34" s="1273" t="s">
        <v>1419</v>
      </c>
      <c r="W34" s="1273" t="s">
        <v>1420</v>
      </c>
      <c r="X34" s="283" t="s">
        <v>1421</v>
      </c>
      <c r="Y34" s="1490" t="s">
        <v>1418</v>
      </c>
      <c r="Z34" s="1273"/>
      <c r="AA34" s="705" t="s">
        <v>1183</v>
      </c>
      <c r="AB34" s="1253"/>
      <c r="AC34" s="1254"/>
    </row>
    <row r="35" spans="2:29" ht="15" thickBot="1">
      <c r="B35" s="928">
        <v>3</v>
      </c>
      <c r="C35" s="757" t="s">
        <v>846</v>
      </c>
      <c r="D35" s="757"/>
      <c r="E35" s="757"/>
      <c r="F35" s="757"/>
      <c r="G35" s="940"/>
      <c r="H35" s="940"/>
      <c r="I35" s="940"/>
      <c r="J35" s="757"/>
      <c r="K35" s="941"/>
      <c r="L35" s="928"/>
      <c r="M35" s="928"/>
      <c r="P35" s="280"/>
      <c r="Q35" s="281" t="s">
        <v>1361</v>
      </c>
      <c r="R35" s="281" t="s">
        <v>1362</v>
      </c>
      <c r="S35" s="281" t="s">
        <v>1363</v>
      </c>
      <c r="T35" s="1262" t="s">
        <v>1422</v>
      </c>
      <c r="U35" s="1491">
        <f>U23</f>
        <v>24.191662209467019</v>
      </c>
      <c r="V35" s="1491">
        <v>5.932728623607991</v>
      </c>
      <c r="W35" s="1491">
        <v>5.1747598875778476</v>
      </c>
      <c r="X35" s="1491">
        <f>X23</f>
        <v>5.8753076741135475</v>
      </c>
      <c r="Y35" s="1491">
        <f>Y23</f>
        <v>15.687299710914136</v>
      </c>
      <c r="Z35" s="1489"/>
      <c r="AA35" s="1268">
        <f>SUM(U25,Y25)/SUM(U18,Y18)*100</f>
        <v>18.776542667256237</v>
      </c>
      <c r="AB35" s="1253"/>
      <c r="AC35" s="1254"/>
    </row>
    <row r="36" spans="2:29">
      <c r="B36" s="928">
        <v>4</v>
      </c>
      <c r="C36" s="1128" t="s">
        <v>830</v>
      </c>
      <c r="D36" s="1239">
        <f>AVERAGE('Balance Cl Sept Día'!D36,'Balance Cl Sept Noche'!D36)</f>
        <v>2239.5500000000002</v>
      </c>
      <c r="E36" s="1239">
        <f>AVERAGE('Balance Cl Sept Día'!E36,'Balance Cl Sept Noche'!E36)</f>
        <v>357.8</v>
      </c>
      <c r="F36" s="757">
        <f t="shared" ref="F36:F45" si="6">D36-E36</f>
        <v>1881.7500000000002</v>
      </c>
      <c r="G36" s="1477">
        <f t="shared" ref="G36:G45" si="7">+E36/D36*100</f>
        <v>15.976423835145454</v>
      </c>
      <c r="H36" s="1281">
        <f>AVERAGE('Balance Cl Sept Día'!H36,'Balance Cl Sept Noche'!H36)</f>
        <v>0.5</v>
      </c>
      <c r="I36" s="1281">
        <f>AVERAGE('Balance Cl Sept Día'!I36,'Balance Cl Sept Noche'!I36)</f>
        <v>30</v>
      </c>
      <c r="J36" s="757">
        <f t="shared" ref="J36:J45" si="8">+H36*60+I36</f>
        <v>60</v>
      </c>
      <c r="K36" s="1279">
        <f>+(E36/1000)/(J36/3600)</f>
        <v>21.468</v>
      </c>
      <c r="L36" s="1280">
        <f>AVERAGE('Balance Cl Sept Día'!L36,'Balance Cl Sept Noche'!L36)</f>
        <v>2.29</v>
      </c>
      <c r="M36" s="1280">
        <f>AVERAGE('Balance Cl Sept Día'!M36,'Balance Cl Sept Noche'!M36)</f>
        <v>5.3849999999999998</v>
      </c>
      <c r="P36" s="1251" t="s">
        <v>847</v>
      </c>
      <c r="Q36" s="1253"/>
      <c r="R36" s="1253"/>
      <c r="S36" s="1489"/>
      <c r="T36" s="1262" t="s">
        <v>1096</v>
      </c>
      <c r="U36" s="1491">
        <f>U37*U38</f>
        <v>44.297222023775809</v>
      </c>
      <c r="V36" s="1491">
        <v>94.582937397045683</v>
      </c>
      <c r="W36" s="1491">
        <v>93.362637782199229</v>
      </c>
      <c r="X36" s="1491">
        <f>X37*X38</f>
        <v>93.955102852642739</v>
      </c>
      <c r="Y36" s="1491">
        <f>Y37*Y38</f>
        <v>60.541048520822159</v>
      </c>
      <c r="Z36" s="1489"/>
      <c r="AA36" s="1493">
        <f>(Y25+U25)/T25*100</f>
        <v>94.649017205611486</v>
      </c>
      <c r="AB36" s="1488"/>
      <c r="AC36" s="1254"/>
    </row>
    <row r="37" spans="2:29">
      <c r="B37" s="928">
        <v>5</v>
      </c>
      <c r="C37" s="1073" t="s">
        <v>831</v>
      </c>
      <c r="D37" s="1239">
        <f>AVERAGE('Balance Cl Sept Día'!D37,'Balance Cl Sept Noche'!D37)</f>
        <v>2932.6000000000004</v>
      </c>
      <c r="E37" s="1239">
        <f>AVERAGE('Balance Cl Sept Día'!E37,'Balance Cl Sept Noche'!E37)</f>
        <v>604.9</v>
      </c>
      <c r="F37" s="757">
        <f t="shared" si="6"/>
        <v>2327.7000000000003</v>
      </c>
      <c r="G37" s="1477">
        <f t="shared" si="7"/>
        <v>20.626747595989904</v>
      </c>
      <c r="H37" s="1281">
        <f>AVERAGE('Balance Cl Sept Día'!H37,'Balance Cl Sept Noche'!H37)</f>
        <v>35</v>
      </c>
      <c r="I37" s="1281">
        <f>AVERAGE('Balance Cl Sept Día'!I37,'Balance Cl Sept Noche'!I37)</f>
        <v>22.5</v>
      </c>
      <c r="J37" s="757">
        <f t="shared" si="8"/>
        <v>2122.5</v>
      </c>
      <c r="K37" s="1279">
        <f t="shared" ref="K37:K45" si="9">+(E37/1000)/(J37/3600)</f>
        <v>1.0259787985865725</v>
      </c>
      <c r="L37" s="1280">
        <f>AVERAGE('Balance Cl Sept Día'!L37,'Balance Cl Sept Noche'!L37)</f>
        <v>24.759999999999998</v>
      </c>
      <c r="M37" s="1280">
        <f>AVERAGE('Balance Cl Sept Día'!M37,'Balance Cl Sept Noche'!M37)</f>
        <v>17</v>
      </c>
      <c r="P37" s="1251" t="s">
        <v>849</v>
      </c>
      <c r="Q37" s="1253"/>
      <c r="R37" s="1253"/>
      <c r="S37" s="1489"/>
      <c r="T37" s="1262" t="s">
        <v>1178</v>
      </c>
      <c r="U37" s="1491">
        <f>U18/T18*100</f>
        <v>4.3957161468028021</v>
      </c>
      <c r="V37" s="1491">
        <v>30.965433772675823</v>
      </c>
      <c r="W37" s="1491">
        <v>27.272352434743468</v>
      </c>
      <c r="X37" s="1491">
        <f>X18/W18*100</f>
        <v>27.881482232363158</v>
      </c>
      <c r="Y37" s="1491">
        <f>Y18/X18*100</f>
        <v>22.674220135272712</v>
      </c>
      <c r="Z37" s="1489"/>
      <c r="AA37" s="1268">
        <f>(U18+Y18)/T18*100</f>
        <v>12.100946439452978</v>
      </c>
      <c r="AB37" s="1253"/>
      <c r="AC37" s="1254"/>
    </row>
    <row r="38" spans="2:29">
      <c r="B38" s="928">
        <v>6</v>
      </c>
      <c r="C38" s="1073" t="s">
        <v>832</v>
      </c>
      <c r="D38" s="1239">
        <f>AVERAGE('Balance Cl Sept Día'!D38,'Balance Cl Sept Noche'!D38)</f>
        <v>2237.6</v>
      </c>
      <c r="E38" s="1239">
        <f>AVERAGE('Balance Cl Sept Día'!E38,'Balance Cl Sept Noche'!E38)</f>
        <v>357.4</v>
      </c>
      <c r="F38" s="757">
        <f t="shared" si="6"/>
        <v>1880.1999999999998</v>
      </c>
      <c r="G38" s="1477">
        <f t="shared" si="7"/>
        <v>15.972470504111547</v>
      </c>
      <c r="H38" s="1281">
        <f>AVERAGE('Balance Cl Sept Día'!H38,'Balance Cl Sept Noche'!H38)</f>
        <v>0.5</v>
      </c>
      <c r="I38" s="1281">
        <f>AVERAGE('Balance Cl Sept Día'!I38,'Balance Cl Sept Noche'!I38)</f>
        <v>30</v>
      </c>
      <c r="J38" s="757">
        <f t="shared" si="8"/>
        <v>60</v>
      </c>
      <c r="K38" s="1279">
        <f t="shared" si="9"/>
        <v>21.443999999999999</v>
      </c>
      <c r="L38" s="1280">
        <f>AVERAGE('Balance Cl Sept Día'!L38,'Balance Cl Sept Noche'!L38)</f>
        <v>1.377</v>
      </c>
      <c r="M38" s="1280">
        <f>AVERAGE('Balance Cl Sept Día'!M38,'Balance Cl Sept Noche'!M38)</f>
        <v>6.07</v>
      </c>
      <c r="P38" s="1251" t="s">
        <v>851</v>
      </c>
      <c r="Q38" s="1253">
        <f>SUMPRODUCT(T7:AC7,$T$18:$AC$18)</f>
        <v>2.8066438062523957E-13</v>
      </c>
      <c r="R38" s="1253">
        <f>SUMPRODUCT(T7:AC7,$T$25:$AC$25)</f>
        <v>-7.5864292625738017E-10</v>
      </c>
      <c r="S38" s="1489">
        <f>SUMPRODUCT(T7:AC7,$T$32:$AC$32)</f>
        <v>1.0054401755610343E-11</v>
      </c>
      <c r="T38" s="1262" t="s">
        <v>753</v>
      </c>
      <c r="U38" s="1491">
        <f>U23/T23</f>
        <v>10.077361809632574</v>
      </c>
      <c r="V38" s="1491">
        <v>3.0544683498187104</v>
      </c>
      <c r="W38" s="1491">
        <v>3.4233437693207716</v>
      </c>
      <c r="X38" s="1491">
        <f>X23/W23</f>
        <v>3.3698030136857384</v>
      </c>
      <c r="Y38" s="1491">
        <f>Y23/X23</f>
        <v>2.670038844098662</v>
      </c>
      <c r="Z38" s="1489"/>
      <c r="AA38" s="1268">
        <f>AA35/T23</f>
        <v>7.821621034287471</v>
      </c>
      <c r="AB38" s="1253"/>
      <c r="AC38" s="1254"/>
    </row>
    <row r="39" spans="2:29" ht="15" thickBot="1">
      <c r="B39" s="928">
        <v>7</v>
      </c>
      <c r="C39" s="1073" t="s">
        <v>833</v>
      </c>
      <c r="D39" s="1239">
        <f>AVERAGE('Balance Cl Sept Día'!D39,'Balance Cl Sept Noche'!D39)</f>
        <v>2196</v>
      </c>
      <c r="E39" s="1239">
        <f>AVERAGE('Balance Cl Sept Día'!E39,'Balance Cl Sept Noche'!E39)</f>
        <v>282.39999999999998</v>
      </c>
      <c r="F39" s="757">
        <f t="shared" si="6"/>
        <v>1913.6</v>
      </c>
      <c r="G39" s="1477">
        <f t="shared" si="7"/>
        <v>12.85974499089253</v>
      </c>
      <c r="H39" s="1281">
        <f>AVERAGE('Balance Cl Sept Día'!H39,'Balance Cl Sept Noche'!H39)</f>
        <v>0</v>
      </c>
      <c r="I39" s="1281">
        <f>AVERAGE('Balance Cl Sept Día'!I39,'Balance Cl Sept Noche'!I39)</f>
        <v>37.5</v>
      </c>
      <c r="J39" s="757">
        <f t="shared" si="8"/>
        <v>37.5</v>
      </c>
      <c r="K39" s="1279">
        <f t="shared" si="9"/>
        <v>27.110399999999998</v>
      </c>
      <c r="L39" s="1280">
        <f>AVERAGE('Balance Cl Sept Día'!L39,'Balance Cl Sept Noche'!L39)</f>
        <v>1.7985</v>
      </c>
      <c r="M39" s="1280">
        <f>AVERAGE('Balance Cl Sept Día'!M39,'Balance Cl Sept Noche'!M39)</f>
        <v>6.38</v>
      </c>
      <c r="P39" s="1251" t="s">
        <v>853</v>
      </c>
      <c r="Q39" s="1253">
        <f>SUMPRODUCT(T8:AC8,$T$18:$AC$18)</f>
        <v>1.3202772208842362E-11</v>
      </c>
      <c r="R39" s="1253">
        <f>SUMPRODUCT(T8:AC8,$T$25:$AC$25)</f>
        <v>-4.2458758731100943E-11</v>
      </c>
      <c r="S39" s="1489">
        <f>SUMPRODUCT(T8:AC8,$T$32:$AC$32)</f>
        <v>-4.8213877335001598E-11</v>
      </c>
      <c r="T39" s="1264" t="s">
        <v>1423</v>
      </c>
      <c r="U39" s="1494">
        <f>T23</f>
        <v>2.4005947852684133</v>
      </c>
      <c r="V39" s="1494">
        <f>'Balance Cl Sept Día'!W23</f>
        <v>2.0044095355155651</v>
      </c>
      <c r="W39" s="1494">
        <f>+'Balance Cl Sept Noche'!W23</f>
        <v>1.5116097699427293</v>
      </c>
      <c r="X39" s="1494">
        <f>W23</f>
        <v>1.7435166537189963</v>
      </c>
      <c r="Y39" s="1271">
        <f>X23</f>
        <v>5.8753076741135475</v>
      </c>
      <c r="Z39" s="1257"/>
      <c r="AA39" s="1258"/>
      <c r="AB39" s="1253"/>
      <c r="AC39" s="1254"/>
    </row>
    <row r="40" spans="2:29">
      <c r="B40" s="928">
        <v>8</v>
      </c>
      <c r="C40" s="1073" t="s">
        <v>834</v>
      </c>
      <c r="D40" s="1239">
        <f>AVERAGE('Balance Cl Sept Día'!D40,'Balance Cl Sept Noche'!D40)</f>
        <v>2252.0500000000002</v>
      </c>
      <c r="E40" s="1239">
        <f>AVERAGE('Balance Cl Sept Día'!E40,'Balance Cl Sept Noche'!E40)</f>
        <v>243.25</v>
      </c>
      <c r="F40" s="757">
        <f t="shared" si="6"/>
        <v>2008.8000000000002</v>
      </c>
      <c r="G40" s="1477">
        <f t="shared" si="7"/>
        <v>10.801269954041873</v>
      </c>
      <c r="H40" s="1281">
        <f>AVERAGE('Balance Cl Sept Día'!H40,'Balance Cl Sept Noche'!H40)</f>
        <v>1.5</v>
      </c>
      <c r="I40" s="1281">
        <f>AVERAGE('Balance Cl Sept Día'!I40,'Balance Cl Sept Noche'!I40)</f>
        <v>20</v>
      </c>
      <c r="J40" s="757">
        <f t="shared" si="8"/>
        <v>110</v>
      </c>
      <c r="K40" s="1279">
        <f t="shared" si="9"/>
        <v>7.9609090909090909</v>
      </c>
      <c r="L40" s="1280">
        <f>AVERAGE('Balance Cl Sept Día'!L40,'Balance Cl Sept Noche'!L40)</f>
        <v>5.6150000000000002</v>
      </c>
      <c r="M40" s="1280">
        <f>AVERAGE('Balance Cl Sept Día'!M40,'Balance Cl Sept Noche'!M40)</f>
        <v>11.350000000000001</v>
      </c>
      <c r="P40" s="1251" t="s">
        <v>854</v>
      </c>
      <c r="Q40" s="1253">
        <f>SUMPRODUCT(T9:AC9,$T$18:$AC$18)</f>
        <v>-3.3573144264664734E-11</v>
      </c>
      <c r="R40" s="1253">
        <f>SUMPRODUCT(T9:AC9,$T$25:$AC$25)</f>
        <v>-1.0520496279697866E-10</v>
      </c>
      <c r="S40" s="1254">
        <f>SUMPRODUCT(T9:AC9,$T$32:$AC$32)</f>
        <v>8.3676288120670961E-11</v>
      </c>
      <c r="T40" s="1253"/>
      <c r="U40" s="1253"/>
      <c r="V40" s="1253"/>
      <c r="Y40" s="1253"/>
      <c r="Z40" s="1253"/>
      <c r="AA40" s="1253"/>
      <c r="AB40" s="1253"/>
      <c r="AC40" s="1254"/>
    </row>
    <row r="41" spans="2:29">
      <c r="B41" s="928">
        <v>9</v>
      </c>
      <c r="C41" s="1073" t="s">
        <v>835</v>
      </c>
      <c r="D41" s="1239">
        <f>AVERAGE('Balance Cl Sept Día'!D41,'Balance Cl Sept Noche'!D41)</f>
        <v>2842.2</v>
      </c>
      <c r="E41" s="1239">
        <f>AVERAGE('Balance Cl Sept Día'!E41,'Balance Cl Sept Noche'!E41)</f>
        <v>528.35</v>
      </c>
      <c r="F41" s="757">
        <f t="shared" si="6"/>
        <v>2313.85</v>
      </c>
      <c r="G41" s="1477">
        <f t="shared" si="7"/>
        <v>18.589472943494478</v>
      </c>
      <c r="H41" s="1281">
        <f>AVERAGE('Balance Cl Sept Día'!H41,'Balance Cl Sept Noche'!H41)</f>
        <v>17.5</v>
      </c>
      <c r="I41" s="1281">
        <f>AVERAGE('Balance Cl Sept Día'!I41,'Balance Cl Sept Noche'!I41)</f>
        <v>30</v>
      </c>
      <c r="J41" s="757">
        <f t="shared" si="8"/>
        <v>1080</v>
      </c>
      <c r="K41" s="1279">
        <f t="shared" si="9"/>
        <v>1.7611666666666668</v>
      </c>
      <c r="L41" s="1280">
        <f>AVERAGE('Balance Cl Sept Día'!L41,'Balance Cl Sept Noche'!L41)</f>
        <v>16.61</v>
      </c>
      <c r="M41" s="1280">
        <f>AVERAGE('Balance Cl Sept Día'!M41,'Balance Cl Sept Noche'!M41)</f>
        <v>17</v>
      </c>
      <c r="P41" s="1251" t="s">
        <v>855</v>
      </c>
      <c r="Q41" s="1253">
        <f>SUMPRODUCT(T10:AC10,$T$18:$AC$18)</f>
        <v>-9.6722629905343638E-13</v>
      </c>
      <c r="R41" s="1253">
        <f>SUMPRODUCT(T10:AC10,$T$25:$AC$25)</f>
        <v>1.5511536499701606E-10</v>
      </c>
      <c r="S41" s="1254">
        <f>SUMPRODUCT(T10:AC10,$T$32:$AC$32)</f>
        <v>7.756846276407714E-10</v>
      </c>
      <c r="T41" s="1253"/>
      <c r="U41" s="1253"/>
      <c r="V41" s="1253"/>
      <c r="Y41" s="1253"/>
      <c r="Z41" s="1253"/>
      <c r="AA41" s="1253"/>
      <c r="AB41" s="1253"/>
      <c r="AC41" s="1254"/>
    </row>
    <row r="42" spans="2:29">
      <c r="B42" s="928">
        <v>10</v>
      </c>
      <c r="C42" s="1073" t="s">
        <v>836</v>
      </c>
      <c r="D42" s="1239">
        <f>AVERAGE('Balance Cl Sept Día'!D42,'Balance Cl Sept Noche'!D42)</f>
        <v>2828.2</v>
      </c>
      <c r="E42" s="1239">
        <f>AVERAGE('Balance Cl Sept Día'!E42,'Balance Cl Sept Noche'!E42)</f>
        <v>274.5</v>
      </c>
      <c r="F42" s="757">
        <f t="shared" si="6"/>
        <v>2553.6999999999998</v>
      </c>
      <c r="G42" s="1477">
        <f t="shared" si="7"/>
        <v>9.7058199561558585</v>
      </c>
      <c r="H42" s="1281">
        <f>AVERAGE('Balance Cl Sept Día'!H42,'Balance Cl Sept Noche'!H42)</f>
        <v>2.5</v>
      </c>
      <c r="I42" s="1281">
        <f>AVERAGE('Balance Cl Sept Día'!I42,'Balance Cl Sept Noche'!I42)</f>
        <v>22.5</v>
      </c>
      <c r="J42" s="757">
        <f t="shared" si="8"/>
        <v>172.5</v>
      </c>
      <c r="K42" s="1279">
        <f t="shared" si="9"/>
        <v>5.7286956521739132</v>
      </c>
      <c r="L42" s="1280">
        <f>AVERAGE('Balance Cl Sept Día'!L42,'Balance Cl Sept Noche'!L42)</f>
        <v>3.0230000000000001</v>
      </c>
      <c r="M42" s="1280">
        <f>AVERAGE('Balance Cl Sept Día'!M42,'Balance Cl Sept Noche'!M42)</f>
        <v>7.9550000000000001</v>
      </c>
      <c r="P42" s="1251" t="s">
        <v>856</v>
      </c>
      <c r="Q42" s="1253">
        <f>SUMPRODUCT(T11:AC11,$T$18:$AC$18)</f>
        <v>0</v>
      </c>
      <c r="R42" s="1253">
        <f>SUMPRODUCT(T11:AC11,$T$25:$AC$25)</f>
        <v>0</v>
      </c>
      <c r="S42" s="1254">
        <f>SUMPRODUCT(T11:AC11,$T$32:$AC$32)</f>
        <v>0</v>
      </c>
      <c r="T42" s="1253"/>
      <c r="U42" s="1253"/>
      <c r="V42" s="1253"/>
      <c r="Y42" s="1253"/>
      <c r="Z42" s="1253"/>
      <c r="AA42" s="1253"/>
      <c r="AB42" s="1253"/>
      <c r="AC42" s="1254"/>
    </row>
    <row r="43" spans="2:29" ht="15" thickBot="1">
      <c r="B43" s="928">
        <v>11</v>
      </c>
      <c r="C43" s="1073" t="s">
        <v>837</v>
      </c>
      <c r="D43" s="1239">
        <f>AVERAGE('Balance Cl Sept Día'!D43,'Balance Cl Sept Noche'!D43)</f>
        <v>2861.2</v>
      </c>
      <c r="E43" s="1239">
        <f>AVERAGE('Balance Cl Sept Día'!E43,'Balance Cl Sept Noche'!E43)</f>
        <v>438.6</v>
      </c>
      <c r="F43" s="757">
        <f t="shared" si="6"/>
        <v>2422.6</v>
      </c>
      <c r="G43" s="1477">
        <f t="shared" si="7"/>
        <v>15.329232489864394</v>
      </c>
      <c r="H43" s="1281">
        <f>AVERAGE('Balance Cl Sept Día'!H43,'Balance Cl Sept Noche'!H43)</f>
        <v>0.5</v>
      </c>
      <c r="I43" s="1281">
        <f>AVERAGE('Balance Cl Sept Día'!I43,'Balance Cl Sept Noche'!I43)</f>
        <v>45</v>
      </c>
      <c r="J43" s="757">
        <f t="shared" si="8"/>
        <v>75</v>
      </c>
      <c r="K43" s="1279">
        <f t="shared" si="9"/>
        <v>21.052800000000005</v>
      </c>
      <c r="L43" s="1280">
        <f>AVERAGE('Balance Cl Sept Día'!L43,'Balance Cl Sept Noche'!L43)</f>
        <v>0.14650000000000002</v>
      </c>
      <c r="M43" s="1280">
        <f>AVERAGE('Balance Cl Sept Día'!M43,'Balance Cl Sept Noche'!M43)</f>
        <v>3.9400000000000004</v>
      </c>
      <c r="P43" s="1255" t="s">
        <v>861</v>
      </c>
      <c r="Q43" s="1257"/>
      <c r="R43" s="1257"/>
      <c r="S43" s="1258"/>
      <c r="T43" s="1257"/>
      <c r="U43" s="1257"/>
      <c r="V43" s="1257"/>
      <c r="Y43" s="1257"/>
      <c r="Z43" s="1257"/>
      <c r="AA43" s="1257"/>
      <c r="AB43" s="1257"/>
      <c r="AC43" s="1258"/>
    </row>
    <row r="44" spans="2:29">
      <c r="B44" s="928">
        <v>12</v>
      </c>
      <c r="C44" s="757"/>
      <c r="D44" s="757"/>
      <c r="E44" s="757"/>
      <c r="F44" s="757">
        <f t="shared" si="6"/>
        <v>0</v>
      </c>
      <c r="G44" s="1477" t="e">
        <f t="shared" si="7"/>
        <v>#DIV/0!</v>
      </c>
      <c r="H44" s="1088"/>
      <c r="I44" s="1088"/>
      <c r="J44" s="757">
        <f t="shared" si="8"/>
        <v>0</v>
      </c>
      <c r="K44" s="1279" t="e">
        <f t="shared" si="9"/>
        <v>#DIV/0!</v>
      </c>
      <c r="L44" s="1280"/>
      <c r="M44" s="1280"/>
      <c r="P44" s="1462" t="s">
        <v>1411</v>
      </c>
      <c r="Q44" s="1462"/>
    </row>
    <row r="45" spans="2:29">
      <c r="B45" s="928">
        <v>13</v>
      </c>
      <c r="C45" s="757"/>
      <c r="D45" s="757"/>
      <c r="E45" s="757"/>
      <c r="F45" s="757">
        <f t="shared" si="6"/>
        <v>0</v>
      </c>
      <c r="G45" s="1064" t="e">
        <f t="shared" si="7"/>
        <v>#DIV/0!</v>
      </c>
      <c r="H45" s="1088"/>
      <c r="I45" s="1088"/>
      <c r="J45" s="757">
        <f t="shared" si="8"/>
        <v>0</v>
      </c>
      <c r="K45" s="1279" t="e">
        <f t="shared" si="9"/>
        <v>#DIV/0!</v>
      </c>
      <c r="L45" s="1280"/>
      <c r="M45" s="1280"/>
      <c r="P45" s="928" t="s">
        <v>33</v>
      </c>
      <c r="Q45" s="880">
        <f>SUMPRODUCT(T17:AA17,T12:AA12)/SUM(T17)*100</f>
        <v>-11.048749139431917</v>
      </c>
    </row>
    <row r="46" spans="2:29">
      <c r="P46" s="928" t="s">
        <v>1395</v>
      </c>
      <c r="Q46" s="880">
        <f>SUMPRODUCT(T24:AA24,T12:AA12)/SUM(T24)*100</f>
        <v>-17.450017180718788</v>
      </c>
    </row>
    <row r="47" spans="2:29">
      <c r="P47" s="928" t="s">
        <v>1396</v>
      </c>
      <c r="Q47" s="880">
        <f>SUMPRODUCT(T31:AA31,T12:AA12)/SUM(T31)*100</f>
        <v>-12.736734555757026</v>
      </c>
    </row>
    <row r="48" spans="2:29">
      <c r="B48" s="1246" t="s">
        <v>26</v>
      </c>
      <c r="C48" s="1246" t="s">
        <v>1086</v>
      </c>
      <c r="D48" s="1065" t="s">
        <v>867</v>
      </c>
      <c r="E48" s="1065" t="s">
        <v>868</v>
      </c>
      <c r="F48" s="1065" t="s">
        <v>1172</v>
      </c>
      <c r="G48" s="1065" t="s">
        <v>1173</v>
      </c>
      <c r="H48" s="1065" t="s">
        <v>1174</v>
      </c>
      <c r="I48" s="1065" t="s">
        <v>1413</v>
      </c>
      <c r="J48" s="1065" t="s">
        <v>882</v>
      </c>
      <c r="K48" s="1065" t="s">
        <v>865</v>
      </c>
      <c r="L48" s="1065" t="s">
        <v>865</v>
      </c>
      <c r="M48" s="1065" t="s">
        <v>866</v>
      </c>
      <c r="N48" s="1065" t="s">
        <v>1412</v>
      </c>
    </row>
    <row r="49" spans="2:42">
      <c r="B49" s="928">
        <v>1</v>
      </c>
      <c r="C49" s="757" t="s">
        <v>844</v>
      </c>
      <c r="D49" s="757"/>
      <c r="E49" s="757"/>
      <c r="F49" s="757"/>
      <c r="G49" s="757"/>
      <c r="H49" s="757"/>
      <c r="I49" s="940"/>
      <c r="J49" s="940"/>
      <c r="K49" s="940"/>
      <c r="L49" s="757"/>
      <c r="M49" s="941"/>
      <c r="N49" s="941"/>
    </row>
    <row r="50" spans="2:42">
      <c r="B50" s="928">
        <v>2</v>
      </c>
      <c r="C50" s="757" t="s">
        <v>845</v>
      </c>
      <c r="D50" s="757"/>
      <c r="E50" s="757"/>
      <c r="F50" s="757"/>
      <c r="G50" s="757"/>
      <c r="H50" s="757"/>
      <c r="I50" s="940"/>
      <c r="J50" s="940"/>
      <c r="K50" s="940"/>
      <c r="L50" s="757"/>
      <c r="M50" s="941"/>
      <c r="N50" s="941"/>
    </row>
    <row r="51" spans="2:42">
      <c r="B51" s="928">
        <v>3</v>
      </c>
      <c r="C51" s="757" t="s">
        <v>846</v>
      </c>
      <c r="D51" s="757"/>
      <c r="E51" s="757"/>
      <c r="F51" s="757"/>
      <c r="G51" s="757"/>
      <c r="H51" s="757"/>
      <c r="I51" s="940"/>
      <c r="J51" s="940"/>
      <c r="K51" s="940"/>
      <c r="L51" s="757"/>
      <c r="M51" s="941"/>
      <c r="N51" s="1479"/>
    </row>
    <row r="52" spans="2:42">
      <c r="B52" s="928">
        <v>4</v>
      </c>
      <c r="C52" s="1128" t="s">
        <v>830</v>
      </c>
      <c r="D52" s="1239">
        <f>D36</f>
        <v>2239.5500000000002</v>
      </c>
      <c r="E52" s="1239">
        <f>E36</f>
        <v>357.8</v>
      </c>
      <c r="F52" s="941">
        <f>(L52/3600)*N52*1000</f>
        <v>471.52275125704375</v>
      </c>
      <c r="G52" s="941">
        <f t="shared" ref="G52:G61" si="10">F52+F36</f>
        <v>2353.2727512570441</v>
      </c>
      <c r="H52" s="1476">
        <f t="shared" ref="H52:H61" si="11">(F52/G52)*100</f>
        <v>20.036893343755892</v>
      </c>
      <c r="I52" s="1064">
        <f t="shared" ref="I52:I61" si="12">+E52/D52*100</f>
        <v>15.976423835145454</v>
      </c>
      <c r="J52" s="1281">
        <v>1</v>
      </c>
      <c r="K52" s="1281">
        <v>15</v>
      </c>
      <c r="L52" s="757">
        <f t="shared" ref="L52:L61" si="13">+J52*60+K52</f>
        <v>75</v>
      </c>
      <c r="M52" s="1478">
        <f t="shared" ref="M52:M61" si="14">+(F52/1000)/(L52/3600)</f>
        <v>22.6330920603381</v>
      </c>
      <c r="N52" s="1481">
        <f>T18</f>
        <v>22.6330920603381</v>
      </c>
      <c r="P52" s="1267"/>
    </row>
    <row r="53" spans="2:42">
      <c r="B53" s="928">
        <v>5</v>
      </c>
      <c r="C53" s="1073" t="s">
        <v>831</v>
      </c>
      <c r="D53" s="1239">
        <f t="shared" ref="D53:E59" si="15">D37</f>
        <v>2932.6000000000004</v>
      </c>
      <c r="E53" s="1239">
        <f t="shared" si="15"/>
        <v>604.9</v>
      </c>
      <c r="F53" s="941">
        <f t="shared" ref="F53:F61" si="16">(L53*N53*1000)/3600</f>
        <v>335.77418774824594</v>
      </c>
      <c r="G53" s="941">
        <f t="shared" si="10"/>
        <v>2663.4741877482461</v>
      </c>
      <c r="H53" s="1476">
        <f t="shared" si="11"/>
        <v>12.606624434086072</v>
      </c>
      <c r="I53" s="1064">
        <f t="shared" si="12"/>
        <v>20.626747595989904</v>
      </c>
      <c r="J53" s="1281">
        <v>20</v>
      </c>
      <c r="K53" s="1281">
        <v>15</v>
      </c>
      <c r="L53" s="757">
        <f t="shared" si="13"/>
        <v>1215</v>
      </c>
      <c r="M53" s="1478">
        <f t="shared" si="14"/>
        <v>0.9948864822170248</v>
      </c>
      <c r="N53" s="1481">
        <f>+U18</f>
        <v>0.99488648221702491</v>
      </c>
      <c r="P53" s="1267"/>
      <c r="AP53" s="4" t="s">
        <v>1351</v>
      </c>
    </row>
    <row r="54" spans="2:42">
      <c r="B54" s="928">
        <v>6</v>
      </c>
      <c r="C54" s="1073" t="s">
        <v>832</v>
      </c>
      <c r="D54" s="1239">
        <f t="shared" si="15"/>
        <v>2237.6</v>
      </c>
      <c r="E54" s="1239">
        <f t="shared" si="15"/>
        <v>357.4</v>
      </c>
      <c r="F54" s="941">
        <f t="shared" si="16"/>
        <v>450.7959495441832</v>
      </c>
      <c r="G54" s="941">
        <f t="shared" si="10"/>
        <v>2330.9959495441831</v>
      </c>
      <c r="H54" s="1476">
        <f t="shared" si="11"/>
        <v>19.339199179317944</v>
      </c>
      <c r="I54" s="1064">
        <f t="shared" si="12"/>
        <v>15.972470504111547</v>
      </c>
      <c r="J54" s="1281">
        <v>1</v>
      </c>
      <c r="K54" s="1281">
        <v>15</v>
      </c>
      <c r="L54" s="757">
        <f t="shared" si="13"/>
        <v>75</v>
      </c>
      <c r="M54" s="1478">
        <f t="shared" si="14"/>
        <v>21.638205578120797</v>
      </c>
      <c r="N54" s="1481">
        <f>+V18</f>
        <v>21.638205578120793</v>
      </c>
      <c r="P54" s="1267"/>
    </row>
    <row r="55" spans="2:42">
      <c r="B55" s="928">
        <v>7</v>
      </c>
      <c r="C55" s="1073" t="s">
        <v>833</v>
      </c>
      <c r="D55" s="1239">
        <f t="shared" si="15"/>
        <v>2196</v>
      </c>
      <c r="E55" s="1239">
        <f t="shared" si="15"/>
        <v>282.39999999999998</v>
      </c>
      <c r="F55" s="941">
        <f t="shared" si="16"/>
        <v>344.81909654276632</v>
      </c>
      <c r="G55" s="941">
        <f t="shared" si="10"/>
        <v>2258.4190965427661</v>
      </c>
      <c r="H55" s="1476">
        <f>(F55/G55)*100</f>
        <v>15.268162453577478</v>
      </c>
      <c r="I55" s="1064">
        <f t="shared" si="12"/>
        <v>12.85974499089253</v>
      </c>
      <c r="J55" s="1281">
        <v>0</v>
      </c>
      <c r="K55" s="1281">
        <v>45</v>
      </c>
      <c r="L55" s="757">
        <f t="shared" si="13"/>
        <v>45</v>
      </c>
      <c r="M55" s="1478">
        <f t="shared" si="14"/>
        <v>27.585527723421304</v>
      </c>
      <c r="N55" s="1481">
        <f>+W18</f>
        <v>27.585527723421311</v>
      </c>
      <c r="P55" s="1267"/>
    </row>
    <row r="56" spans="2:42">
      <c r="B56" s="928">
        <v>8</v>
      </c>
      <c r="C56" s="1073" t="s">
        <v>834</v>
      </c>
      <c r="D56" s="1239">
        <f t="shared" si="15"/>
        <v>2252.0500000000002</v>
      </c>
      <c r="E56" s="1239">
        <f t="shared" si="15"/>
        <v>243.25</v>
      </c>
      <c r="F56" s="941">
        <f t="shared" si="16"/>
        <v>320.46891712122198</v>
      </c>
      <c r="G56" s="941">
        <f t="shared" si="10"/>
        <v>2329.2689171212223</v>
      </c>
      <c r="H56" s="1476">
        <f t="shared" si="11"/>
        <v>13.758347727290083</v>
      </c>
      <c r="I56" s="1064">
        <f t="shared" si="12"/>
        <v>10.801269954041873</v>
      </c>
      <c r="J56" s="1281">
        <v>2</v>
      </c>
      <c r="K56" s="1281">
        <v>30</v>
      </c>
      <c r="L56" s="757">
        <f t="shared" si="13"/>
        <v>150</v>
      </c>
      <c r="M56" s="1478">
        <f t="shared" si="14"/>
        <v>7.6912540109093284</v>
      </c>
      <c r="N56" s="1481">
        <f>+X18</f>
        <v>7.6912540109093266</v>
      </c>
      <c r="P56" s="1267"/>
    </row>
    <row r="57" spans="2:42">
      <c r="B57" s="928">
        <v>9</v>
      </c>
      <c r="C57" s="1073" t="s">
        <v>835</v>
      </c>
      <c r="D57" s="1239">
        <f t="shared" si="15"/>
        <v>2842.2</v>
      </c>
      <c r="E57" s="1239">
        <f t="shared" si="15"/>
        <v>528.35</v>
      </c>
      <c r="F57" s="941">
        <f t="shared" si="16"/>
        <v>159.86042101301919</v>
      </c>
      <c r="G57" s="941">
        <f t="shared" si="10"/>
        <v>2473.7104210130192</v>
      </c>
      <c r="H57" s="1476">
        <f t="shared" si="11"/>
        <v>6.4623740780278602</v>
      </c>
      <c r="I57" s="1064">
        <f t="shared" si="12"/>
        <v>18.589472943494478</v>
      </c>
      <c r="J57" s="1281">
        <v>5</v>
      </c>
      <c r="K57" s="1281">
        <v>30</v>
      </c>
      <c r="L57" s="757">
        <f t="shared" si="13"/>
        <v>330</v>
      </c>
      <c r="M57" s="1478">
        <f t="shared" si="14"/>
        <v>1.7439318655965732</v>
      </c>
      <c r="N57" s="1481">
        <f>+Y18</f>
        <v>1.7439318655965728</v>
      </c>
      <c r="P57" s="1267"/>
    </row>
    <row r="58" spans="2:42">
      <c r="B58" s="928">
        <v>10</v>
      </c>
      <c r="C58" s="1073" t="s">
        <v>836</v>
      </c>
      <c r="D58" s="1239">
        <f t="shared" si="15"/>
        <v>2828.2</v>
      </c>
      <c r="E58" s="1239">
        <f t="shared" si="15"/>
        <v>274.5</v>
      </c>
      <c r="F58" s="941">
        <f t="shared" si="16"/>
        <v>446.04916089852912</v>
      </c>
      <c r="G58" s="941">
        <f t="shared" si="10"/>
        <v>2999.7491608985288</v>
      </c>
      <c r="H58" s="1476">
        <f t="shared" si="11"/>
        <v>14.869548651358633</v>
      </c>
      <c r="I58" s="1064">
        <f t="shared" si="12"/>
        <v>9.7058199561558585</v>
      </c>
      <c r="J58" s="1281">
        <v>4</v>
      </c>
      <c r="K58" s="1281">
        <v>30</v>
      </c>
      <c r="L58" s="757">
        <f t="shared" si="13"/>
        <v>270</v>
      </c>
      <c r="M58" s="1478">
        <f t="shared" si="14"/>
        <v>5.9473221453137217</v>
      </c>
      <c r="N58" s="1481">
        <f>+Z18</f>
        <v>5.9473221453137208</v>
      </c>
      <c r="P58" s="1267"/>
    </row>
    <row r="59" spans="2:42">
      <c r="B59" s="928">
        <v>11</v>
      </c>
      <c r="C59" s="1073" t="s">
        <v>837</v>
      </c>
      <c r="D59" s="1239">
        <f t="shared" si="15"/>
        <v>2861.2</v>
      </c>
      <c r="E59" s="1239">
        <f t="shared" si="15"/>
        <v>438.6</v>
      </c>
      <c r="F59" s="941">
        <f t="shared" si="16"/>
        <v>580.24964994924539</v>
      </c>
      <c r="G59" s="941">
        <f t="shared" si="10"/>
        <v>3002.8496499492453</v>
      </c>
      <c r="H59" s="1476">
        <f t="shared" si="11"/>
        <v>19.323300117908097</v>
      </c>
      <c r="I59" s="1064">
        <f t="shared" si="12"/>
        <v>15.329232489864394</v>
      </c>
      <c r="J59" s="1281">
        <v>1</v>
      </c>
      <c r="K59" s="1281">
        <v>45</v>
      </c>
      <c r="L59" s="757">
        <f t="shared" si="13"/>
        <v>105</v>
      </c>
      <c r="M59" s="1478">
        <f t="shared" si="14"/>
        <v>19.894273712545559</v>
      </c>
      <c r="N59" s="1481">
        <f>+AA18</f>
        <v>19.894273712545559</v>
      </c>
      <c r="P59" s="1267"/>
    </row>
    <row r="60" spans="2:42">
      <c r="B60" s="928">
        <v>12</v>
      </c>
      <c r="C60" s="942"/>
      <c r="D60" s="757"/>
      <c r="E60" s="757"/>
      <c r="F60" s="941">
        <f t="shared" si="16"/>
        <v>0</v>
      </c>
      <c r="G60" s="941">
        <f t="shared" si="10"/>
        <v>0</v>
      </c>
      <c r="H60" s="1278" t="e">
        <f t="shared" si="11"/>
        <v>#DIV/0!</v>
      </c>
      <c r="I60" s="1064" t="e">
        <f t="shared" si="12"/>
        <v>#DIV/0!</v>
      </c>
      <c r="J60" s="1089"/>
      <c r="K60" s="1089"/>
      <c r="L60" s="757">
        <f t="shared" si="13"/>
        <v>0</v>
      </c>
      <c r="M60" s="941" t="e">
        <f t="shared" si="14"/>
        <v>#DIV/0!</v>
      </c>
      <c r="N60" s="1480"/>
    </row>
    <row r="61" spans="2:42">
      <c r="B61" s="928">
        <v>13</v>
      </c>
      <c r="C61" s="757"/>
      <c r="D61" s="757"/>
      <c r="E61" s="757"/>
      <c r="F61" s="941">
        <f t="shared" si="16"/>
        <v>0</v>
      </c>
      <c r="G61" s="941">
        <f t="shared" si="10"/>
        <v>0</v>
      </c>
      <c r="H61" s="1278" t="e">
        <f t="shared" si="11"/>
        <v>#DIV/0!</v>
      </c>
      <c r="I61" s="1064" t="e">
        <f t="shared" si="12"/>
        <v>#DIV/0!</v>
      </c>
      <c r="J61" s="1088"/>
      <c r="K61" s="1088"/>
      <c r="L61" s="757">
        <f t="shared" si="13"/>
        <v>0</v>
      </c>
      <c r="M61" s="941" t="e">
        <f t="shared" si="14"/>
        <v>#DIV/0!</v>
      </c>
      <c r="N61" s="1279"/>
      <c r="AP61" s="4" t="s">
        <v>1356</v>
      </c>
    </row>
  </sheetData>
  <mergeCells count="7">
    <mergeCell ref="P44:Q44"/>
    <mergeCell ref="P2:AC2"/>
    <mergeCell ref="E3:F3"/>
    <mergeCell ref="P13:AC13"/>
    <mergeCell ref="P19:AC19"/>
    <mergeCell ref="P26:AC26"/>
    <mergeCell ref="B31:M31"/>
  </mergeCells>
  <pageMargins left="0.7" right="0.7" top="0.75" bottom="0.75" header="0.3" footer="0.3"/>
  <pageSetup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9A55B-9A82-4F03-9A8B-33416540BCCE}">
  <sheetPr>
    <tabColor theme="9" tint="0.39997558519241921"/>
  </sheetPr>
  <dimension ref="B2:AP61"/>
  <sheetViews>
    <sheetView topLeftCell="L10" zoomScale="70" zoomScaleNormal="70" workbookViewId="0">
      <selection activeCell="W23" sqref="W23"/>
    </sheetView>
  </sheetViews>
  <sheetFormatPr baseColWidth="10" defaultColWidth="10.7265625" defaultRowHeight="14.5"/>
  <cols>
    <col min="1" max="1" width="10.7265625" style="4"/>
    <col min="2" max="2" width="2.90625" style="4" bestFit="1" customWidth="1"/>
    <col min="3" max="3" width="28.54296875" style="4" bestFit="1" customWidth="1"/>
    <col min="4" max="4" width="17.7265625" style="4" bestFit="1" customWidth="1"/>
    <col min="5" max="5" width="18" style="4" bestFit="1" customWidth="1"/>
    <col min="6" max="6" width="15.36328125" style="4" bestFit="1" customWidth="1"/>
    <col min="7" max="8" width="18" style="4" customWidth="1"/>
    <col min="9" max="9" width="12.26953125" style="4" bestFit="1" customWidth="1"/>
    <col min="10" max="10" width="10.7265625" style="4"/>
    <col min="11" max="11" width="17.08984375" style="4" bestFit="1" customWidth="1"/>
    <col min="12" max="12" width="8.7265625" style="4" bestFit="1" customWidth="1"/>
    <col min="13" max="13" width="17.08984375" style="4" bestFit="1" customWidth="1"/>
    <col min="14" max="14" width="14.6328125" style="4" bestFit="1" customWidth="1"/>
    <col min="15" max="15" width="10.7265625" style="4"/>
    <col min="16" max="16" width="15.81640625" style="4" bestFit="1" customWidth="1"/>
    <col min="17" max="19" width="12.54296875" style="4" bestFit="1" customWidth="1"/>
    <col min="20" max="26" width="11.81640625" style="4" bestFit="1" customWidth="1"/>
    <col min="27" max="27" width="11.90625" style="4" bestFit="1" customWidth="1"/>
    <col min="28" max="29" width="11.81640625" style="4" bestFit="1" customWidth="1"/>
    <col min="30" max="16384" width="10.7265625" style="4"/>
  </cols>
  <sheetData>
    <row r="2" spans="5:29">
      <c r="P2" s="1307" t="s">
        <v>1406</v>
      </c>
      <c r="Q2" s="1308"/>
      <c r="R2" s="1308"/>
      <c r="S2" s="1308"/>
      <c r="T2" s="1308"/>
      <c r="U2" s="1308"/>
      <c r="V2" s="1308"/>
      <c r="W2" s="1308"/>
      <c r="X2" s="1308"/>
      <c r="Y2" s="1308"/>
      <c r="Z2" s="1308"/>
      <c r="AA2" s="1308"/>
      <c r="AB2" s="1308"/>
      <c r="AC2" s="1308"/>
    </row>
    <row r="3" spans="5:29" ht="15" thickBot="1">
      <c r="E3" s="1396"/>
      <c r="F3" s="1396"/>
      <c r="P3" s="1247" t="s">
        <v>1350</v>
      </c>
      <c r="Q3" s="1247" t="s">
        <v>993</v>
      </c>
      <c r="R3" s="1247" t="s">
        <v>1398</v>
      </c>
      <c r="S3" s="1247" t="s">
        <v>23</v>
      </c>
      <c r="T3" s="1247" t="s">
        <v>1400</v>
      </c>
      <c r="U3" s="1247" t="s">
        <v>1401</v>
      </c>
      <c r="V3" s="1247" t="s">
        <v>1402</v>
      </c>
      <c r="W3" s="1247" t="s">
        <v>961</v>
      </c>
      <c r="X3" s="1247" t="s">
        <v>1399</v>
      </c>
      <c r="Y3" s="1247" t="s">
        <v>1403</v>
      </c>
      <c r="Z3" s="1247" t="s">
        <v>1404</v>
      </c>
      <c r="AA3" s="1247" t="s">
        <v>1405</v>
      </c>
      <c r="AB3" s="1247" t="s">
        <v>1136</v>
      </c>
      <c r="AC3" s="1247" t="s">
        <v>841</v>
      </c>
    </row>
    <row r="4" spans="5:29">
      <c r="P4" s="705" t="s">
        <v>809</v>
      </c>
      <c r="Q4" s="1248">
        <v>1</v>
      </c>
      <c r="R4" s="1249">
        <v>2</v>
      </c>
      <c r="S4" s="1249">
        <v>3</v>
      </c>
      <c r="T4" s="1249">
        <v>4</v>
      </c>
      <c r="U4" s="1249">
        <v>5</v>
      </c>
      <c r="V4" s="1249">
        <v>6</v>
      </c>
      <c r="W4" s="1249">
        <v>7</v>
      </c>
      <c r="X4" s="1249">
        <v>8</v>
      </c>
      <c r="Y4" s="1249">
        <v>9</v>
      </c>
      <c r="Z4" s="1249">
        <v>10</v>
      </c>
      <c r="AA4" s="1249">
        <v>11</v>
      </c>
      <c r="AB4" s="1249">
        <v>12</v>
      </c>
      <c r="AC4" s="1250">
        <v>13</v>
      </c>
    </row>
    <row r="5" spans="5:29">
      <c r="P5" s="1261" t="s">
        <v>847</v>
      </c>
      <c r="Q5" s="1252"/>
      <c r="R5" s="1253"/>
      <c r="S5" s="1253"/>
      <c r="T5" s="1253"/>
      <c r="U5" s="1253"/>
      <c r="V5" s="1253"/>
      <c r="W5" s="1253"/>
      <c r="X5" s="1253"/>
      <c r="Y5" s="1253"/>
      <c r="Z5" s="1253"/>
      <c r="AA5" s="1253"/>
      <c r="AB5" s="1253"/>
      <c r="AC5" s="1254"/>
    </row>
    <row r="6" spans="5:29">
      <c r="P6" s="1261" t="s">
        <v>849</v>
      </c>
      <c r="Q6" s="1252"/>
      <c r="R6" s="1253"/>
      <c r="S6" s="1253"/>
      <c r="T6" s="1253"/>
      <c r="U6" s="1253"/>
      <c r="V6" s="1253"/>
      <c r="W6" s="1253"/>
      <c r="X6" s="1253"/>
      <c r="Y6" s="1253"/>
      <c r="Z6" s="1253"/>
      <c r="AA6" s="1253"/>
      <c r="AB6" s="1253"/>
      <c r="AC6" s="1254"/>
    </row>
    <row r="7" spans="5:29">
      <c r="P7" s="1261" t="s">
        <v>851</v>
      </c>
      <c r="Q7" s="1252">
        <v>0</v>
      </c>
      <c r="R7" s="1253">
        <v>0</v>
      </c>
      <c r="S7" s="1253">
        <v>0</v>
      </c>
      <c r="T7" s="1253">
        <v>1</v>
      </c>
      <c r="U7" s="1253">
        <v>-1</v>
      </c>
      <c r="V7" s="1253">
        <v>-1</v>
      </c>
      <c r="W7" s="1253">
        <v>0</v>
      </c>
      <c r="X7" s="1253">
        <v>0</v>
      </c>
      <c r="Y7" s="1253">
        <v>0</v>
      </c>
      <c r="Z7" s="1253">
        <v>0</v>
      </c>
      <c r="AA7" s="1253">
        <v>0</v>
      </c>
      <c r="AB7" s="1253">
        <v>0</v>
      </c>
      <c r="AC7" s="1254">
        <v>0</v>
      </c>
    </row>
    <row r="8" spans="5:29">
      <c r="P8" s="1261" t="s">
        <v>853</v>
      </c>
      <c r="Q8" s="1252">
        <v>0</v>
      </c>
      <c r="R8" s="1253">
        <v>0</v>
      </c>
      <c r="S8" s="1253">
        <v>0</v>
      </c>
      <c r="T8" s="1253">
        <v>0</v>
      </c>
      <c r="U8" s="1253">
        <v>0</v>
      </c>
      <c r="V8" s="1253">
        <v>1</v>
      </c>
      <c r="W8" s="1253">
        <v>-1</v>
      </c>
      <c r="X8" s="1253">
        <v>0</v>
      </c>
      <c r="Y8" s="1253">
        <v>0</v>
      </c>
      <c r="Z8" s="1253">
        <v>1</v>
      </c>
      <c r="AA8" s="1253">
        <v>0</v>
      </c>
      <c r="AB8" s="1253">
        <v>0</v>
      </c>
      <c r="AC8" s="1254">
        <v>0</v>
      </c>
    </row>
    <row r="9" spans="5:29">
      <c r="P9" s="1261" t="s">
        <v>854</v>
      </c>
      <c r="Q9" s="1252">
        <v>0</v>
      </c>
      <c r="R9" s="1253">
        <v>0</v>
      </c>
      <c r="S9" s="1253">
        <v>0</v>
      </c>
      <c r="T9" s="1253">
        <v>0</v>
      </c>
      <c r="U9" s="1253">
        <v>0</v>
      </c>
      <c r="V9" s="1253">
        <v>0</v>
      </c>
      <c r="W9" s="1253">
        <v>1</v>
      </c>
      <c r="X9" s="1253">
        <v>0</v>
      </c>
      <c r="Y9" s="1253">
        <v>0</v>
      </c>
      <c r="Z9" s="1253">
        <v>0</v>
      </c>
      <c r="AA9" s="1253">
        <v>0</v>
      </c>
      <c r="AB9" s="1253">
        <v>-1</v>
      </c>
      <c r="AC9" s="1254">
        <v>-1</v>
      </c>
    </row>
    <row r="10" spans="5:29">
      <c r="P10" s="1261" t="s">
        <v>855</v>
      </c>
      <c r="Q10" s="1252">
        <v>0</v>
      </c>
      <c r="R10" s="1253">
        <v>0</v>
      </c>
      <c r="S10" s="1253">
        <v>0</v>
      </c>
      <c r="T10" s="1253">
        <v>0</v>
      </c>
      <c r="U10" s="1253">
        <v>0</v>
      </c>
      <c r="V10" s="1253">
        <v>0</v>
      </c>
      <c r="W10" s="1253">
        <v>0</v>
      </c>
      <c r="X10" s="1253">
        <v>-1</v>
      </c>
      <c r="Y10" s="1253">
        <v>0</v>
      </c>
      <c r="Z10" s="1253">
        <v>0</v>
      </c>
      <c r="AA10" s="1253">
        <v>-1</v>
      </c>
      <c r="AB10" s="1253">
        <v>0</v>
      </c>
      <c r="AC10" s="1254">
        <v>1</v>
      </c>
    </row>
    <row r="11" spans="5:29">
      <c r="P11" s="1261" t="s">
        <v>856</v>
      </c>
      <c r="Q11" s="1252">
        <v>0</v>
      </c>
      <c r="R11" s="1253">
        <v>0</v>
      </c>
      <c r="S11" s="1253">
        <v>0</v>
      </c>
      <c r="T11" s="1253">
        <v>0</v>
      </c>
      <c r="U11" s="1253">
        <v>0</v>
      </c>
      <c r="V11" s="1253">
        <v>0</v>
      </c>
      <c r="W11" s="1253">
        <v>0</v>
      </c>
      <c r="X11" s="1253">
        <v>1</v>
      </c>
      <c r="Y11" s="1253">
        <v>-1</v>
      </c>
      <c r="Z11" s="1253">
        <v>-1</v>
      </c>
      <c r="AA11" s="1253">
        <v>0</v>
      </c>
      <c r="AB11" s="1253">
        <v>0</v>
      </c>
      <c r="AC11" s="1254">
        <v>0</v>
      </c>
    </row>
    <row r="12" spans="5:29" ht="15" thickBot="1">
      <c r="P12" s="1255"/>
      <c r="Q12" s="1256">
        <f t="shared" ref="Q12:AC12" si="0">SUM(Q7:Q11)</f>
        <v>0</v>
      </c>
      <c r="R12" s="1257">
        <f t="shared" si="0"/>
        <v>0</v>
      </c>
      <c r="S12" s="1257">
        <f t="shared" si="0"/>
        <v>0</v>
      </c>
      <c r="T12" s="1257">
        <f t="shared" si="0"/>
        <v>1</v>
      </c>
      <c r="U12" s="1257">
        <f t="shared" si="0"/>
        <v>-1</v>
      </c>
      <c r="V12" s="1257">
        <f t="shared" si="0"/>
        <v>0</v>
      </c>
      <c r="W12" s="1257">
        <f t="shared" si="0"/>
        <v>0</v>
      </c>
      <c r="X12" s="1257">
        <f t="shared" si="0"/>
        <v>0</v>
      </c>
      <c r="Y12" s="1257">
        <f t="shared" si="0"/>
        <v>-1</v>
      </c>
      <c r="Z12" s="1257">
        <f t="shared" si="0"/>
        <v>0</v>
      </c>
      <c r="AA12" s="1257">
        <f t="shared" si="0"/>
        <v>-1</v>
      </c>
      <c r="AB12" s="1257">
        <f t="shared" si="0"/>
        <v>-1</v>
      </c>
      <c r="AC12" s="1258">
        <f t="shared" si="0"/>
        <v>0</v>
      </c>
    </row>
    <row r="13" spans="5:29" ht="15" thickBot="1">
      <c r="P13" s="1393" t="s">
        <v>1098</v>
      </c>
      <c r="Q13" s="1397"/>
      <c r="R13" s="1397"/>
      <c r="S13" s="1397"/>
      <c r="T13" s="1397"/>
      <c r="U13" s="1397"/>
      <c r="V13" s="1397"/>
      <c r="W13" s="1397"/>
      <c r="X13" s="1397"/>
      <c r="Y13" s="1397"/>
      <c r="Z13" s="1397"/>
      <c r="AA13" s="1397"/>
      <c r="AB13" s="1397"/>
      <c r="AC13" s="1394"/>
    </row>
    <row r="14" spans="5:29">
      <c r="P14" s="1262" t="s">
        <v>1086</v>
      </c>
      <c r="Q14" s="1253"/>
      <c r="R14" s="1253"/>
      <c r="S14" s="1253"/>
      <c r="T14" s="1260">
        <v>4</v>
      </c>
      <c r="U14" s="1260">
        <v>5</v>
      </c>
      <c r="V14" s="1260">
        <v>6</v>
      </c>
      <c r="W14" s="1260">
        <v>7</v>
      </c>
      <c r="X14" s="1260">
        <v>8</v>
      </c>
      <c r="Y14" s="1260">
        <v>9</v>
      </c>
      <c r="Z14" s="1260">
        <v>10</v>
      </c>
      <c r="AA14" s="1260">
        <v>11</v>
      </c>
      <c r="AB14" s="1260">
        <v>12</v>
      </c>
      <c r="AC14" s="1259">
        <v>13</v>
      </c>
    </row>
    <row r="15" spans="5:29">
      <c r="P15" s="1262" t="s">
        <v>1352</v>
      </c>
      <c r="Q15" s="1253"/>
      <c r="R15" s="1253"/>
      <c r="S15" s="1253"/>
      <c r="T15" s="1267">
        <f t="shared" ref="T15:AC15" si="1">(1/T16^2)*(1/T17^2)*(T17-T18)^2</f>
        <v>7.1665598678889371</v>
      </c>
      <c r="U15" s="1267">
        <f t="shared" si="1"/>
        <v>1.1239461731720228</v>
      </c>
      <c r="V15" s="1267">
        <f t="shared" si="1"/>
        <v>4.7897235397590613E-3</v>
      </c>
      <c r="W15" s="1267">
        <f t="shared" si="1"/>
        <v>21.749522547515568</v>
      </c>
      <c r="X15" s="1267">
        <f t="shared" si="1"/>
        <v>37.292369630643769</v>
      </c>
      <c r="Y15" s="1267">
        <f t="shared" si="1"/>
        <v>17.043401912199862</v>
      </c>
      <c r="Z15" s="1267">
        <f t="shared" si="1"/>
        <v>0.83578338949133579</v>
      </c>
      <c r="AA15" s="1267">
        <f t="shared" si="1"/>
        <v>14.201591829304681</v>
      </c>
      <c r="AB15" s="1267">
        <f t="shared" si="1"/>
        <v>131.79765322907858</v>
      </c>
      <c r="AC15" s="1268">
        <f t="shared" si="1"/>
        <v>85.384024331258829</v>
      </c>
    </row>
    <row r="16" spans="5:29">
      <c r="P16" s="1262" t="s">
        <v>1353</v>
      </c>
      <c r="Q16" s="1263"/>
      <c r="R16" s="1263"/>
      <c r="S16" s="1263"/>
      <c r="T16" s="1269">
        <v>0.05</v>
      </c>
      <c r="U16" s="1269">
        <f>5/100</f>
        <v>0.05</v>
      </c>
      <c r="V16" s="1269">
        <f>5/100</f>
        <v>0.05</v>
      </c>
      <c r="W16" s="1269">
        <v>0.05</v>
      </c>
      <c r="X16" s="1269">
        <v>0.05</v>
      </c>
      <c r="Y16" s="1269">
        <f>5/100</f>
        <v>0.05</v>
      </c>
      <c r="Z16" s="1269">
        <f>5/100</f>
        <v>0.05</v>
      </c>
      <c r="AA16" s="1269">
        <f>5/100</f>
        <v>0.05</v>
      </c>
      <c r="AB16" s="1269">
        <f>5/100</f>
        <v>0.05</v>
      </c>
      <c r="AC16" s="1270">
        <v>0.05</v>
      </c>
    </row>
    <row r="17" spans="2:29">
      <c r="P17" s="1262" t="s">
        <v>1354</v>
      </c>
      <c r="Q17" s="1253"/>
      <c r="R17" s="1253"/>
      <c r="S17" s="1253"/>
      <c r="T17" s="1276">
        <v>24.456774193548384</v>
      </c>
      <c r="U17" s="1276">
        <v>1.8111060948081263</v>
      </c>
      <c r="V17" s="1276">
        <v>19.209600000000005</v>
      </c>
      <c r="W17" s="1276">
        <v>47.326153846153851</v>
      </c>
      <c r="X17" s="1276">
        <v>25.151999999999997</v>
      </c>
      <c r="Y17" s="1276">
        <v>0.57672199170124483</v>
      </c>
      <c r="Z17" s="1276">
        <v>17.829473684210523</v>
      </c>
      <c r="AA17" s="1276">
        <v>14.855294117647059</v>
      </c>
      <c r="AB17" s="1276">
        <v>2.7324812030075187</v>
      </c>
      <c r="AC17" s="1277">
        <v>24.026086956521738</v>
      </c>
    </row>
    <row r="18" spans="2:29" ht="15" thickBot="1">
      <c r="P18" s="1264" t="s">
        <v>1355</v>
      </c>
      <c r="Q18" s="1257"/>
      <c r="R18" s="1257"/>
      <c r="S18" s="1257"/>
      <c r="T18" s="1282">
        <v>21.183182238582852</v>
      </c>
      <c r="U18" s="1282">
        <v>1.9071095034003851</v>
      </c>
      <c r="V18" s="1282">
        <v>19.276072735215344</v>
      </c>
      <c r="W18" s="1282">
        <v>36.290550572840893</v>
      </c>
      <c r="X18" s="1282">
        <v>17.472153870152539</v>
      </c>
      <c r="Y18" s="1282">
        <v>0.45767603228416909</v>
      </c>
      <c r="Z18" s="1282">
        <v>17.014477837766478</v>
      </c>
      <c r="AA18" s="1282">
        <v>17.654402870305553</v>
      </c>
      <c r="AB18" s="1282">
        <v>1.1639938325521275</v>
      </c>
      <c r="AC18" s="1283">
        <v>35.126556740386036</v>
      </c>
    </row>
    <row r="19" spans="2:29" ht="15" thickBot="1">
      <c r="P19" s="1393" t="s">
        <v>1357</v>
      </c>
      <c r="Q19" s="1397"/>
      <c r="R19" s="1397"/>
      <c r="S19" s="1397"/>
      <c r="T19" s="1397"/>
      <c r="U19" s="1397"/>
      <c r="V19" s="1397"/>
      <c r="W19" s="1397"/>
      <c r="X19" s="1397"/>
      <c r="Y19" s="1397"/>
      <c r="Z19" s="1397"/>
      <c r="AA19" s="1397"/>
      <c r="AB19" s="1397"/>
      <c r="AC19" s="1394"/>
    </row>
    <row r="20" spans="2:29">
      <c r="P20" s="1262" t="s">
        <v>1358</v>
      </c>
      <c r="Q20" s="1253"/>
      <c r="R20" s="1253"/>
      <c r="S20" s="1253"/>
      <c r="T20" s="1267">
        <f t="shared" ref="T20:AC20" si="2">(1/T21^2)*(1/T22^2)*(T22-T23)^2</f>
        <v>2.2050219061815004E-5</v>
      </c>
      <c r="U20" s="1267">
        <f t="shared" si="2"/>
        <v>8.3758871150094034E-6</v>
      </c>
      <c r="V20" s="1267">
        <f t="shared" si="2"/>
        <v>80.57914406015685</v>
      </c>
      <c r="W20" s="1267">
        <f t="shared" si="2"/>
        <v>40.465815143893664</v>
      </c>
      <c r="X20" s="1267">
        <f t="shared" si="2"/>
        <v>9.8251325301312448E-3</v>
      </c>
      <c r="Y20" s="1267">
        <f t="shared" si="2"/>
        <v>22.968316962881072</v>
      </c>
      <c r="Z20" s="1267">
        <f t="shared" si="2"/>
        <v>2.126246545160535</v>
      </c>
      <c r="AA20" s="1267">
        <f t="shared" si="2"/>
        <v>7.1158061237198638</v>
      </c>
      <c r="AB20" s="1267">
        <f t="shared" si="2"/>
        <v>1.6664503123103769</v>
      </c>
      <c r="AC20" s="1268">
        <f t="shared" si="2"/>
        <v>16.655378098457316</v>
      </c>
    </row>
    <row r="21" spans="2:29">
      <c r="P21" s="1262" t="s">
        <v>1353</v>
      </c>
      <c r="Q21" s="1263"/>
      <c r="R21" s="1263"/>
      <c r="S21" s="1263"/>
      <c r="T21" s="1269">
        <f t="shared" ref="T21:X21" si="3">5/100</f>
        <v>0.05</v>
      </c>
      <c r="U21" s="1269">
        <f t="shared" si="3"/>
        <v>0.05</v>
      </c>
      <c r="V21" s="1269">
        <f t="shared" si="3"/>
        <v>0.05</v>
      </c>
      <c r="W21" s="1269">
        <f t="shared" si="3"/>
        <v>0.05</v>
      </c>
      <c r="X21" s="1269">
        <f t="shared" si="3"/>
        <v>0.05</v>
      </c>
      <c r="Y21" s="1269">
        <v>0.05</v>
      </c>
      <c r="Z21" s="1269">
        <f>5/100</f>
        <v>0.05</v>
      </c>
      <c r="AA21" s="1269">
        <f>5/100</f>
        <v>0.05</v>
      </c>
      <c r="AB21" s="1269">
        <v>0.01</v>
      </c>
      <c r="AC21" s="1270">
        <f>5/100</f>
        <v>0.05</v>
      </c>
    </row>
    <row r="22" spans="2:29">
      <c r="P22" s="1262" t="s">
        <v>1354</v>
      </c>
      <c r="Q22" s="1253"/>
      <c r="R22" s="1253"/>
      <c r="S22" s="1253"/>
      <c r="T22" s="1276">
        <v>2.8570000000000002</v>
      </c>
      <c r="U22" s="1276">
        <v>19.13</v>
      </c>
      <c r="V22" s="1276">
        <v>0.86</v>
      </c>
      <c r="W22" s="1276">
        <v>2.1280000000000001</v>
      </c>
      <c r="X22" s="1276">
        <v>1.984</v>
      </c>
      <c r="Y22" s="1276">
        <v>17.79</v>
      </c>
      <c r="Z22" s="1276">
        <v>1.8160000000000001</v>
      </c>
      <c r="AA22" s="1276">
        <v>0.25800000000000001</v>
      </c>
      <c r="AB22" s="1276">
        <v>12.08</v>
      </c>
      <c r="AC22" s="1277">
        <v>0.91700000000000004</v>
      </c>
    </row>
    <row r="23" spans="2:29">
      <c r="P23" s="1262" t="s">
        <v>1355</v>
      </c>
      <c r="Q23" s="1253"/>
      <c r="R23" s="1253"/>
      <c r="S23" s="1253"/>
      <c r="T23" s="1282">
        <v>2.8563292098157196</v>
      </c>
      <c r="U23" s="1282">
        <v>19.132768218598375</v>
      </c>
      <c r="V23" s="1282">
        <v>1.2459933125939231</v>
      </c>
      <c r="W23" s="1282">
        <v>1.4511603774811832</v>
      </c>
      <c r="X23" s="1282">
        <v>1.9938328832079564</v>
      </c>
      <c r="Y23" s="1282">
        <v>13.527047055586893</v>
      </c>
      <c r="Z23" s="1282">
        <v>1.6835985750979532</v>
      </c>
      <c r="AA23" s="1282">
        <v>0.22358864581205468</v>
      </c>
      <c r="AB23" s="1282">
        <v>11.924057993198007</v>
      </c>
      <c r="AC23" s="1283">
        <v>1.1041184399907829</v>
      </c>
    </row>
    <row r="24" spans="2:29">
      <c r="P24" s="1262" t="s">
        <v>1407</v>
      </c>
      <c r="Q24" s="1253"/>
      <c r="R24" s="1253"/>
      <c r="S24" s="1253"/>
      <c r="T24" s="1276">
        <f t="shared" ref="T24:AC24" si="4">T22*T17/100</f>
        <v>0.69873003870967731</v>
      </c>
      <c r="U24" s="1276">
        <f t="shared" si="4"/>
        <v>0.34646459593679452</v>
      </c>
      <c r="V24" s="1276">
        <f t="shared" si="4"/>
        <v>0.16520256000000003</v>
      </c>
      <c r="W24" s="1276">
        <f t="shared" si="4"/>
        <v>1.0071005538461539</v>
      </c>
      <c r="X24" s="1276">
        <f t="shared" si="4"/>
        <v>0.49901567999999996</v>
      </c>
      <c r="Y24" s="1276">
        <f t="shared" si="4"/>
        <v>0.10259884232365145</v>
      </c>
      <c r="Z24" s="1276">
        <f t="shared" si="4"/>
        <v>0.3237832421052631</v>
      </c>
      <c r="AA24" s="1276">
        <f t="shared" si="4"/>
        <v>3.8326658823529411E-2</v>
      </c>
      <c r="AB24" s="1276">
        <f t="shared" si="4"/>
        <v>0.33008372932330832</v>
      </c>
      <c r="AC24" s="1277">
        <f t="shared" si="4"/>
        <v>0.22031921739130436</v>
      </c>
    </row>
    <row r="25" spans="2:29" ht="15" thickBot="1">
      <c r="O25" s="110"/>
      <c r="P25" s="1262" t="s">
        <v>1408</v>
      </c>
      <c r="Q25" s="1257"/>
      <c r="R25" s="1257"/>
      <c r="S25" s="1257"/>
      <c r="T25" s="1282">
        <f t="shared" ref="T25:AC25" si="5">T23*T18/100</f>
        <v>0.60506142184913747</v>
      </c>
      <c r="U25" s="1282">
        <f t="shared" si="5"/>
        <v>0.36488284096045814</v>
      </c>
      <c r="V25" s="1282">
        <f t="shared" si="5"/>
        <v>0.24017857721152372</v>
      </c>
      <c r="W25" s="1282">
        <f t="shared" si="5"/>
        <v>0.52663409068283762</v>
      </c>
      <c r="X25" s="1282">
        <f t="shared" si="5"/>
        <v>0.34836554926779295</v>
      </c>
      <c r="Y25" s="1282">
        <f t="shared" si="5"/>
        <v>6.1910052249222608E-2</v>
      </c>
      <c r="Z25" s="1282">
        <f t="shared" si="5"/>
        <v>0.28645550643699347</v>
      </c>
      <c r="AA25" s="1282">
        <f t="shared" si="5"/>
        <v>3.9473240303920701E-2</v>
      </c>
      <c r="AB25" s="1282">
        <f t="shared" si="5"/>
        <v>0.13879529963076379</v>
      </c>
      <c r="AC25" s="1283">
        <f t="shared" si="5"/>
        <v>0.38783879030442747</v>
      </c>
    </row>
    <row r="26" spans="2:29" ht="15" thickBot="1">
      <c r="O26" s="110"/>
      <c r="P26" s="1393" t="s">
        <v>1359</v>
      </c>
      <c r="Q26" s="1397"/>
      <c r="R26" s="1397"/>
      <c r="S26" s="1397"/>
      <c r="T26" s="1397"/>
      <c r="U26" s="1397"/>
      <c r="V26" s="1397"/>
      <c r="W26" s="1397"/>
      <c r="X26" s="1397"/>
      <c r="Y26" s="1397"/>
      <c r="Z26" s="1397"/>
      <c r="AA26" s="1397"/>
      <c r="AB26" s="1397"/>
      <c r="AC26" s="1394"/>
    </row>
    <row r="27" spans="2:29">
      <c r="O27" s="110"/>
      <c r="P27" s="286" t="s">
        <v>1358</v>
      </c>
      <c r="Q27" s="1273"/>
      <c r="R27" s="1273"/>
      <c r="S27" s="1273"/>
      <c r="T27" s="1274">
        <f t="shared" ref="T27:AC27" si="6">(1/T28^2)*(1/T29^2)*(T29-T30)^2</f>
        <v>13.947410865533932</v>
      </c>
      <c r="U27" s="1274">
        <f t="shared" si="6"/>
        <v>1.2468795663781049</v>
      </c>
      <c r="V27" s="1274">
        <f t="shared" si="6"/>
        <v>1.6637933936668998</v>
      </c>
      <c r="W27" s="1274">
        <f t="shared" si="6"/>
        <v>64.903214397657337</v>
      </c>
      <c r="X27" s="1274">
        <f t="shared" si="6"/>
        <v>11.049280950478934</v>
      </c>
      <c r="Y27" s="1274">
        <f t="shared" si="6"/>
        <v>4.142870140642856E-4</v>
      </c>
      <c r="Z27" s="1274">
        <f t="shared" si="6"/>
        <v>0.15724382320356095</v>
      </c>
      <c r="AA27" s="1274">
        <f t="shared" si="6"/>
        <v>2.4605234799797784</v>
      </c>
      <c r="AB27" s="1274">
        <f t="shared" si="6"/>
        <v>0.64370362824730065</v>
      </c>
      <c r="AC27" s="1275">
        <f t="shared" si="6"/>
        <v>0.59101365277338591</v>
      </c>
    </row>
    <row r="28" spans="2:29">
      <c r="O28" s="110"/>
      <c r="P28" s="1262" t="s">
        <v>1353</v>
      </c>
      <c r="Q28" s="1263"/>
      <c r="R28" s="1263"/>
      <c r="S28" s="1263"/>
      <c r="T28" s="1269">
        <f t="shared" ref="T28:V28" si="7">5/100</f>
        <v>0.05</v>
      </c>
      <c r="U28" s="1269">
        <f t="shared" si="7"/>
        <v>0.05</v>
      </c>
      <c r="V28" s="1269">
        <f t="shared" si="7"/>
        <v>0.05</v>
      </c>
      <c r="W28" s="1269">
        <v>0.05</v>
      </c>
      <c r="X28" s="1269">
        <f t="shared" ref="X28:AC28" si="8">5/100</f>
        <v>0.05</v>
      </c>
      <c r="Y28" s="1269">
        <f t="shared" si="8"/>
        <v>0.05</v>
      </c>
      <c r="Z28" s="1269">
        <f t="shared" si="8"/>
        <v>0.05</v>
      </c>
      <c r="AA28" s="1269">
        <f t="shared" si="8"/>
        <v>0.05</v>
      </c>
      <c r="AB28" s="1269">
        <f t="shared" si="8"/>
        <v>0.05</v>
      </c>
      <c r="AC28" s="1270">
        <f t="shared" si="8"/>
        <v>0.05</v>
      </c>
    </row>
    <row r="29" spans="2:29">
      <c r="O29" s="110"/>
      <c r="P29" s="1262" t="s">
        <v>1354</v>
      </c>
      <c r="Q29" s="1253"/>
      <c r="R29" s="1253"/>
      <c r="S29" s="1253"/>
      <c r="T29" s="1276">
        <v>8.43</v>
      </c>
      <c r="U29" s="1276">
        <v>28</v>
      </c>
      <c r="V29" s="1276">
        <v>4.33</v>
      </c>
      <c r="W29" s="1276">
        <v>9.24</v>
      </c>
      <c r="X29" s="1276">
        <v>5.98</v>
      </c>
      <c r="Y29" s="1276">
        <v>22.8</v>
      </c>
      <c r="Z29" s="1276">
        <v>6.68</v>
      </c>
      <c r="AA29" s="1276">
        <v>2.63</v>
      </c>
      <c r="AB29" s="1276">
        <v>23.4</v>
      </c>
      <c r="AC29" s="1277">
        <v>5.09</v>
      </c>
    </row>
    <row r="30" spans="2:29">
      <c r="O30" s="110"/>
      <c r="P30" s="1262" t="s">
        <v>1355</v>
      </c>
      <c r="Q30" s="1253"/>
      <c r="R30" s="1253"/>
      <c r="S30" s="1253"/>
      <c r="T30" s="1282">
        <v>6.8558562975238866</v>
      </c>
      <c r="U30" s="1282">
        <v>29.56329266297168</v>
      </c>
      <c r="V30" s="1282">
        <v>4.6092592700275201</v>
      </c>
      <c r="W30" s="1282">
        <v>5.5180110567206713</v>
      </c>
      <c r="X30" s="1282">
        <v>6.9738897153375561</v>
      </c>
      <c r="Y30" s="1282">
        <v>22.823203607553094</v>
      </c>
      <c r="Z30" s="1282">
        <v>6.5475557024961191</v>
      </c>
      <c r="AA30" s="1282">
        <v>2.8362716343724466</v>
      </c>
      <c r="AB30" s="1282">
        <v>24.338704371305326</v>
      </c>
      <c r="AC30" s="1283">
        <v>4.8943469856006674</v>
      </c>
    </row>
    <row r="31" spans="2:29">
      <c r="B31" s="1463" t="s">
        <v>1397</v>
      </c>
      <c r="C31" s="1463"/>
      <c r="D31" s="1463"/>
      <c r="E31" s="1463"/>
      <c r="F31" s="1463"/>
      <c r="G31" s="1463"/>
      <c r="H31" s="1463"/>
      <c r="I31" s="1463"/>
      <c r="J31" s="1463"/>
      <c r="K31" s="1463"/>
      <c r="L31" s="1463"/>
      <c r="M31" s="1463"/>
      <c r="O31" s="110"/>
      <c r="P31" s="1262" t="s">
        <v>1409</v>
      </c>
      <c r="Q31" s="1253"/>
      <c r="R31" s="1253"/>
      <c r="S31" s="1253"/>
      <c r="T31" s="1276">
        <f t="shared" ref="T31:AC31" si="9">T29*T17/100</f>
        <v>2.0617060645161285</v>
      </c>
      <c r="U31" s="1276">
        <f t="shared" si="9"/>
        <v>0.50710970654627541</v>
      </c>
      <c r="V31" s="1276">
        <f t="shared" si="9"/>
        <v>0.83177568000000024</v>
      </c>
      <c r="W31" s="1276">
        <f t="shared" si="9"/>
        <v>4.3729366153846163</v>
      </c>
      <c r="X31" s="1276">
        <f t="shared" si="9"/>
        <v>1.5040896000000001</v>
      </c>
      <c r="Y31" s="1276">
        <f t="shared" si="9"/>
        <v>0.13149261410788382</v>
      </c>
      <c r="Z31" s="1276">
        <f t="shared" si="9"/>
        <v>1.1910088421052629</v>
      </c>
      <c r="AA31" s="1276">
        <f t="shared" si="9"/>
        <v>0.39069423529411762</v>
      </c>
      <c r="AB31" s="1276">
        <f t="shared" si="9"/>
        <v>0.63940060150375932</v>
      </c>
      <c r="AC31" s="1277">
        <f t="shared" si="9"/>
        <v>1.2229278260869565</v>
      </c>
    </row>
    <row r="32" spans="2:29" ht="15" thickBot="1">
      <c r="B32" s="1246" t="s">
        <v>26</v>
      </c>
      <c r="C32" s="1246" t="s">
        <v>1086</v>
      </c>
      <c r="D32" s="1246" t="s">
        <v>867</v>
      </c>
      <c r="E32" s="1246" t="s">
        <v>868</v>
      </c>
      <c r="F32" s="1246" t="s">
        <v>1171</v>
      </c>
      <c r="G32" s="1246" t="s">
        <v>310</v>
      </c>
      <c r="H32" s="1246" t="s">
        <v>882</v>
      </c>
      <c r="I32" s="1246" t="s">
        <v>865</v>
      </c>
      <c r="J32" s="1246" t="s">
        <v>865</v>
      </c>
      <c r="K32" s="1246" t="s">
        <v>866</v>
      </c>
      <c r="L32" s="1246" t="s">
        <v>874</v>
      </c>
      <c r="M32" s="1246" t="s">
        <v>873</v>
      </c>
      <c r="O32" s="110"/>
      <c r="P32" s="1264" t="s">
        <v>1410</v>
      </c>
      <c r="Q32" s="1257"/>
      <c r="R32" s="1257"/>
      <c r="S32" s="1257"/>
      <c r="T32" s="1282">
        <f t="shared" ref="T32:AC32" si="10">T30*T18/100</f>
        <v>1.4522885335198439</v>
      </c>
      <c r="U32" s="1282">
        <f t="shared" si="10"/>
        <v>0.56380436389360167</v>
      </c>
      <c r="V32" s="1282">
        <f t="shared" si="10"/>
        <v>0.88848416944516062</v>
      </c>
      <c r="W32" s="1282">
        <f t="shared" si="10"/>
        <v>2.0025165931541675</v>
      </c>
      <c r="X32" s="1282">
        <f t="shared" si="10"/>
        <v>1.2184887417985208</v>
      </c>
      <c r="Y32" s="1282">
        <f t="shared" si="10"/>
        <v>0.10445633271118634</v>
      </c>
      <c r="Z32" s="1282">
        <f t="shared" si="10"/>
        <v>1.1140324139166173</v>
      </c>
      <c r="AA32" s="1282">
        <f t="shared" si="10"/>
        <v>0.50072682082831144</v>
      </c>
      <c r="AB32" s="1282">
        <f t="shared" si="10"/>
        <v>0.28330101780508904</v>
      </c>
      <c r="AC32" s="1283">
        <f t="shared" si="10"/>
        <v>1.7192155709683918</v>
      </c>
    </row>
    <row r="33" spans="2:29" ht="15" thickBot="1">
      <c r="B33" s="928">
        <v>1</v>
      </c>
      <c r="C33" s="757" t="s">
        <v>844</v>
      </c>
      <c r="D33" s="757"/>
      <c r="E33" s="757"/>
      <c r="F33" s="757"/>
      <c r="G33" s="940"/>
      <c r="H33" s="940"/>
      <c r="I33" s="940"/>
      <c r="J33" s="757"/>
      <c r="K33" s="941"/>
      <c r="L33" s="928"/>
      <c r="M33" s="928"/>
      <c r="O33" s="110"/>
      <c r="P33" s="1265" t="s">
        <v>1360</v>
      </c>
      <c r="Q33" s="1266">
        <f>SUM(T15:AC15,T20:AC20,T27:AC27)</f>
        <v>584.85013348424275</v>
      </c>
      <c r="R33" s="1253"/>
      <c r="S33" s="1253"/>
      <c r="T33" s="1253"/>
      <c r="U33" s="1253"/>
      <c r="V33" s="1253"/>
      <c r="W33" s="1253"/>
      <c r="X33" s="1253"/>
      <c r="Y33" s="1253"/>
      <c r="Z33" s="1253"/>
      <c r="AA33" s="1253"/>
      <c r="AB33" s="1253"/>
      <c r="AC33" s="1254"/>
    </row>
    <row r="34" spans="2:29" ht="15" thickBot="1">
      <c r="B34" s="928">
        <v>2</v>
      </c>
      <c r="C34" s="757" t="s">
        <v>845</v>
      </c>
      <c r="D34" s="757"/>
      <c r="E34" s="757"/>
      <c r="F34" s="757"/>
      <c r="G34" s="940"/>
      <c r="H34" s="940"/>
      <c r="I34" s="940"/>
      <c r="J34" s="757"/>
      <c r="K34" s="941"/>
      <c r="L34" s="928"/>
      <c r="M34" s="928"/>
      <c r="O34" s="110"/>
      <c r="P34" s="1252"/>
      <c r="Q34" s="1253"/>
      <c r="R34" s="1253"/>
      <c r="S34" s="1253"/>
      <c r="T34" s="1253"/>
      <c r="U34" s="846" t="s">
        <v>1417</v>
      </c>
      <c r="V34" s="1253"/>
      <c r="W34" s="846" t="s">
        <v>1424</v>
      </c>
      <c r="X34" s="846" t="s">
        <v>264</v>
      </c>
      <c r="Y34" s="1245" t="s">
        <v>1418</v>
      </c>
      <c r="Z34" s="1253"/>
      <c r="AA34" s="846" t="s">
        <v>1183</v>
      </c>
      <c r="AB34" s="1253"/>
      <c r="AC34" s="1254"/>
    </row>
    <row r="35" spans="2:29" ht="15" thickBot="1">
      <c r="B35" s="928">
        <v>3</v>
      </c>
      <c r="C35" s="757" t="s">
        <v>846</v>
      </c>
      <c r="D35" s="757"/>
      <c r="E35" s="757"/>
      <c r="F35" s="757"/>
      <c r="G35" s="940"/>
      <c r="H35" s="940"/>
      <c r="I35" s="940"/>
      <c r="J35" s="757"/>
      <c r="K35" s="941"/>
      <c r="L35" s="928"/>
      <c r="M35" s="928"/>
      <c r="P35" s="280"/>
      <c r="Q35" s="281" t="s">
        <v>1361</v>
      </c>
      <c r="R35" s="281" t="s">
        <v>1362</v>
      </c>
      <c r="S35" s="282" t="s">
        <v>1363</v>
      </c>
      <c r="T35" s="846" t="s">
        <v>1056</v>
      </c>
      <c r="U35" s="1483">
        <f>U23</f>
        <v>19.132768218598375</v>
      </c>
      <c r="V35" s="1253"/>
      <c r="W35" s="1483">
        <f>AB23</f>
        <v>11.924057993198007</v>
      </c>
      <c r="X35" s="1483">
        <f>X23</f>
        <v>1.9938328832079564</v>
      </c>
      <c r="Y35" s="1268">
        <f>Y23</f>
        <v>13.527047055586893</v>
      </c>
      <c r="Z35" s="1253"/>
      <c r="AA35" s="1483">
        <f>SUM(U25,Y25,AB25)/SUM(U18,Y18,AB18)*100</f>
        <v>16.027870654975715</v>
      </c>
      <c r="AB35" s="1253"/>
      <c r="AC35" s="1254"/>
    </row>
    <row r="36" spans="2:29">
      <c r="B36" s="928">
        <v>4</v>
      </c>
      <c r="C36" s="757" t="s">
        <v>830</v>
      </c>
      <c r="D36" s="757">
        <v>1231.2</v>
      </c>
      <c r="E36" s="757">
        <v>210.6</v>
      </c>
      <c r="F36" s="757">
        <f t="shared" ref="F36:F45" si="11">D36-E36</f>
        <v>1020.6</v>
      </c>
      <c r="G36" s="1064">
        <f t="shared" ref="G36:G45" si="12">+E36/D36*100</f>
        <v>17.105263157894733</v>
      </c>
      <c r="H36" s="1088">
        <v>0</v>
      </c>
      <c r="I36" s="1088">
        <v>31</v>
      </c>
      <c r="J36" s="757">
        <f t="shared" ref="J36:J45" si="13">+H36*60+I36</f>
        <v>31</v>
      </c>
      <c r="K36" s="1279">
        <f t="shared" ref="K36:K45" si="14">+(E36/1000)/(J36/3600)</f>
        <v>24.456774193548384</v>
      </c>
      <c r="L36" s="1280">
        <v>2.8570000000000002</v>
      </c>
      <c r="M36" s="1280">
        <v>8.43</v>
      </c>
      <c r="P36" s="1251" t="s">
        <v>847</v>
      </c>
      <c r="Q36" s="1253"/>
      <c r="R36" s="1253"/>
      <c r="S36" s="1254"/>
      <c r="T36" s="847" t="s">
        <v>1096</v>
      </c>
      <c r="U36" s="1483">
        <f>U37*U38</f>
        <v>60.305090984867981</v>
      </c>
      <c r="V36" s="1253"/>
      <c r="W36" s="1483">
        <f>W37*W38</f>
        <v>26.355168054312777</v>
      </c>
      <c r="X36" s="1483">
        <f>X37*X38</f>
        <v>89.822255528991633</v>
      </c>
      <c r="Y36" s="1268">
        <f>Y37*Y38</f>
        <v>17.771577120455039</v>
      </c>
      <c r="Z36" s="1253"/>
      <c r="AA36" s="1487">
        <f>(Y25+U25+AB25)/T25*100</f>
        <v>93.476161661727133</v>
      </c>
      <c r="AB36" s="1253"/>
      <c r="AC36" s="1254"/>
    </row>
    <row r="37" spans="2:29">
      <c r="B37" s="928">
        <v>5</v>
      </c>
      <c r="C37" s="757" t="s">
        <v>831</v>
      </c>
      <c r="D37" s="757">
        <v>2339.1999999999998</v>
      </c>
      <c r="E37" s="757">
        <v>668.6</v>
      </c>
      <c r="F37" s="757">
        <f t="shared" si="11"/>
        <v>1670.6</v>
      </c>
      <c r="G37" s="1064">
        <f t="shared" si="12"/>
        <v>28.582421340629278</v>
      </c>
      <c r="H37" s="1088">
        <v>22</v>
      </c>
      <c r="I37" s="1088">
        <v>9</v>
      </c>
      <c r="J37" s="757">
        <f t="shared" si="13"/>
        <v>1329</v>
      </c>
      <c r="K37" s="1279">
        <f t="shared" si="14"/>
        <v>1.8111060948081263</v>
      </c>
      <c r="L37" s="1280">
        <v>19.13</v>
      </c>
      <c r="M37" s="1280">
        <v>28</v>
      </c>
      <c r="P37" s="1251" t="s">
        <v>849</v>
      </c>
      <c r="Q37" s="1253"/>
      <c r="R37" s="1253"/>
      <c r="S37" s="1254"/>
      <c r="T37" s="847" t="s">
        <v>1178</v>
      </c>
      <c r="U37" s="1483">
        <f>U18/T18*100</f>
        <v>9.0029414934966354</v>
      </c>
      <c r="V37" s="1253"/>
      <c r="W37" s="1483">
        <f>AB18/W18*100</f>
        <v>3.207429521400639</v>
      </c>
      <c r="X37" s="1483">
        <f>X18/AC18*100</f>
        <v>49.740582315784707</v>
      </c>
      <c r="Y37" s="1268">
        <f>Y18/X18*100</f>
        <v>2.6194597167897617</v>
      </c>
      <c r="Z37" s="1253"/>
      <c r="AA37" s="1483">
        <f>(U18+Y18+AB18)/T18*100</f>
        <v>16.658400652426035</v>
      </c>
      <c r="AB37" s="1253"/>
      <c r="AC37" s="1254"/>
    </row>
    <row r="38" spans="2:29" ht="15" thickBot="1">
      <c r="B38" s="928">
        <v>6</v>
      </c>
      <c r="C38" s="757" t="s">
        <v>832</v>
      </c>
      <c r="D38" s="757">
        <v>1120.0999999999999</v>
      </c>
      <c r="E38" s="757">
        <v>133.4</v>
      </c>
      <c r="F38" s="757">
        <f t="shared" si="11"/>
        <v>986.69999999999993</v>
      </c>
      <c r="G38" s="1064">
        <f t="shared" si="12"/>
        <v>11.909650924024643</v>
      </c>
      <c r="H38" s="1088">
        <v>0</v>
      </c>
      <c r="I38" s="1088">
        <v>25</v>
      </c>
      <c r="J38" s="757">
        <f t="shared" si="13"/>
        <v>25</v>
      </c>
      <c r="K38" s="1279">
        <f t="shared" si="14"/>
        <v>19.209600000000005</v>
      </c>
      <c r="L38" s="1280">
        <v>0.86</v>
      </c>
      <c r="M38" s="1280">
        <v>4.33</v>
      </c>
      <c r="P38" s="1251" t="s">
        <v>851</v>
      </c>
      <c r="Q38" s="1253">
        <f>SUMPRODUCT(T7:AC7,$T$18:$AC$18)</f>
        <v>-3.2876812383619836E-11</v>
      </c>
      <c r="R38" s="1253">
        <f>SUMPRODUCT(T7:AC7,$T$25:$AC$25)</f>
        <v>3.6771556077841439E-9</v>
      </c>
      <c r="S38" s="1254">
        <f>SUMPRODUCT(T7:AC7,$T$32:$AC$32)</f>
        <v>1.8108159416385661E-10</v>
      </c>
      <c r="T38" s="706" t="s">
        <v>753</v>
      </c>
      <c r="U38" s="1485">
        <f>U23/T23</f>
        <v>6.6983764171332183</v>
      </c>
      <c r="V38" s="1253"/>
      <c r="W38" s="1485">
        <f>AB23/W23</f>
        <v>8.2169126019654044</v>
      </c>
      <c r="X38" s="1485">
        <f>X23/AC23</f>
        <v>1.8058143139286766</v>
      </c>
      <c r="Y38" s="1272">
        <f>Y23/X23</f>
        <v>6.7844437563005249</v>
      </c>
      <c r="Z38" s="1253"/>
      <c r="AA38" s="1485">
        <f>AA35/T23</f>
        <v>5.6113527109887231</v>
      </c>
      <c r="AB38" s="1253"/>
      <c r="AC38" s="1254"/>
    </row>
    <row r="39" spans="2:29">
      <c r="B39" s="928">
        <v>7</v>
      </c>
      <c r="C39" s="757" t="s">
        <v>833</v>
      </c>
      <c r="D39" s="757">
        <v>1097</v>
      </c>
      <c r="E39" s="757">
        <v>170.9</v>
      </c>
      <c r="F39" s="757">
        <f t="shared" si="11"/>
        <v>926.1</v>
      </c>
      <c r="G39" s="1064">
        <f t="shared" si="12"/>
        <v>15.578851412944395</v>
      </c>
      <c r="H39" s="1088">
        <v>0</v>
      </c>
      <c r="I39" s="1088">
        <v>13</v>
      </c>
      <c r="J39" s="757">
        <f t="shared" si="13"/>
        <v>13</v>
      </c>
      <c r="K39" s="1279">
        <f t="shared" si="14"/>
        <v>47.326153846153851</v>
      </c>
      <c r="L39" s="1280">
        <v>2.1280000000000001</v>
      </c>
      <c r="M39" s="1280">
        <v>9.24</v>
      </c>
      <c r="P39" s="1251" t="s">
        <v>853</v>
      </c>
      <c r="Q39" s="1253">
        <f>SUMPRODUCT(T8:AC8,$T$18:$AC$18)</f>
        <v>1.4092904621065827E-10</v>
      </c>
      <c r="R39" s="1253">
        <f>SUMPRODUCT(T8:AC8,$T$25:$AC$25)</f>
        <v>-7.0343204594536246E-9</v>
      </c>
      <c r="S39" s="1254">
        <f>SUMPRODUCT(T8:AC8,$T$32:$AC$32)</f>
        <v>-9.7923895658880156E-9</v>
      </c>
      <c r="T39" s="1253"/>
      <c r="U39" s="1253"/>
      <c r="V39" s="1253"/>
      <c r="W39" s="1253"/>
      <c r="X39" s="1253"/>
      <c r="Y39" s="1253"/>
      <c r="Z39" s="1253"/>
      <c r="AA39" s="1253"/>
      <c r="AB39" s="1253"/>
      <c r="AC39" s="1254"/>
    </row>
    <row r="40" spans="2:29">
      <c r="B40" s="928">
        <v>8</v>
      </c>
      <c r="C40" s="757" t="s">
        <v>834</v>
      </c>
      <c r="D40" s="757">
        <v>1089.5999999999999</v>
      </c>
      <c r="E40" s="757">
        <v>104.8</v>
      </c>
      <c r="F40" s="757">
        <f t="shared" si="11"/>
        <v>984.8</v>
      </c>
      <c r="G40" s="1064">
        <f t="shared" si="12"/>
        <v>9.6182085168869325</v>
      </c>
      <c r="H40" s="1088">
        <v>0</v>
      </c>
      <c r="I40" s="1088">
        <v>15</v>
      </c>
      <c r="J40" s="757">
        <f t="shared" si="13"/>
        <v>15</v>
      </c>
      <c r="K40" s="1279">
        <f t="shared" si="14"/>
        <v>25.151999999999997</v>
      </c>
      <c r="L40" s="1280">
        <v>1.984</v>
      </c>
      <c r="M40" s="1280">
        <v>5.98</v>
      </c>
      <c r="P40" s="1251" t="s">
        <v>854</v>
      </c>
      <c r="Q40" s="1253">
        <f>SUMPRODUCT(T9:AC9,$T$18:$AC$18)</f>
        <v>-9.7273300525557715E-11</v>
      </c>
      <c r="R40" s="1253">
        <f>SUMPRODUCT(T9:AC9,$T$25:$AC$25)</f>
        <v>7.4764638924307292E-10</v>
      </c>
      <c r="S40" s="1254">
        <f>SUMPRODUCT(T9:AC9,$T$32:$AC$32)</f>
        <v>4.3806867022766482E-9</v>
      </c>
      <c r="T40" s="1253"/>
      <c r="U40" s="1253"/>
      <c r="V40" s="1253"/>
      <c r="W40" s="1253"/>
      <c r="X40" s="1253"/>
      <c r="Y40" s="1253"/>
      <c r="Z40" s="1253"/>
      <c r="AA40" s="1253"/>
      <c r="AB40" s="1253"/>
      <c r="AC40" s="1254"/>
    </row>
    <row r="41" spans="2:29">
      <c r="B41" s="928">
        <v>9</v>
      </c>
      <c r="C41" s="757" t="s">
        <v>835</v>
      </c>
      <c r="D41" s="757">
        <v>2177.3000000000002</v>
      </c>
      <c r="E41" s="757">
        <v>463.3</v>
      </c>
      <c r="F41" s="757">
        <f t="shared" si="11"/>
        <v>1714.0000000000002</v>
      </c>
      <c r="G41" s="1064">
        <f t="shared" si="12"/>
        <v>21.2786478666238</v>
      </c>
      <c r="H41" s="1088">
        <v>48</v>
      </c>
      <c r="I41" s="1088">
        <v>12</v>
      </c>
      <c r="J41" s="757">
        <f t="shared" si="13"/>
        <v>2892</v>
      </c>
      <c r="K41" s="1279">
        <f t="shared" si="14"/>
        <v>0.57672199170124483</v>
      </c>
      <c r="L41" s="1280">
        <v>17.79</v>
      </c>
      <c r="M41" s="1280">
        <v>22.8</v>
      </c>
      <c r="P41" s="1251" t="s">
        <v>855</v>
      </c>
      <c r="Q41" s="1253">
        <f>SUMPRODUCT(T10:AC10,$T$18:$AC$18)</f>
        <v>-7.205613883343176E-11</v>
      </c>
      <c r="R41" s="1253">
        <f>SUMPRODUCT(T10:AC10,$T$25:$AC$25)</f>
        <v>7.3271383405071333E-10</v>
      </c>
      <c r="S41" s="1254">
        <f>SUMPRODUCT(T10:AC10,$T$32:$AC$32)</f>
        <v>8.3415594431812679E-9</v>
      </c>
      <c r="T41" s="1253"/>
      <c r="U41" s="1253"/>
      <c r="V41" s="1253"/>
      <c r="W41" s="1253"/>
      <c r="X41" s="1253"/>
      <c r="Y41" s="1253"/>
      <c r="Z41" s="1253"/>
      <c r="AA41" s="1253"/>
      <c r="AB41" s="1253"/>
      <c r="AC41" s="1254"/>
    </row>
    <row r="42" spans="2:29">
      <c r="B42" s="928">
        <v>10</v>
      </c>
      <c r="C42" s="757" t="s">
        <v>836</v>
      </c>
      <c r="D42" s="757">
        <v>1076.2</v>
      </c>
      <c r="E42" s="757">
        <v>94.1</v>
      </c>
      <c r="F42" s="757">
        <f t="shared" si="11"/>
        <v>982.1</v>
      </c>
      <c r="G42" s="1064">
        <f t="shared" si="12"/>
        <v>8.7437279316112235</v>
      </c>
      <c r="H42" s="1088">
        <v>0</v>
      </c>
      <c r="I42" s="1088">
        <v>19</v>
      </c>
      <c r="J42" s="757">
        <f t="shared" si="13"/>
        <v>19</v>
      </c>
      <c r="K42" s="1279">
        <f t="shared" si="14"/>
        <v>17.829473684210523</v>
      </c>
      <c r="L42" s="1280">
        <v>1.8160000000000001</v>
      </c>
      <c r="M42" s="1280">
        <v>6.68</v>
      </c>
      <c r="P42" s="1251" t="s">
        <v>856</v>
      </c>
      <c r="Q42" s="1253">
        <f>SUMPRODUCT(T11:AC11,$T$18:$AC$18)</f>
        <v>1.0189182830799837E-10</v>
      </c>
      <c r="R42" s="1253">
        <f>SUMPRODUCT(T11:AC11,$T$25:$AC$25)</f>
        <v>-9.4184231524963025E-9</v>
      </c>
      <c r="S42" s="1254">
        <f>SUMPRODUCT(T11:AC11,$T$32:$AC$32)</f>
        <v>-4.8292827514728742E-9</v>
      </c>
      <c r="T42" s="1253"/>
      <c r="U42" s="1253"/>
      <c r="V42" s="1253"/>
      <c r="W42" s="1253"/>
      <c r="X42" s="1253"/>
      <c r="Y42" s="1253"/>
      <c r="Z42" s="1253"/>
      <c r="AA42" s="1253"/>
      <c r="AB42" s="1253"/>
      <c r="AC42" s="1254"/>
    </row>
    <row r="43" spans="2:29" ht="15" thickBot="1">
      <c r="B43" s="928">
        <v>11</v>
      </c>
      <c r="C43" s="757" t="s">
        <v>837</v>
      </c>
      <c r="D43" s="757">
        <v>1132.5</v>
      </c>
      <c r="E43" s="757">
        <v>140.30000000000001</v>
      </c>
      <c r="F43" s="757">
        <f t="shared" si="11"/>
        <v>992.2</v>
      </c>
      <c r="G43" s="1064">
        <f t="shared" si="12"/>
        <v>12.388520971302428</v>
      </c>
      <c r="H43" s="1088">
        <v>0</v>
      </c>
      <c r="I43" s="1088">
        <v>34</v>
      </c>
      <c r="J43" s="757">
        <f t="shared" si="13"/>
        <v>34</v>
      </c>
      <c r="K43" s="1279">
        <f t="shared" si="14"/>
        <v>14.855294117647059</v>
      </c>
      <c r="L43" s="1280">
        <v>0.25800000000000001</v>
      </c>
      <c r="M43" s="1280">
        <v>2.63</v>
      </c>
      <c r="P43" s="1255" t="s">
        <v>861</v>
      </c>
      <c r="Q43" s="1257"/>
      <c r="R43" s="1257"/>
      <c r="S43" s="1258"/>
      <c r="T43" s="1257"/>
      <c r="U43" s="1257"/>
      <c r="V43" s="1257"/>
      <c r="W43" s="1257"/>
      <c r="X43" s="1257"/>
      <c r="Y43" s="1257"/>
      <c r="Z43" s="1257"/>
      <c r="AA43" s="1257"/>
      <c r="AB43" s="1257"/>
      <c r="AC43" s="1258"/>
    </row>
    <row r="44" spans="2:29">
      <c r="B44" s="928">
        <v>12</v>
      </c>
      <c r="C44" s="757" t="s">
        <v>838</v>
      </c>
      <c r="D44" s="757">
        <v>1019.5</v>
      </c>
      <c r="E44" s="757">
        <v>201.9</v>
      </c>
      <c r="F44" s="757">
        <f t="shared" si="11"/>
        <v>817.6</v>
      </c>
      <c r="G44" s="1064">
        <f t="shared" si="12"/>
        <v>19.803825404610105</v>
      </c>
      <c r="H44" s="1088">
        <v>4</v>
      </c>
      <c r="I44" s="1088">
        <v>26</v>
      </c>
      <c r="J44" s="757">
        <f t="shared" si="13"/>
        <v>266</v>
      </c>
      <c r="K44" s="1279">
        <f t="shared" si="14"/>
        <v>2.7324812030075187</v>
      </c>
      <c r="L44" s="1280">
        <v>12.08</v>
      </c>
      <c r="M44" s="1280">
        <v>23.4</v>
      </c>
      <c r="P44" s="1462" t="s">
        <v>1411</v>
      </c>
      <c r="Q44" s="1462"/>
    </row>
    <row r="45" spans="2:29">
      <c r="B45" s="928">
        <v>13</v>
      </c>
      <c r="C45" s="757" t="s">
        <v>839</v>
      </c>
      <c r="D45" s="757">
        <v>1069.5999999999999</v>
      </c>
      <c r="E45" s="757">
        <v>153.5</v>
      </c>
      <c r="F45" s="757">
        <f t="shared" si="11"/>
        <v>916.09999999999991</v>
      </c>
      <c r="G45" s="1064">
        <f t="shared" si="12"/>
        <v>14.351159311892298</v>
      </c>
      <c r="H45" s="1088">
        <v>0</v>
      </c>
      <c r="I45" s="1088">
        <v>23</v>
      </c>
      <c r="J45" s="757">
        <f t="shared" si="13"/>
        <v>23</v>
      </c>
      <c r="K45" s="1279">
        <f t="shared" si="14"/>
        <v>24.026086956521738</v>
      </c>
      <c r="L45" s="1280">
        <v>0.91700000000000004</v>
      </c>
      <c r="M45" s="1280">
        <v>5.09</v>
      </c>
      <c r="P45" s="928" t="s">
        <v>33</v>
      </c>
      <c r="Q45" s="880">
        <f>SUMPRODUCT(T17:AC17,T12:AC12)/SUM(T17)*100</f>
        <v>18.322820298870631</v>
      </c>
    </row>
    <row r="46" spans="2:29">
      <c r="P46" s="928" t="s">
        <v>1395</v>
      </c>
      <c r="Q46" s="880">
        <f>SUMPRODUCT(T24:AC24,T12:AC12)/SUM(T24)*100</f>
        <v>-16.994229690895615</v>
      </c>
    </row>
    <row r="47" spans="2:29">
      <c r="P47" s="928" t="s">
        <v>1396</v>
      </c>
      <c r="Q47" s="880">
        <f>SUMPRODUCT(T31:AC31,T12:AC12)/SUM(T31)*100</f>
        <v>19.062315129597746</v>
      </c>
    </row>
    <row r="48" spans="2:29">
      <c r="B48" s="1246" t="s">
        <v>26</v>
      </c>
      <c r="C48" s="1246" t="s">
        <v>1086</v>
      </c>
      <c r="D48" s="1065" t="s">
        <v>867</v>
      </c>
      <c r="E48" s="1065" t="s">
        <v>868</v>
      </c>
      <c r="F48" s="1065" t="s">
        <v>1172</v>
      </c>
      <c r="G48" s="1065" t="s">
        <v>1173</v>
      </c>
      <c r="H48" s="1065" t="s">
        <v>1174</v>
      </c>
      <c r="I48" s="1065" t="s">
        <v>1413</v>
      </c>
      <c r="J48" s="1065" t="s">
        <v>882</v>
      </c>
      <c r="K48" s="1065" t="s">
        <v>865</v>
      </c>
      <c r="L48" s="1065" t="s">
        <v>865</v>
      </c>
      <c r="M48" s="1065" t="s">
        <v>866</v>
      </c>
      <c r="N48" s="1065" t="s">
        <v>1412</v>
      </c>
    </row>
    <row r="49" spans="2:42">
      <c r="B49" s="928">
        <v>1</v>
      </c>
      <c r="C49" s="757" t="s">
        <v>844</v>
      </c>
      <c r="D49" s="757"/>
      <c r="E49" s="757"/>
      <c r="F49" s="757"/>
      <c r="G49" s="757"/>
      <c r="H49" s="757"/>
      <c r="I49" s="940"/>
      <c r="J49" s="940"/>
      <c r="K49" s="940"/>
      <c r="L49" s="757"/>
      <c r="M49" s="941"/>
      <c r="N49" s="941"/>
    </row>
    <row r="50" spans="2:42">
      <c r="B50" s="928">
        <v>2</v>
      </c>
      <c r="C50" s="757" t="s">
        <v>845</v>
      </c>
      <c r="D50" s="757"/>
      <c r="E50" s="757"/>
      <c r="F50" s="757"/>
      <c r="G50" s="757"/>
      <c r="H50" s="757"/>
      <c r="I50" s="940"/>
      <c r="J50" s="940"/>
      <c r="K50" s="940"/>
      <c r="L50" s="757"/>
      <c r="M50" s="941"/>
      <c r="N50" s="941"/>
    </row>
    <row r="51" spans="2:42">
      <c r="B51" s="928">
        <v>3</v>
      </c>
      <c r="C51" s="757" t="s">
        <v>846</v>
      </c>
      <c r="D51" s="757"/>
      <c r="E51" s="757"/>
      <c r="F51" s="757"/>
      <c r="G51" s="757"/>
      <c r="H51" s="757"/>
      <c r="I51" s="940"/>
      <c r="J51" s="940"/>
      <c r="K51" s="940"/>
      <c r="L51" s="757"/>
      <c r="M51" s="941"/>
      <c r="N51" s="941"/>
    </row>
    <row r="52" spans="2:42">
      <c r="B52" s="928">
        <v>4</v>
      </c>
      <c r="C52" s="757" t="s">
        <v>830</v>
      </c>
      <c r="D52" s="757">
        <v>1231.2</v>
      </c>
      <c r="E52" s="757">
        <v>210.6</v>
      </c>
      <c r="F52" s="941">
        <f>(L52/3600)*N52*1000</f>
        <v>185.252168960799</v>
      </c>
      <c r="G52" s="941">
        <f t="shared" ref="G52:G61" si="15">F52+F36</f>
        <v>1205.852168960799</v>
      </c>
      <c r="H52" s="1278">
        <f t="shared" ref="H52:H61" si="16">(F52/G52)*100</f>
        <v>15.362759526356282</v>
      </c>
      <c r="I52" s="1064">
        <f t="shared" ref="I52:I61" si="17">+E52/D52*100</f>
        <v>17.105263157894733</v>
      </c>
      <c r="J52" s="1087">
        <v>0</v>
      </c>
      <c r="K52" s="1087">
        <v>31</v>
      </c>
      <c r="L52" s="757">
        <f t="shared" ref="L52:L61" si="18">+J52*60+K52</f>
        <v>31</v>
      </c>
      <c r="M52" s="941">
        <f t="shared" ref="M52:M61" si="19">+(F52/1000)/(L52/3600)</f>
        <v>21.513155105125044</v>
      </c>
      <c r="N52" s="1279">
        <v>21.513155105125044</v>
      </c>
    </row>
    <row r="53" spans="2:42">
      <c r="B53" s="928">
        <v>5</v>
      </c>
      <c r="C53" s="757" t="s">
        <v>831</v>
      </c>
      <c r="D53" s="757">
        <v>2339.1999999999998</v>
      </c>
      <c r="E53" s="757">
        <v>668.6</v>
      </c>
      <c r="F53" s="941">
        <f t="shared" ref="F53:F61" si="20">(L53*N53*1000)/3600</f>
        <v>701.32948424828828</v>
      </c>
      <c r="G53" s="941">
        <f t="shared" si="15"/>
        <v>2371.9294842482882</v>
      </c>
      <c r="H53" s="1278">
        <f t="shared" si="16"/>
        <v>29.567889303022582</v>
      </c>
      <c r="I53" s="1064">
        <f t="shared" si="17"/>
        <v>28.582421340629278</v>
      </c>
      <c r="J53" s="1088">
        <v>22</v>
      </c>
      <c r="K53" s="1088">
        <v>9</v>
      </c>
      <c r="L53" s="757">
        <f t="shared" si="18"/>
        <v>1329</v>
      </c>
      <c r="M53" s="941">
        <f t="shared" si="19"/>
        <v>1.8997638399502166</v>
      </c>
      <c r="N53" s="1279">
        <v>1.8997638399502166</v>
      </c>
      <c r="AP53" s="4" t="s">
        <v>1351</v>
      </c>
    </row>
    <row r="54" spans="2:42">
      <c r="B54" s="928">
        <v>6</v>
      </c>
      <c r="C54" s="757" t="s">
        <v>832</v>
      </c>
      <c r="D54" s="757">
        <v>1120.0999999999999</v>
      </c>
      <c r="E54" s="757">
        <v>133.4</v>
      </c>
      <c r="F54" s="941">
        <f t="shared" si="20"/>
        <v>136.20410600853606</v>
      </c>
      <c r="G54" s="941">
        <f t="shared" si="15"/>
        <v>1122.904106008536</v>
      </c>
      <c r="H54" s="1278">
        <f t="shared" si="16"/>
        <v>12.12962934944515</v>
      </c>
      <c r="I54" s="1064">
        <f t="shared" si="17"/>
        <v>11.909650924024643</v>
      </c>
      <c r="J54" s="1088">
        <v>0</v>
      </c>
      <c r="K54" s="1088">
        <v>25</v>
      </c>
      <c r="L54" s="757">
        <f t="shared" si="18"/>
        <v>25</v>
      </c>
      <c r="M54" s="941">
        <f t="shared" si="19"/>
        <v>19.613391265229193</v>
      </c>
      <c r="N54" s="1279">
        <v>19.613391265229193</v>
      </c>
    </row>
    <row r="55" spans="2:42">
      <c r="B55" s="928">
        <v>7</v>
      </c>
      <c r="C55" s="757" t="s">
        <v>833</v>
      </c>
      <c r="D55" s="757">
        <v>1097</v>
      </c>
      <c r="E55" s="757">
        <v>170.9</v>
      </c>
      <c r="F55" s="941">
        <f t="shared" si="20"/>
        <v>132.46402027557369</v>
      </c>
      <c r="G55" s="941">
        <f t="shared" si="15"/>
        <v>1058.5640202755737</v>
      </c>
      <c r="H55" s="1278">
        <f>(F55/G55)*100</f>
        <v>12.513557776230636</v>
      </c>
      <c r="I55" s="1064">
        <f t="shared" si="17"/>
        <v>15.578851412944395</v>
      </c>
      <c r="J55" s="1088">
        <v>0</v>
      </c>
      <c r="K55" s="1088">
        <v>13</v>
      </c>
      <c r="L55" s="757">
        <f t="shared" si="18"/>
        <v>13</v>
      </c>
      <c r="M55" s="941">
        <f t="shared" si="19"/>
        <v>36.682344076312717</v>
      </c>
      <c r="N55" s="1279">
        <v>36.68234407631271</v>
      </c>
    </row>
    <row r="56" spans="2:42">
      <c r="B56" s="928">
        <v>8</v>
      </c>
      <c r="C56" s="757" t="s">
        <v>834</v>
      </c>
      <c r="D56" s="757">
        <v>1089.5999999999999</v>
      </c>
      <c r="E56" s="757">
        <v>104.8</v>
      </c>
      <c r="F56" s="941">
        <f t="shared" si="20"/>
        <v>73.028483383088741</v>
      </c>
      <c r="G56" s="941">
        <f t="shared" si="15"/>
        <v>1057.8284833830887</v>
      </c>
      <c r="H56" s="1278">
        <f t="shared" si="16"/>
        <v>6.90362232916371</v>
      </c>
      <c r="I56" s="1064">
        <f t="shared" si="17"/>
        <v>9.6182085168869325</v>
      </c>
      <c r="J56" s="1088">
        <v>0</v>
      </c>
      <c r="K56" s="1088">
        <v>15</v>
      </c>
      <c r="L56" s="757">
        <f t="shared" si="18"/>
        <v>15</v>
      </c>
      <c r="M56" s="941">
        <f t="shared" si="19"/>
        <v>17.526836011941299</v>
      </c>
      <c r="N56" s="1279">
        <v>17.526836011941295</v>
      </c>
    </row>
    <row r="57" spans="2:42">
      <c r="B57" s="928">
        <v>9</v>
      </c>
      <c r="C57" s="757" t="s">
        <v>835</v>
      </c>
      <c r="D57" s="757">
        <v>2177.3000000000002</v>
      </c>
      <c r="E57" s="757">
        <v>463.3</v>
      </c>
      <c r="F57" s="941">
        <f t="shared" si="20"/>
        <v>367.83283801237445</v>
      </c>
      <c r="G57" s="941">
        <f t="shared" si="15"/>
        <v>2081.8328380123749</v>
      </c>
      <c r="H57" s="1278">
        <f t="shared" si="16"/>
        <v>17.668701890760932</v>
      </c>
      <c r="I57" s="1064">
        <f t="shared" si="17"/>
        <v>21.2786478666238</v>
      </c>
      <c r="J57" s="1088">
        <v>48</v>
      </c>
      <c r="K57" s="1088">
        <v>12</v>
      </c>
      <c r="L57" s="757">
        <f t="shared" si="18"/>
        <v>2892</v>
      </c>
      <c r="M57" s="941">
        <f t="shared" si="19"/>
        <v>0.45788320084527939</v>
      </c>
      <c r="N57" s="1279">
        <v>0.45788320084527939</v>
      </c>
    </row>
    <row r="58" spans="2:42">
      <c r="B58" s="928">
        <v>10</v>
      </c>
      <c r="C58" s="757" t="s">
        <v>836</v>
      </c>
      <c r="D58" s="757">
        <v>1076.2</v>
      </c>
      <c r="E58" s="757">
        <v>94.1</v>
      </c>
      <c r="F58" s="941">
        <f t="shared" si="20"/>
        <v>90.08613983634342</v>
      </c>
      <c r="G58" s="941">
        <f t="shared" si="15"/>
        <v>1072.1861398363435</v>
      </c>
      <c r="H58" s="1278">
        <f t="shared" si="16"/>
        <v>8.4020988976871127</v>
      </c>
      <c r="I58" s="1064">
        <f t="shared" si="17"/>
        <v>8.7437279316112235</v>
      </c>
      <c r="J58" s="1088">
        <v>0</v>
      </c>
      <c r="K58" s="1088">
        <v>19</v>
      </c>
      <c r="L58" s="757">
        <f t="shared" si="18"/>
        <v>19</v>
      </c>
      <c r="M58" s="941">
        <f t="shared" si="19"/>
        <v>17.068952811096647</v>
      </c>
      <c r="N58" s="1279">
        <v>17.068952811096647</v>
      </c>
    </row>
    <row r="59" spans="2:42">
      <c r="B59" s="928">
        <v>11</v>
      </c>
      <c r="C59" s="757" t="s">
        <v>837</v>
      </c>
      <c r="D59" s="757">
        <v>1132.5</v>
      </c>
      <c r="E59" s="757">
        <v>140.30000000000001</v>
      </c>
      <c r="F59" s="941">
        <f t="shared" si="20"/>
        <v>162.46996802180513</v>
      </c>
      <c r="G59" s="941">
        <f t="shared" si="15"/>
        <v>1154.6699680218053</v>
      </c>
      <c r="H59" s="1278">
        <f t="shared" si="16"/>
        <v>14.0706844831299</v>
      </c>
      <c r="I59" s="1064">
        <f t="shared" si="17"/>
        <v>12.388520971302428</v>
      </c>
      <c r="J59" s="1088">
        <v>0</v>
      </c>
      <c r="K59" s="1088">
        <v>34</v>
      </c>
      <c r="L59" s="757">
        <f t="shared" si="18"/>
        <v>34</v>
      </c>
      <c r="M59" s="941">
        <f t="shared" si="19"/>
        <v>17.202702496426426</v>
      </c>
      <c r="N59" s="1279">
        <v>17.202702496426426</v>
      </c>
    </row>
    <row r="60" spans="2:42">
      <c r="B60" s="928">
        <v>12</v>
      </c>
      <c r="C60" s="942" t="s">
        <v>838</v>
      </c>
      <c r="D60" s="757">
        <v>1019.5</v>
      </c>
      <c r="E60" s="757">
        <v>201.9</v>
      </c>
      <c r="F60" s="941">
        <f t="shared" si="20"/>
        <v>144.29063362762787</v>
      </c>
      <c r="G60" s="941">
        <f t="shared" si="15"/>
        <v>961.89063362762795</v>
      </c>
      <c r="H60" s="1278">
        <f t="shared" si="16"/>
        <v>15.000731744674251</v>
      </c>
      <c r="I60" s="1064">
        <f t="shared" si="17"/>
        <v>19.803825404610105</v>
      </c>
      <c r="J60" s="1089">
        <v>4</v>
      </c>
      <c r="K60" s="1089">
        <v>26</v>
      </c>
      <c r="L60" s="757">
        <f t="shared" si="18"/>
        <v>266</v>
      </c>
      <c r="M60" s="941">
        <f t="shared" si="19"/>
        <v>1.9528055678927079</v>
      </c>
      <c r="N60" s="1279">
        <v>1.9528055678927081</v>
      </c>
    </row>
    <row r="61" spans="2:42">
      <c r="B61" s="928">
        <v>13</v>
      </c>
      <c r="C61" s="757" t="s">
        <v>839</v>
      </c>
      <c r="D61" s="757">
        <v>1069.5999999999999</v>
      </c>
      <c r="E61" s="757">
        <v>153.5</v>
      </c>
      <c r="F61" s="941">
        <f t="shared" si="20"/>
        <v>221.88316269238734</v>
      </c>
      <c r="G61" s="941">
        <f t="shared" si="15"/>
        <v>1137.9831626923872</v>
      </c>
      <c r="H61" s="1278">
        <f t="shared" si="16"/>
        <v>19.49793019498</v>
      </c>
      <c r="I61" s="1064">
        <f t="shared" si="17"/>
        <v>14.351159311892298</v>
      </c>
      <c r="J61" s="1088">
        <v>0</v>
      </c>
      <c r="K61" s="1088">
        <v>23</v>
      </c>
      <c r="L61" s="757">
        <f t="shared" si="18"/>
        <v>23</v>
      </c>
      <c r="M61" s="941">
        <f t="shared" si="19"/>
        <v>34.729538508373665</v>
      </c>
      <c r="N61" s="1279">
        <v>34.729538508373672</v>
      </c>
      <c r="AP61" s="4" t="s">
        <v>1356</v>
      </c>
    </row>
  </sheetData>
  <mergeCells count="7">
    <mergeCell ref="P44:Q44"/>
    <mergeCell ref="P2:AC2"/>
    <mergeCell ref="P13:AC13"/>
    <mergeCell ref="B31:M31"/>
    <mergeCell ref="E3:F3"/>
    <mergeCell ref="P19:AC19"/>
    <mergeCell ref="P26:AC26"/>
  </mergeCells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EB29C-CAF3-40DB-9430-72FD39361618}">
  <sheetPr>
    <tabColor theme="9" tint="0.39997558519241921"/>
  </sheetPr>
  <dimension ref="B2:AP61"/>
  <sheetViews>
    <sheetView topLeftCell="K1" zoomScale="70" zoomScaleNormal="70" workbookViewId="0">
      <selection activeCell="W23" sqref="W23"/>
    </sheetView>
  </sheetViews>
  <sheetFormatPr baseColWidth="10" defaultColWidth="10.7265625" defaultRowHeight="14.5"/>
  <cols>
    <col min="1" max="1" width="10.7265625" style="4"/>
    <col min="2" max="2" width="2.90625" style="4" bestFit="1" customWidth="1"/>
    <col min="3" max="3" width="28.54296875" style="4" bestFit="1" customWidth="1"/>
    <col min="4" max="4" width="17.7265625" style="4" bestFit="1" customWidth="1"/>
    <col min="5" max="5" width="18" style="4" bestFit="1" customWidth="1"/>
    <col min="6" max="6" width="15.36328125" style="4" bestFit="1" customWidth="1"/>
    <col min="7" max="8" width="18" style="4" customWidth="1"/>
    <col min="9" max="9" width="12.26953125" style="4" bestFit="1" customWidth="1"/>
    <col min="10" max="10" width="10.7265625" style="4"/>
    <col min="11" max="11" width="17.08984375" style="4" bestFit="1" customWidth="1"/>
    <col min="12" max="12" width="8.7265625" style="4" bestFit="1" customWidth="1"/>
    <col min="13" max="13" width="17.08984375" style="4" bestFit="1" customWidth="1"/>
    <col min="14" max="14" width="14.6328125" style="4" bestFit="1" customWidth="1"/>
    <col min="15" max="15" width="10.7265625" style="4"/>
    <col min="16" max="16" width="15.81640625" style="4" bestFit="1" customWidth="1"/>
    <col min="17" max="19" width="12.54296875" style="4" bestFit="1" customWidth="1"/>
    <col min="20" max="26" width="11.81640625" style="4" bestFit="1" customWidth="1"/>
    <col min="27" max="27" width="11.90625" style="4" bestFit="1" customWidth="1"/>
    <col min="28" max="29" width="11.81640625" style="4" bestFit="1" customWidth="1"/>
    <col min="30" max="16384" width="10.7265625" style="4"/>
  </cols>
  <sheetData>
    <row r="2" spans="5:29">
      <c r="P2" s="1307" t="s">
        <v>1406</v>
      </c>
      <c r="Q2" s="1308"/>
      <c r="R2" s="1308"/>
      <c r="S2" s="1308"/>
      <c r="T2" s="1308"/>
      <c r="U2" s="1308"/>
      <c r="V2" s="1308"/>
      <c r="W2" s="1308"/>
      <c r="X2" s="1308"/>
      <c r="Y2" s="1308"/>
      <c r="Z2" s="1308"/>
      <c r="AA2" s="1308"/>
      <c r="AB2" s="1308"/>
      <c r="AC2" s="1308"/>
    </row>
    <row r="3" spans="5:29" ht="15" thickBot="1">
      <c r="E3" s="1396"/>
      <c r="F3" s="1396"/>
      <c r="P3" s="1247" t="s">
        <v>1350</v>
      </c>
      <c r="Q3" s="1247" t="s">
        <v>993</v>
      </c>
      <c r="R3" s="1247" t="s">
        <v>1398</v>
      </c>
      <c r="S3" s="1247" t="s">
        <v>23</v>
      </c>
      <c r="T3" s="1247" t="s">
        <v>1400</v>
      </c>
      <c r="U3" s="1247" t="s">
        <v>1401</v>
      </c>
      <c r="V3" s="1247" t="s">
        <v>1402</v>
      </c>
      <c r="W3" s="1247" t="s">
        <v>961</v>
      </c>
      <c r="X3" s="1247" t="s">
        <v>1399</v>
      </c>
      <c r="Y3" s="1247" t="s">
        <v>1403</v>
      </c>
      <c r="Z3" s="1247" t="s">
        <v>1404</v>
      </c>
      <c r="AA3" s="1247" t="s">
        <v>1405</v>
      </c>
      <c r="AB3" s="1247" t="s">
        <v>1136</v>
      </c>
      <c r="AC3" s="1247" t="s">
        <v>841</v>
      </c>
    </row>
    <row r="4" spans="5:29">
      <c r="P4" s="705" t="s">
        <v>809</v>
      </c>
      <c r="Q4" s="1248">
        <v>1</v>
      </c>
      <c r="R4" s="1249">
        <v>2</v>
      </c>
      <c r="S4" s="1249">
        <v>3</v>
      </c>
      <c r="T4" s="1249">
        <v>4</v>
      </c>
      <c r="U4" s="1249">
        <v>5</v>
      </c>
      <c r="V4" s="1249">
        <v>6</v>
      </c>
      <c r="W4" s="1249">
        <v>7</v>
      </c>
      <c r="X4" s="1249">
        <v>8</v>
      </c>
      <c r="Y4" s="1249">
        <v>9</v>
      </c>
      <c r="Z4" s="1249">
        <v>10</v>
      </c>
      <c r="AA4" s="1249">
        <v>11</v>
      </c>
      <c r="AB4" s="1249">
        <v>12</v>
      </c>
      <c r="AC4" s="1250">
        <v>13</v>
      </c>
    </row>
    <row r="5" spans="5:29">
      <c r="P5" s="1261" t="s">
        <v>847</v>
      </c>
      <c r="Q5" s="1252"/>
      <c r="R5" s="1253"/>
      <c r="S5" s="1253"/>
      <c r="T5" s="1253"/>
      <c r="U5" s="1253"/>
      <c r="V5" s="1253"/>
      <c r="W5" s="1253"/>
      <c r="X5" s="1253"/>
      <c r="Y5" s="1253"/>
      <c r="Z5" s="1253"/>
      <c r="AA5" s="1253"/>
      <c r="AB5" s="1253"/>
      <c r="AC5" s="1254"/>
    </row>
    <row r="6" spans="5:29">
      <c r="P6" s="1261" t="s">
        <v>849</v>
      </c>
      <c r="Q6" s="1252"/>
      <c r="R6" s="1253"/>
      <c r="S6" s="1253"/>
      <c r="T6" s="1253"/>
      <c r="U6" s="1253"/>
      <c r="V6" s="1253"/>
      <c r="W6" s="1253"/>
      <c r="X6" s="1253"/>
      <c r="Y6" s="1253"/>
      <c r="Z6" s="1253"/>
      <c r="AA6" s="1253"/>
      <c r="AB6" s="1253"/>
      <c r="AC6" s="1254"/>
    </row>
    <row r="7" spans="5:29">
      <c r="P7" s="1261" t="s">
        <v>851</v>
      </c>
      <c r="Q7" s="1252">
        <v>0</v>
      </c>
      <c r="R7" s="1253">
        <v>0</v>
      </c>
      <c r="S7" s="1253">
        <v>0</v>
      </c>
      <c r="T7" s="1253">
        <v>1</v>
      </c>
      <c r="U7" s="1253">
        <v>-1</v>
      </c>
      <c r="V7" s="1253">
        <v>-1</v>
      </c>
      <c r="W7" s="1253">
        <v>0</v>
      </c>
      <c r="X7" s="1253">
        <v>0</v>
      </c>
      <c r="Y7" s="1253">
        <v>0</v>
      </c>
      <c r="Z7" s="1253">
        <v>0</v>
      </c>
      <c r="AA7" s="1253">
        <v>0</v>
      </c>
      <c r="AB7" s="1253">
        <v>0</v>
      </c>
      <c r="AC7" s="1254">
        <v>0</v>
      </c>
    </row>
    <row r="8" spans="5:29">
      <c r="P8" s="1261" t="s">
        <v>853</v>
      </c>
      <c r="Q8" s="1252">
        <v>0</v>
      </c>
      <c r="R8" s="1253">
        <v>0</v>
      </c>
      <c r="S8" s="1253">
        <v>0</v>
      </c>
      <c r="T8" s="1253">
        <v>0</v>
      </c>
      <c r="U8" s="1253">
        <v>0</v>
      </c>
      <c r="V8" s="1253">
        <v>1</v>
      </c>
      <c r="W8" s="1253">
        <v>-1</v>
      </c>
      <c r="X8" s="1253">
        <v>0</v>
      </c>
      <c r="Y8" s="1253">
        <v>0</v>
      </c>
      <c r="Z8" s="1253">
        <v>1</v>
      </c>
      <c r="AA8" s="1253">
        <v>0</v>
      </c>
      <c r="AB8" s="1253">
        <v>0</v>
      </c>
      <c r="AC8" s="1254">
        <v>0</v>
      </c>
    </row>
    <row r="9" spans="5:29">
      <c r="P9" s="1261" t="s">
        <v>854</v>
      </c>
      <c r="Q9" s="1252">
        <v>0</v>
      </c>
      <c r="R9" s="1253">
        <v>0</v>
      </c>
      <c r="S9" s="1253">
        <v>0</v>
      </c>
      <c r="T9" s="1253">
        <v>0</v>
      </c>
      <c r="U9" s="1253">
        <v>0</v>
      </c>
      <c r="V9" s="1253">
        <v>0</v>
      </c>
      <c r="W9" s="1253">
        <v>1</v>
      </c>
      <c r="X9" s="1253">
        <v>0</v>
      </c>
      <c r="Y9" s="1253">
        <v>0</v>
      </c>
      <c r="Z9" s="1253">
        <v>0</v>
      </c>
      <c r="AA9" s="1253">
        <v>0</v>
      </c>
      <c r="AB9" s="1253">
        <v>-1</v>
      </c>
      <c r="AC9" s="1254">
        <v>-1</v>
      </c>
    </row>
    <row r="10" spans="5:29">
      <c r="P10" s="1261" t="s">
        <v>855</v>
      </c>
      <c r="Q10" s="1252">
        <v>0</v>
      </c>
      <c r="R10" s="1253">
        <v>0</v>
      </c>
      <c r="S10" s="1253">
        <v>0</v>
      </c>
      <c r="T10" s="1253">
        <v>0</v>
      </c>
      <c r="U10" s="1253">
        <v>0</v>
      </c>
      <c r="V10" s="1253">
        <v>0</v>
      </c>
      <c r="W10" s="1253">
        <v>0</v>
      </c>
      <c r="X10" s="1253">
        <v>-1</v>
      </c>
      <c r="Y10" s="1253">
        <v>0</v>
      </c>
      <c r="Z10" s="1253">
        <v>0</v>
      </c>
      <c r="AA10" s="1253">
        <v>-1</v>
      </c>
      <c r="AB10" s="1253">
        <v>0</v>
      </c>
      <c r="AC10" s="1254">
        <v>1</v>
      </c>
    </row>
    <row r="11" spans="5:29">
      <c r="P11" s="1261" t="s">
        <v>856</v>
      </c>
      <c r="Q11" s="1252">
        <v>0</v>
      </c>
      <c r="R11" s="1253">
        <v>0</v>
      </c>
      <c r="S11" s="1253">
        <v>0</v>
      </c>
      <c r="T11" s="1253">
        <v>0</v>
      </c>
      <c r="U11" s="1253">
        <v>0</v>
      </c>
      <c r="V11" s="1253">
        <v>0</v>
      </c>
      <c r="W11" s="1253">
        <v>0</v>
      </c>
      <c r="X11" s="1253">
        <v>1</v>
      </c>
      <c r="Y11" s="1253">
        <v>-1</v>
      </c>
      <c r="Z11" s="1253">
        <v>-1</v>
      </c>
      <c r="AA11" s="1253">
        <v>0</v>
      </c>
      <c r="AB11" s="1253">
        <v>0</v>
      </c>
      <c r="AC11" s="1254">
        <v>0</v>
      </c>
    </row>
    <row r="12" spans="5:29" ht="15" thickBot="1">
      <c r="P12" s="1255"/>
      <c r="Q12" s="1256">
        <f t="shared" ref="Q12:AC12" si="0">SUM(Q7:Q11)</f>
        <v>0</v>
      </c>
      <c r="R12" s="1257">
        <f t="shared" si="0"/>
        <v>0</v>
      </c>
      <c r="S12" s="1257">
        <f t="shared" si="0"/>
        <v>0</v>
      </c>
      <c r="T12" s="1257">
        <f t="shared" si="0"/>
        <v>1</v>
      </c>
      <c r="U12" s="1257">
        <f t="shared" si="0"/>
        <v>-1</v>
      </c>
      <c r="V12" s="1257">
        <f t="shared" si="0"/>
        <v>0</v>
      </c>
      <c r="W12" s="1257">
        <f t="shared" si="0"/>
        <v>0</v>
      </c>
      <c r="X12" s="1257">
        <f t="shared" si="0"/>
        <v>0</v>
      </c>
      <c r="Y12" s="1257">
        <f t="shared" si="0"/>
        <v>-1</v>
      </c>
      <c r="Z12" s="1257">
        <f t="shared" si="0"/>
        <v>0</v>
      </c>
      <c r="AA12" s="1257">
        <f t="shared" si="0"/>
        <v>-1</v>
      </c>
      <c r="AB12" s="1257">
        <f t="shared" si="0"/>
        <v>-1</v>
      </c>
      <c r="AC12" s="1258">
        <f t="shared" si="0"/>
        <v>0</v>
      </c>
    </row>
    <row r="13" spans="5:29" ht="15" thickBot="1">
      <c r="P13" s="1393" t="s">
        <v>1098</v>
      </c>
      <c r="Q13" s="1397"/>
      <c r="R13" s="1397"/>
      <c r="S13" s="1397"/>
      <c r="T13" s="1397"/>
      <c r="U13" s="1397"/>
      <c r="V13" s="1397"/>
      <c r="W13" s="1397"/>
      <c r="X13" s="1397"/>
      <c r="Y13" s="1397"/>
      <c r="Z13" s="1397"/>
      <c r="AA13" s="1397"/>
      <c r="AB13" s="1397"/>
      <c r="AC13" s="1394"/>
    </row>
    <row r="14" spans="5:29">
      <c r="P14" s="286" t="s">
        <v>1086</v>
      </c>
      <c r="Q14" s="1273"/>
      <c r="R14" s="1273"/>
      <c r="S14" s="1273"/>
      <c r="T14" s="1249">
        <v>4</v>
      </c>
      <c r="U14" s="1249">
        <v>5</v>
      </c>
      <c r="V14" s="1249">
        <v>6</v>
      </c>
      <c r="W14" s="1249">
        <v>7</v>
      </c>
      <c r="X14" s="1249">
        <v>8</v>
      </c>
      <c r="Y14" s="1249">
        <v>9</v>
      </c>
      <c r="Z14" s="1249">
        <v>10</v>
      </c>
      <c r="AA14" s="1249">
        <v>11</v>
      </c>
      <c r="AB14" s="1249">
        <v>12</v>
      </c>
      <c r="AC14" s="1250">
        <v>13</v>
      </c>
    </row>
    <row r="15" spans="5:29">
      <c r="P15" s="1262" t="s">
        <v>1352</v>
      </c>
      <c r="Q15" s="1253"/>
      <c r="R15" s="1253"/>
      <c r="S15" s="1253"/>
      <c r="T15" s="1267">
        <f t="shared" ref="T15:AC15" si="1">(1/T16^2)*(1/T17^2)*(T17-T18)^2</f>
        <v>5.3507813372046007</v>
      </c>
      <c r="U15" s="1267">
        <f t="shared" si="1"/>
        <v>2.7934766777909394</v>
      </c>
      <c r="V15" s="1267">
        <f t="shared" si="1"/>
        <v>4.0431278671207656</v>
      </c>
      <c r="W15" s="1267">
        <f t="shared" si="1"/>
        <v>2.0444746133716158</v>
      </c>
      <c r="X15" s="1267">
        <f t="shared" si="1"/>
        <v>2.0585400797582709</v>
      </c>
      <c r="Y15" s="1267">
        <f t="shared" si="1"/>
        <v>0.17872453395734852</v>
      </c>
      <c r="Z15" s="1267">
        <f t="shared" si="1"/>
        <v>6.0559173451461348</v>
      </c>
      <c r="AA15" s="1267">
        <f t="shared" si="1"/>
        <v>13.051458504195645</v>
      </c>
      <c r="AB15" s="1267">
        <f t="shared" si="1"/>
        <v>5.8270526176980235</v>
      </c>
      <c r="AC15" s="1268">
        <f t="shared" si="1"/>
        <v>1.3573411323781037</v>
      </c>
    </row>
    <row r="16" spans="5:29">
      <c r="P16" s="1262" t="s">
        <v>1353</v>
      </c>
      <c r="Q16" s="1263"/>
      <c r="R16" s="1263"/>
      <c r="S16" s="1263"/>
      <c r="T16" s="1269">
        <v>0.05</v>
      </c>
      <c r="U16" s="1269">
        <f>5/100</f>
        <v>0.05</v>
      </c>
      <c r="V16" s="1269">
        <f>5/100</f>
        <v>0.05</v>
      </c>
      <c r="W16" s="1269">
        <v>0.05</v>
      </c>
      <c r="X16" s="1269">
        <v>0.05</v>
      </c>
      <c r="Y16" s="1269">
        <f>5/100</f>
        <v>0.05</v>
      </c>
      <c r="Z16" s="1269">
        <f>5/100</f>
        <v>0.05</v>
      </c>
      <c r="AA16" s="1269">
        <f>5/100</f>
        <v>0.05</v>
      </c>
      <c r="AB16" s="1269">
        <f>5/100</f>
        <v>0.05</v>
      </c>
      <c r="AC16" s="1270">
        <v>0.05</v>
      </c>
    </row>
    <row r="17" spans="2:29">
      <c r="P17" s="1262" t="s">
        <v>1354</v>
      </c>
      <c r="Q17" s="1253"/>
      <c r="R17" s="1253"/>
      <c r="S17" s="1253"/>
      <c r="T17" s="1276">
        <v>25.527272727272727</v>
      </c>
      <c r="U17" s="1276">
        <v>2.0030000000000001</v>
      </c>
      <c r="V17" s="1276">
        <v>22.685142857142861</v>
      </c>
      <c r="W17" s="1276">
        <v>44.88</v>
      </c>
      <c r="X17" s="1276">
        <v>31.977</v>
      </c>
      <c r="Y17" s="1276">
        <v>1.9574999999999998</v>
      </c>
      <c r="Z17" s="1276">
        <v>24.650999999999996</v>
      </c>
      <c r="AA17" s="1276">
        <v>17.7012</v>
      </c>
      <c r="AB17" s="1276">
        <v>3.4815789473684209</v>
      </c>
      <c r="AC17" s="1277">
        <v>46.92</v>
      </c>
    </row>
    <row r="18" spans="2:29" ht="15" thickBot="1">
      <c r="P18" s="1264" t="s">
        <v>1355</v>
      </c>
      <c r="Q18" s="1257"/>
      <c r="R18" s="1257"/>
      <c r="S18" s="1257"/>
      <c r="T18" s="1282">
        <v>22.574819512214663</v>
      </c>
      <c r="U18" s="1282">
        <v>2.1703876755662388</v>
      </c>
      <c r="V18" s="1282">
        <v>20.404431836648424</v>
      </c>
      <c r="W18" s="1282">
        <v>48.088586217747448</v>
      </c>
      <c r="X18" s="1282">
        <v>29.683031844356396</v>
      </c>
      <c r="Y18" s="1282">
        <v>1.9988774632573729</v>
      </c>
      <c r="Z18" s="1282">
        <v>27.684154381099024</v>
      </c>
      <c r="AA18" s="1282">
        <v>14.503761228291145</v>
      </c>
      <c r="AB18" s="1282">
        <v>3.9017931450999077</v>
      </c>
      <c r="AC18" s="1283">
        <v>44.186793072647539</v>
      </c>
    </row>
    <row r="19" spans="2:29" ht="15" thickBot="1">
      <c r="P19" s="1393" t="s">
        <v>1357</v>
      </c>
      <c r="Q19" s="1397"/>
      <c r="R19" s="1397"/>
      <c r="S19" s="1397"/>
      <c r="T19" s="1397"/>
      <c r="U19" s="1397"/>
      <c r="V19" s="1397"/>
      <c r="W19" s="1397"/>
      <c r="X19" s="1397"/>
      <c r="Y19" s="1397"/>
      <c r="Z19" s="1397"/>
      <c r="AA19" s="1397"/>
      <c r="AB19" s="1397"/>
      <c r="AC19" s="1394"/>
    </row>
    <row r="20" spans="2:29">
      <c r="P20" s="1262" t="s">
        <v>1358</v>
      </c>
      <c r="Q20" s="1253"/>
      <c r="R20" s="1253"/>
      <c r="S20" s="1253"/>
      <c r="T20" s="1267">
        <f t="shared" ref="T20:AC20" si="2">(1/T21^2)*(1/T22^2)*(T22-T23)^2</f>
        <v>0.66251730997761271</v>
      </c>
      <c r="U20" s="1267">
        <f t="shared" si="2"/>
        <v>0.25309844163766054</v>
      </c>
      <c r="V20" s="1267">
        <f t="shared" si="2"/>
        <v>12.381080741767367</v>
      </c>
      <c r="W20" s="1267">
        <f t="shared" si="2"/>
        <v>122.33693037113521</v>
      </c>
      <c r="X20" s="1267">
        <f t="shared" si="2"/>
        <v>5.6916068886200399</v>
      </c>
      <c r="Y20" s="1267">
        <f t="shared" si="2"/>
        <v>8.6871341286218176</v>
      </c>
      <c r="Z20" s="1267">
        <f t="shared" si="2"/>
        <v>4.777701233549867</v>
      </c>
      <c r="AA20" s="1267">
        <f t="shared" si="2"/>
        <v>6.0352291842612205E-3</v>
      </c>
      <c r="AB20" s="1267">
        <f t="shared" si="2"/>
        <v>4.7092005950173936</v>
      </c>
      <c r="AC20" s="1268">
        <f t="shared" si="2"/>
        <v>34.292170329159063</v>
      </c>
    </row>
    <row r="21" spans="2:29">
      <c r="P21" s="1262" t="s">
        <v>1353</v>
      </c>
      <c r="Q21" s="1263"/>
      <c r="R21" s="1263"/>
      <c r="S21" s="1263"/>
      <c r="T21" s="1269">
        <f t="shared" ref="T21:X21" si="3">5/100</f>
        <v>0.05</v>
      </c>
      <c r="U21" s="1269">
        <f t="shared" si="3"/>
        <v>0.05</v>
      </c>
      <c r="V21" s="1269">
        <f t="shared" si="3"/>
        <v>0.05</v>
      </c>
      <c r="W21" s="1269">
        <f t="shared" si="3"/>
        <v>0.05</v>
      </c>
      <c r="X21" s="1269">
        <f t="shared" si="3"/>
        <v>0.05</v>
      </c>
      <c r="Y21" s="1269">
        <v>0.05</v>
      </c>
      <c r="Z21" s="1269">
        <f>5/100</f>
        <v>0.05</v>
      </c>
      <c r="AA21" s="1269">
        <f>5/100</f>
        <v>0.05</v>
      </c>
      <c r="AB21" s="1269">
        <v>0.05</v>
      </c>
      <c r="AC21" s="1270">
        <f>5/100</f>
        <v>0.05</v>
      </c>
    </row>
    <row r="22" spans="2:29">
      <c r="P22" s="1262" t="s">
        <v>1354</v>
      </c>
      <c r="Q22" s="1253"/>
      <c r="R22" s="1253"/>
      <c r="S22" s="1253"/>
      <c r="T22" s="1276">
        <v>3.7</v>
      </c>
      <c r="U22" s="1276">
        <v>23.77</v>
      </c>
      <c r="V22" s="1276">
        <v>1.62</v>
      </c>
      <c r="W22" s="1276">
        <v>1.6</v>
      </c>
      <c r="X22" s="1276">
        <v>0.7</v>
      </c>
      <c r="Y22" s="1276">
        <v>9.4499999999999993</v>
      </c>
      <c r="Z22" s="1276">
        <v>0.28999999999999998</v>
      </c>
      <c r="AA22" s="1276">
        <v>0.13</v>
      </c>
      <c r="AB22" s="1276">
        <v>2.14</v>
      </c>
      <c r="AC22" s="1277">
        <v>0.44</v>
      </c>
    </row>
    <row r="23" spans="2:29">
      <c r="P23" s="1262" t="s">
        <v>1355</v>
      </c>
      <c r="Q23" s="1253"/>
      <c r="R23" s="1253"/>
      <c r="S23" s="1253"/>
      <c r="T23" s="1282">
        <v>3.5494189423135043</v>
      </c>
      <c r="U23" s="1282">
        <v>24.367921158045053</v>
      </c>
      <c r="V23" s="1282">
        <v>1.334987244589412</v>
      </c>
      <c r="W23" s="1282">
        <v>0.71515179020621533</v>
      </c>
      <c r="X23" s="1282">
        <v>0.78349981100912469</v>
      </c>
      <c r="Y23" s="1282">
        <v>8.0573561155833389</v>
      </c>
      <c r="Z23" s="1282">
        <v>0.25830596768547964</v>
      </c>
      <c r="AA23" s="1282">
        <v>0.12949503620621372</v>
      </c>
      <c r="AB23" s="1282">
        <v>2.3721974108648807</v>
      </c>
      <c r="AC23" s="1283">
        <v>0.56883093743085544</v>
      </c>
    </row>
    <row r="24" spans="2:29">
      <c r="P24" s="1262" t="s">
        <v>1407</v>
      </c>
      <c r="Q24" s="1253"/>
      <c r="R24" s="1253"/>
      <c r="S24" s="1253"/>
      <c r="T24" s="1276">
        <f t="shared" ref="T24:AC24" si="4">T22*T17/100</f>
        <v>0.94450909090909096</v>
      </c>
      <c r="U24" s="1276">
        <f t="shared" si="4"/>
        <v>0.47611310000000001</v>
      </c>
      <c r="V24" s="1276">
        <f t="shared" si="4"/>
        <v>0.36749931428571436</v>
      </c>
      <c r="W24" s="1276">
        <f t="shared" si="4"/>
        <v>0.71808000000000005</v>
      </c>
      <c r="X24" s="1276">
        <f t="shared" si="4"/>
        <v>0.22383900000000001</v>
      </c>
      <c r="Y24" s="1276">
        <f t="shared" si="4"/>
        <v>0.18498374999999995</v>
      </c>
      <c r="Z24" s="1276">
        <f t="shared" si="4"/>
        <v>7.1487899999999979E-2</v>
      </c>
      <c r="AA24" s="1276">
        <f t="shared" si="4"/>
        <v>2.301156E-2</v>
      </c>
      <c r="AB24" s="1276">
        <f t="shared" si="4"/>
        <v>7.4505789473684206E-2</v>
      </c>
      <c r="AC24" s="1277">
        <f t="shared" si="4"/>
        <v>0.20644799999999999</v>
      </c>
    </row>
    <row r="25" spans="2:29" ht="15" thickBot="1">
      <c r="O25" s="110"/>
      <c r="P25" s="1262" t="s">
        <v>1408</v>
      </c>
      <c r="Q25" s="1257"/>
      <c r="R25" s="1257"/>
      <c r="S25" s="1257"/>
      <c r="T25" s="1282">
        <f t="shared" ref="T25:AC25" si="5">T23*T18/100</f>
        <v>0.80127491995963229</v>
      </c>
      <c r="U25" s="1282">
        <f t="shared" si="5"/>
        <v>0.52887835760590773</v>
      </c>
      <c r="V25" s="1282">
        <f t="shared" si="5"/>
        <v>0.27239656235019755</v>
      </c>
      <c r="W25" s="1282">
        <f t="shared" si="5"/>
        <v>0.34390638522108019</v>
      </c>
      <c r="X25" s="1282">
        <f t="shared" si="5"/>
        <v>0.23256649840231067</v>
      </c>
      <c r="Y25" s="1282">
        <f t="shared" si="5"/>
        <v>0.16105667552878505</v>
      </c>
      <c r="Z25" s="1282">
        <f t="shared" si="5"/>
        <v>7.1509822869639944E-2</v>
      </c>
      <c r="AA25" s="1282">
        <f t="shared" si="5"/>
        <v>1.8781650853838407E-2</v>
      </c>
      <c r="AB25" s="1282">
        <f t="shared" si="5"/>
        <v>9.2558235965363417E-2</v>
      </c>
      <c r="AC25" s="1283">
        <f t="shared" si="5"/>
        <v>0.25134814925577331</v>
      </c>
    </row>
    <row r="26" spans="2:29" ht="15" thickBot="1">
      <c r="O26" s="110"/>
      <c r="P26" s="1393" t="s">
        <v>1359</v>
      </c>
      <c r="Q26" s="1397"/>
      <c r="R26" s="1397"/>
      <c r="S26" s="1397"/>
      <c r="T26" s="1397"/>
      <c r="U26" s="1397"/>
      <c r="V26" s="1397"/>
      <c r="W26" s="1397"/>
      <c r="X26" s="1397"/>
      <c r="Y26" s="1397"/>
      <c r="Z26" s="1397"/>
      <c r="AA26" s="1397"/>
      <c r="AB26" s="1397"/>
      <c r="AC26" s="1394"/>
    </row>
    <row r="27" spans="2:29">
      <c r="O27" s="110"/>
      <c r="P27" s="286" t="s">
        <v>1358</v>
      </c>
      <c r="Q27" s="1273"/>
      <c r="R27" s="1273"/>
      <c r="S27" s="1273"/>
      <c r="T27" s="1274">
        <f t="shared" ref="T27:AC27" si="6">(1/T28^2)*(1/T29^2)*(T29-T30)^2</f>
        <v>158.88331390477853</v>
      </c>
      <c r="U27" s="1274">
        <f t="shared" si="6"/>
        <v>2.2747355045912379</v>
      </c>
      <c r="V27" s="1274">
        <f t="shared" si="6"/>
        <v>11.340938116696801</v>
      </c>
      <c r="W27" s="1274">
        <f t="shared" si="6"/>
        <v>32.130476597806648</v>
      </c>
      <c r="X27" s="1274">
        <f t="shared" si="6"/>
        <v>4.1080238881867945</v>
      </c>
      <c r="Y27" s="1274">
        <f t="shared" si="6"/>
        <v>10.298413106403142</v>
      </c>
      <c r="Z27" s="1274">
        <f t="shared" si="6"/>
        <v>23.710628254288718</v>
      </c>
      <c r="AA27" s="1274">
        <f t="shared" si="6"/>
        <v>10.848108941042367</v>
      </c>
      <c r="AB27" s="1274">
        <f t="shared" si="6"/>
        <v>4.9954205746927389</v>
      </c>
      <c r="AC27" s="1275">
        <f t="shared" si="6"/>
        <v>41.896654084243565</v>
      </c>
    </row>
    <row r="28" spans="2:29">
      <c r="O28" s="110"/>
      <c r="P28" s="1262" t="s">
        <v>1353</v>
      </c>
      <c r="Q28" s="1263"/>
      <c r="R28" s="1263"/>
      <c r="S28" s="1263"/>
      <c r="T28" s="1269">
        <f t="shared" ref="T28:V28" si="7">5/100</f>
        <v>0.05</v>
      </c>
      <c r="U28" s="1269">
        <f t="shared" si="7"/>
        <v>0.05</v>
      </c>
      <c r="V28" s="1269">
        <f t="shared" si="7"/>
        <v>0.05</v>
      </c>
      <c r="W28" s="1269">
        <v>0.05</v>
      </c>
      <c r="X28" s="1269">
        <f t="shared" ref="X28:AC28" si="8">5/100</f>
        <v>0.05</v>
      </c>
      <c r="Y28" s="1269">
        <f t="shared" si="8"/>
        <v>0.05</v>
      </c>
      <c r="Z28" s="1269">
        <f t="shared" si="8"/>
        <v>0.05</v>
      </c>
      <c r="AA28" s="1269">
        <f t="shared" si="8"/>
        <v>0.05</v>
      </c>
      <c r="AB28" s="1269">
        <f t="shared" si="8"/>
        <v>0.05</v>
      </c>
      <c r="AC28" s="1270">
        <f t="shared" si="8"/>
        <v>0.05</v>
      </c>
    </row>
    <row r="29" spans="2:29">
      <c r="O29" s="110"/>
      <c r="P29" s="1262" t="s">
        <v>1354</v>
      </c>
      <c r="Q29" s="1253"/>
      <c r="R29" s="1253"/>
      <c r="S29" s="1253"/>
      <c r="T29" s="1276">
        <v>13.5</v>
      </c>
      <c r="U29" s="1276">
        <v>16.8</v>
      </c>
      <c r="V29" s="1276">
        <v>4.33</v>
      </c>
      <c r="W29" s="1276">
        <v>4.3</v>
      </c>
      <c r="X29" s="1276">
        <v>3.67</v>
      </c>
      <c r="Y29" s="1276">
        <v>10</v>
      </c>
      <c r="Z29" s="1276">
        <v>2.17</v>
      </c>
      <c r="AA29" s="1276">
        <v>1.6</v>
      </c>
      <c r="AB29" s="1276">
        <v>5.36</v>
      </c>
      <c r="AC29" s="1277">
        <v>4.18</v>
      </c>
    </row>
    <row r="30" spans="2:29">
      <c r="O30" s="110"/>
      <c r="P30" s="1262" t="s">
        <v>1355</v>
      </c>
      <c r="Q30" s="1253"/>
      <c r="R30" s="1253"/>
      <c r="S30" s="1253"/>
      <c r="T30" s="1282">
        <v>4.9916975901261758</v>
      </c>
      <c r="U30" s="1282">
        <v>18.066907010020696</v>
      </c>
      <c r="V30" s="1282">
        <v>3.6009079024976738</v>
      </c>
      <c r="W30" s="1282">
        <v>3.0812993473647383</v>
      </c>
      <c r="X30" s="1282">
        <v>3.2980774175060112</v>
      </c>
      <c r="Y30" s="1282">
        <v>11.604557034386994</v>
      </c>
      <c r="Z30" s="1282">
        <v>2.6983251304514582</v>
      </c>
      <c r="AA30" s="1282">
        <v>1.8634917403310229</v>
      </c>
      <c r="AB30" s="1282">
        <v>5.958991725616249</v>
      </c>
      <c r="AC30" s="1283">
        <v>2.8271926422975651</v>
      </c>
    </row>
    <row r="31" spans="2:29">
      <c r="B31" s="1463" t="s">
        <v>1397</v>
      </c>
      <c r="C31" s="1463"/>
      <c r="D31" s="1463"/>
      <c r="E31" s="1463"/>
      <c r="F31" s="1463"/>
      <c r="G31" s="1463"/>
      <c r="H31" s="1463"/>
      <c r="I31" s="1463"/>
      <c r="J31" s="1463"/>
      <c r="K31" s="1463"/>
      <c r="L31" s="1463"/>
      <c r="M31" s="1463"/>
      <c r="O31" s="110"/>
      <c r="P31" s="1262" t="s">
        <v>1409</v>
      </c>
      <c r="Q31" s="1253"/>
      <c r="R31" s="1253"/>
      <c r="S31" s="1253"/>
      <c r="T31" s="1276">
        <f t="shared" ref="T31:AC31" si="9">T29*T17/100</f>
        <v>3.4461818181818185</v>
      </c>
      <c r="U31" s="1276">
        <f t="shared" si="9"/>
        <v>0.33650400000000003</v>
      </c>
      <c r="V31" s="1276">
        <f t="shared" si="9"/>
        <v>0.98226668571428588</v>
      </c>
      <c r="W31" s="1276">
        <f t="shared" si="9"/>
        <v>1.92984</v>
      </c>
      <c r="X31" s="1276">
        <f t="shared" si="9"/>
        <v>1.1735559</v>
      </c>
      <c r="Y31" s="1276">
        <f t="shared" si="9"/>
        <v>0.19574999999999998</v>
      </c>
      <c r="Z31" s="1276">
        <f t="shared" si="9"/>
        <v>0.53492669999999987</v>
      </c>
      <c r="AA31" s="1276">
        <f t="shared" si="9"/>
        <v>0.2832192</v>
      </c>
      <c r="AB31" s="1276">
        <f t="shared" si="9"/>
        <v>0.18661263157894736</v>
      </c>
      <c r="AC31" s="1277">
        <f t="shared" si="9"/>
        <v>1.9612559999999999</v>
      </c>
    </row>
    <row r="32" spans="2:29" ht="15" thickBot="1">
      <c r="B32" s="1246" t="s">
        <v>26</v>
      </c>
      <c r="C32" s="1246" t="s">
        <v>1086</v>
      </c>
      <c r="D32" s="1246" t="s">
        <v>867</v>
      </c>
      <c r="E32" s="1246" t="s">
        <v>868</v>
      </c>
      <c r="F32" s="1246" t="s">
        <v>1171</v>
      </c>
      <c r="G32" s="1246" t="s">
        <v>310</v>
      </c>
      <c r="H32" s="1246" t="s">
        <v>882</v>
      </c>
      <c r="I32" s="1246" t="s">
        <v>865</v>
      </c>
      <c r="J32" s="1246" t="s">
        <v>865</v>
      </c>
      <c r="K32" s="1246" t="s">
        <v>866</v>
      </c>
      <c r="L32" s="1246" t="s">
        <v>874</v>
      </c>
      <c r="M32" s="1246" t="s">
        <v>873</v>
      </c>
      <c r="O32" s="110"/>
      <c r="P32" s="1264" t="s">
        <v>1410</v>
      </c>
      <c r="Q32" s="1257"/>
      <c r="R32" s="1257"/>
      <c r="S32" s="1257"/>
      <c r="T32" s="1284">
        <f t="shared" ref="T32:AC32" si="10">T30*T18/100</f>
        <v>1.1268667215665531</v>
      </c>
      <c r="U32" s="1284">
        <f t="shared" si="10"/>
        <v>0.39212192310150201</v>
      </c>
      <c r="V32" s="1284">
        <f t="shared" si="10"/>
        <v>0.73474479846562435</v>
      </c>
      <c r="W32" s="1284">
        <f t="shared" si="10"/>
        <v>1.4817532932843815</v>
      </c>
      <c r="X32" s="1284">
        <f t="shared" si="10"/>
        <v>0.97896937008983642</v>
      </c>
      <c r="Y32" s="1284">
        <f t="shared" si="10"/>
        <v>0.23196087527120976</v>
      </c>
      <c r="Z32" s="1284">
        <f t="shared" si="10"/>
        <v>0.74700849481817333</v>
      </c>
      <c r="AA32" s="1284">
        <f t="shared" si="10"/>
        <v>0.27027639252653879</v>
      </c>
      <c r="AB32" s="1284">
        <f t="shared" si="10"/>
        <v>0.23250753066716551</v>
      </c>
      <c r="AC32" s="1285">
        <f t="shared" si="10"/>
        <v>1.2492457626171414</v>
      </c>
    </row>
    <row r="33" spans="2:29" ht="15" thickBot="1">
      <c r="B33" s="928">
        <v>1</v>
      </c>
      <c r="C33" s="757" t="s">
        <v>844</v>
      </c>
      <c r="D33" s="757"/>
      <c r="E33" s="757"/>
      <c r="F33" s="757"/>
      <c r="G33" s="940"/>
      <c r="H33" s="940"/>
      <c r="I33" s="940"/>
      <c r="J33" s="757"/>
      <c r="K33" s="941"/>
      <c r="L33" s="928"/>
      <c r="M33" s="928"/>
      <c r="O33" s="110"/>
      <c r="P33" s="1265" t="s">
        <v>1360</v>
      </c>
      <c r="Q33" s="1266">
        <f>SUM(T15:AC15,T20:AC20,T27:AC27)</f>
        <v>537.04508295002233</v>
      </c>
      <c r="R33" s="1253"/>
      <c r="S33" s="1253"/>
      <c r="T33" s="1253"/>
      <c r="U33" s="1253"/>
      <c r="V33" s="1253"/>
      <c r="W33" s="1253"/>
      <c r="X33" s="1253"/>
      <c r="Y33" s="1253"/>
      <c r="Z33" s="1253"/>
      <c r="AA33" s="1253"/>
      <c r="AB33" s="1253"/>
      <c r="AC33" s="1254"/>
    </row>
    <row r="34" spans="2:29" ht="15" thickBot="1">
      <c r="B34" s="928">
        <v>2</v>
      </c>
      <c r="C34" s="757" t="s">
        <v>845</v>
      </c>
      <c r="D34" s="757"/>
      <c r="E34" s="757"/>
      <c r="F34" s="757"/>
      <c r="G34" s="940"/>
      <c r="H34" s="940"/>
      <c r="I34" s="940"/>
      <c r="J34" s="757"/>
      <c r="K34" s="941"/>
      <c r="L34" s="928"/>
      <c r="M34" s="928"/>
      <c r="O34" s="110"/>
      <c r="P34" s="1252"/>
      <c r="Q34" s="1253"/>
      <c r="R34" s="1253"/>
      <c r="S34" s="1253"/>
      <c r="T34" s="1253"/>
      <c r="U34" s="846" t="s">
        <v>1417</v>
      </c>
      <c r="V34" s="1253"/>
      <c r="W34" s="846" t="s">
        <v>1424</v>
      </c>
      <c r="X34" s="846" t="s">
        <v>264</v>
      </c>
      <c r="Y34" s="1245" t="s">
        <v>1418</v>
      </c>
      <c r="Z34" s="1253"/>
      <c r="AA34" s="846" t="s">
        <v>1183</v>
      </c>
      <c r="AB34" s="1253"/>
      <c r="AC34" s="1254"/>
    </row>
    <row r="35" spans="2:29" ht="15" thickBot="1">
      <c r="B35" s="928">
        <v>3</v>
      </c>
      <c r="C35" s="757" t="s">
        <v>846</v>
      </c>
      <c r="D35" s="757"/>
      <c r="E35" s="757"/>
      <c r="F35" s="757"/>
      <c r="G35" s="940"/>
      <c r="H35" s="940"/>
      <c r="I35" s="940"/>
      <c r="J35" s="757"/>
      <c r="K35" s="941"/>
      <c r="L35" s="928"/>
      <c r="M35" s="928"/>
      <c r="P35" s="280"/>
      <c r="Q35" s="281" t="s">
        <v>1361</v>
      </c>
      <c r="R35" s="281" t="s">
        <v>1362</v>
      </c>
      <c r="S35" s="282" t="s">
        <v>1363</v>
      </c>
      <c r="T35" s="846" t="s">
        <v>1056</v>
      </c>
      <c r="U35" s="1483">
        <f>U23</f>
        <v>24.367921158045053</v>
      </c>
      <c r="V35" s="1253"/>
      <c r="W35" s="1483">
        <f>AB23</f>
        <v>2.3721974108648807</v>
      </c>
      <c r="X35" s="1483">
        <f>X23</f>
        <v>0.78349981100912469</v>
      </c>
      <c r="Y35" s="1268">
        <f>Y23</f>
        <v>8.0573561155833389</v>
      </c>
      <c r="Z35" s="1253"/>
      <c r="AA35" s="1483">
        <f>SUM(U25,Y25,AB25)/SUM(U18,Y18,AB18)*100</f>
        <v>9.6950516471759247</v>
      </c>
      <c r="AB35" s="1253"/>
      <c r="AC35" s="1254"/>
    </row>
    <row r="36" spans="2:29">
      <c r="B36" s="928">
        <v>4</v>
      </c>
      <c r="C36" s="757" t="s">
        <v>830</v>
      </c>
      <c r="D36" s="1239">
        <v>2131.1999999999998</v>
      </c>
      <c r="E36" s="1239">
        <v>390</v>
      </c>
      <c r="F36" s="757">
        <f t="shared" ref="F36:F45" si="11">D36-E36</f>
        <v>1741.1999999999998</v>
      </c>
      <c r="G36" s="1064">
        <f t="shared" ref="G36:G45" si="12">+E36/D36*100</f>
        <v>18.29954954954955</v>
      </c>
      <c r="H36" s="1281">
        <v>0</v>
      </c>
      <c r="I36" s="1281">
        <v>55</v>
      </c>
      <c r="J36" s="757">
        <f t="shared" ref="J36:J45" si="13">+H36*60+I36</f>
        <v>55</v>
      </c>
      <c r="K36" s="895">
        <f t="shared" ref="K36:K45" si="14">+(E36/1000)/(J36/3600)</f>
        <v>25.527272727272727</v>
      </c>
      <c r="L36" s="1280">
        <v>3.7</v>
      </c>
      <c r="M36" s="1280">
        <v>13.5</v>
      </c>
      <c r="N36" s="4">
        <v>25.527272727272727</v>
      </c>
      <c r="P36" s="1251" t="s">
        <v>847</v>
      </c>
      <c r="Q36" s="1253"/>
      <c r="R36" s="1253"/>
      <c r="S36" s="1254"/>
      <c r="T36" s="847" t="s">
        <v>1096</v>
      </c>
      <c r="U36" s="1483">
        <f>U37*U38</f>
        <v>66.004606462979297</v>
      </c>
      <c r="V36" s="1253"/>
      <c r="W36" s="1483">
        <f>W37*W38</f>
        <v>26.913788153675121</v>
      </c>
      <c r="X36" s="1483">
        <f>X37*X38</f>
        <v>92.52763511126939</v>
      </c>
      <c r="Y36" s="1268">
        <f>Y37*Y38</f>
        <v>69.251881348007984</v>
      </c>
      <c r="Z36" s="1253"/>
      <c r="AA36" s="1487">
        <f>(Y25+U25+AB25)/T25*100</f>
        <v>97.656029111640947</v>
      </c>
      <c r="AB36" s="1253"/>
      <c r="AC36" s="1254"/>
    </row>
    <row r="37" spans="2:29">
      <c r="B37" s="928">
        <v>5</v>
      </c>
      <c r="C37" s="757" t="s">
        <v>831</v>
      </c>
      <c r="D37" s="1239">
        <v>756.4</v>
      </c>
      <c r="E37" s="1239">
        <v>200.3</v>
      </c>
      <c r="F37" s="757">
        <f t="shared" si="11"/>
        <v>556.09999999999991</v>
      </c>
      <c r="G37" s="1064">
        <f t="shared" si="12"/>
        <v>26.480698043363304</v>
      </c>
      <c r="H37" s="1281">
        <v>6</v>
      </c>
      <c r="I37" s="1281">
        <v>0</v>
      </c>
      <c r="J37" s="757">
        <f t="shared" si="13"/>
        <v>360</v>
      </c>
      <c r="K37" s="895">
        <f t="shared" si="14"/>
        <v>2.0030000000000001</v>
      </c>
      <c r="L37" s="1280">
        <v>23.77</v>
      </c>
      <c r="M37" s="1280">
        <v>16.8</v>
      </c>
      <c r="N37" s="4">
        <v>2.0030000000000001</v>
      </c>
      <c r="P37" s="1251" t="s">
        <v>849</v>
      </c>
      <c r="Q37" s="1253"/>
      <c r="R37" s="1253"/>
      <c r="S37" s="1254"/>
      <c r="T37" s="847" t="s">
        <v>1178</v>
      </c>
      <c r="U37" s="1483">
        <f>U18/T18*100</f>
        <v>9.6141972448191524</v>
      </c>
      <c r="V37" s="1253"/>
      <c r="W37" s="1483">
        <f>AB18/W18*100</f>
        <v>8.1137613974185054</v>
      </c>
      <c r="X37" s="1483">
        <f>X18/AC18*100</f>
        <v>67.176252858075713</v>
      </c>
      <c r="Y37" s="1268">
        <f>Y18/X18*100</f>
        <v>6.7340744494650311</v>
      </c>
      <c r="Z37" s="1253"/>
      <c r="AA37" s="1483">
        <f>(U18+Y18+AB18)/T18*100</f>
        <v>35.752482005698759</v>
      </c>
      <c r="AB37" s="1253"/>
      <c r="AC37" s="1254"/>
    </row>
    <row r="38" spans="2:29" ht="15" thickBot="1">
      <c r="B38" s="928">
        <v>6</v>
      </c>
      <c r="C38" s="757" t="s">
        <v>832</v>
      </c>
      <c r="D38" s="1239">
        <v>2532.3000000000002</v>
      </c>
      <c r="E38" s="1239">
        <v>441.1</v>
      </c>
      <c r="F38" s="757">
        <f t="shared" si="11"/>
        <v>2091.2000000000003</v>
      </c>
      <c r="G38" s="1064">
        <f t="shared" si="12"/>
        <v>17.418947202148242</v>
      </c>
      <c r="H38" s="1281">
        <v>1</v>
      </c>
      <c r="I38" s="1281">
        <v>10</v>
      </c>
      <c r="J38" s="757">
        <f t="shared" si="13"/>
        <v>70</v>
      </c>
      <c r="K38" s="895">
        <f t="shared" si="14"/>
        <v>22.685142857142861</v>
      </c>
      <c r="L38" s="1280">
        <v>1.62</v>
      </c>
      <c r="M38" s="1280">
        <v>4.33</v>
      </c>
      <c r="N38" s="4">
        <v>22.685142857142861</v>
      </c>
      <c r="P38" s="1251" t="s">
        <v>851</v>
      </c>
      <c r="Q38" s="1253">
        <f>SUMPRODUCT(T7:AC7,$T$18:$AC$18)</f>
        <v>0</v>
      </c>
      <c r="R38" s="1253">
        <f>SUMPRODUCT(T7:AC7,$T$25:$AC$25)</f>
        <v>3.5270120157804286E-12</v>
      </c>
      <c r="S38" s="1254">
        <f>SUMPRODUCT(T7:AC7,$T$32:$AC$32)</f>
        <v>-5.7331916991643084E-13</v>
      </c>
      <c r="T38" s="706" t="s">
        <v>753</v>
      </c>
      <c r="U38" s="1485">
        <f>U23/T23</f>
        <v>6.865326847600044</v>
      </c>
      <c r="V38" s="1253"/>
      <c r="W38" s="1485">
        <f>AB23/W23</f>
        <v>3.3170544258595132</v>
      </c>
      <c r="X38" s="1485">
        <f>X23/AC23</f>
        <v>1.3773860728247811</v>
      </c>
      <c r="Y38" s="1272">
        <f>Y23/X23</f>
        <v>10.283800968893281</v>
      </c>
      <c r="Z38" s="1253"/>
      <c r="AA38" s="1485">
        <f>AA35/T23</f>
        <v>2.7314475424692213</v>
      </c>
      <c r="AB38" s="1253"/>
      <c r="AC38" s="1254"/>
    </row>
    <row r="39" spans="2:29">
      <c r="B39" s="928">
        <v>7</v>
      </c>
      <c r="C39" s="757" t="s">
        <v>833</v>
      </c>
      <c r="D39" s="1239">
        <v>3097.2</v>
      </c>
      <c r="E39" s="1239">
        <v>374</v>
      </c>
      <c r="F39" s="757">
        <f t="shared" si="11"/>
        <v>2723.2</v>
      </c>
      <c r="G39" s="1064">
        <f t="shared" si="12"/>
        <v>12.075422962675967</v>
      </c>
      <c r="H39" s="1281">
        <v>0</v>
      </c>
      <c r="I39" s="1281">
        <v>30</v>
      </c>
      <c r="J39" s="757">
        <f t="shared" si="13"/>
        <v>30</v>
      </c>
      <c r="K39" s="895">
        <f t="shared" si="14"/>
        <v>44.88</v>
      </c>
      <c r="L39" s="1280">
        <v>1.6</v>
      </c>
      <c r="M39" s="1280">
        <v>4.3</v>
      </c>
      <c r="N39" s="4">
        <v>44.88</v>
      </c>
      <c r="P39" s="1251" t="s">
        <v>853</v>
      </c>
      <c r="Q39" s="1253">
        <f>SUMPRODUCT(T8:AC8,$T$18:$AC$18)</f>
        <v>0</v>
      </c>
      <c r="R39" s="1253">
        <f>SUMPRODUCT(T8:AC8,$T$25:$AC$25)</f>
        <v>-1.2427003870385533E-12</v>
      </c>
      <c r="S39" s="1254">
        <f>SUMPRODUCT(T8:AC8,$T$32:$AC$32)</f>
        <v>-5.8386628865036982E-13</v>
      </c>
      <c r="T39" s="1253"/>
      <c r="U39" s="1253"/>
      <c r="V39" s="1253"/>
      <c r="W39" s="1253"/>
      <c r="X39" s="1253"/>
      <c r="Y39" s="1253"/>
      <c r="Z39" s="1253"/>
      <c r="AA39" s="1253"/>
      <c r="AB39" s="1253"/>
      <c r="AC39" s="1254"/>
    </row>
    <row r="40" spans="2:29">
      <c r="B40" s="928">
        <v>8</v>
      </c>
      <c r="C40" s="757" t="s">
        <v>834</v>
      </c>
      <c r="D40" s="1239">
        <v>2301.5</v>
      </c>
      <c r="E40" s="1239">
        <v>355.3</v>
      </c>
      <c r="F40" s="757">
        <f t="shared" si="11"/>
        <v>1946.2</v>
      </c>
      <c r="G40" s="1064">
        <f t="shared" si="12"/>
        <v>15.437757983923529</v>
      </c>
      <c r="H40" s="1281">
        <v>0</v>
      </c>
      <c r="I40" s="1281">
        <v>40</v>
      </c>
      <c r="J40" s="757">
        <f t="shared" si="13"/>
        <v>40</v>
      </c>
      <c r="K40" s="895">
        <f t="shared" si="14"/>
        <v>31.977</v>
      </c>
      <c r="L40" s="1280">
        <v>0.7</v>
      </c>
      <c r="M40" s="1280">
        <v>3.67</v>
      </c>
      <c r="N40" s="4">
        <v>31.977</v>
      </c>
      <c r="P40" s="1251" t="s">
        <v>854</v>
      </c>
      <c r="Q40" s="1253">
        <f>SUMPRODUCT(T9:AC9,$T$18:$AC$18)</f>
        <v>0</v>
      </c>
      <c r="R40" s="1253">
        <f>SUMPRODUCT(T9:AC9,$T$25:$AC$25)</f>
        <v>-5.6510351953420468E-14</v>
      </c>
      <c r="S40" s="1254">
        <f>SUMPRODUCT(T9:AC9,$T$32:$AC$32)</f>
        <v>7.460698725481052E-14</v>
      </c>
      <c r="T40" s="1253"/>
      <c r="U40" s="1253"/>
      <c r="V40" s="1253"/>
      <c r="W40" s="1253"/>
      <c r="X40" s="1253"/>
      <c r="Y40" s="1253"/>
      <c r="Z40" s="1253"/>
      <c r="AA40" s="1253"/>
      <c r="AB40" s="1253"/>
      <c r="AC40" s="1254"/>
    </row>
    <row r="41" spans="2:29">
      <c r="B41" s="928">
        <v>9</v>
      </c>
      <c r="C41" s="757" t="s">
        <v>835</v>
      </c>
      <c r="D41" s="1239">
        <v>906.2</v>
      </c>
      <c r="E41" s="1239">
        <v>174</v>
      </c>
      <c r="F41" s="757">
        <f t="shared" si="11"/>
        <v>732.2</v>
      </c>
      <c r="G41" s="1064">
        <f t="shared" si="12"/>
        <v>19.201059368792762</v>
      </c>
      <c r="H41" s="1281">
        <v>5</v>
      </c>
      <c r="I41" s="1281">
        <v>20</v>
      </c>
      <c r="J41" s="757">
        <f t="shared" si="13"/>
        <v>320</v>
      </c>
      <c r="K41" s="895">
        <f t="shared" si="14"/>
        <v>1.9574999999999998</v>
      </c>
      <c r="L41" s="1280">
        <v>9.4499999999999993</v>
      </c>
      <c r="M41" s="1280">
        <v>10</v>
      </c>
      <c r="N41" s="4">
        <v>1.9574999999999998</v>
      </c>
      <c r="P41" s="1251" t="s">
        <v>855</v>
      </c>
      <c r="Q41" s="1253">
        <f>SUMPRODUCT(T10:AC10,$T$18:$AC$18)</f>
        <v>0</v>
      </c>
      <c r="R41" s="1253">
        <f>SUMPRODUCT(T10:AC10,$T$25:$AC$25)</f>
        <v>-3.7575498268438423E-13</v>
      </c>
      <c r="S41" s="1254">
        <f>SUMPRODUCT(T10:AC10,$T$32:$AC$32)</f>
        <v>7.6627593159628304E-13</v>
      </c>
      <c r="T41" s="1253"/>
      <c r="U41" s="1253"/>
      <c r="V41" s="1253"/>
      <c r="W41" s="1253"/>
      <c r="X41" s="1253"/>
      <c r="Y41" s="1253"/>
      <c r="Z41" s="1253"/>
      <c r="AA41" s="1253"/>
      <c r="AB41" s="1253"/>
      <c r="AC41" s="1254"/>
    </row>
    <row r="42" spans="2:29">
      <c r="B42" s="928">
        <v>10</v>
      </c>
      <c r="C42" s="757" t="s">
        <v>836</v>
      </c>
      <c r="D42" s="1239">
        <v>2960.9</v>
      </c>
      <c r="E42" s="1239">
        <v>273.89999999999998</v>
      </c>
      <c r="F42" s="757">
        <f t="shared" si="11"/>
        <v>2687</v>
      </c>
      <c r="G42" s="1064">
        <f t="shared" si="12"/>
        <v>9.2505657063730613</v>
      </c>
      <c r="H42" s="1281">
        <v>0</v>
      </c>
      <c r="I42" s="1281">
        <v>40</v>
      </c>
      <c r="J42" s="757">
        <f t="shared" si="13"/>
        <v>40</v>
      </c>
      <c r="K42" s="895">
        <f t="shared" si="14"/>
        <v>24.650999999999996</v>
      </c>
      <c r="L42" s="1280">
        <v>0.28999999999999998</v>
      </c>
      <c r="M42" s="1280">
        <v>2.17</v>
      </c>
      <c r="N42" s="4">
        <v>24.650999999999996</v>
      </c>
      <c r="P42" s="1251" t="s">
        <v>856</v>
      </c>
      <c r="Q42" s="1253">
        <f>SUMPRODUCT(T11:AC11,$T$18:$AC$18)</f>
        <v>0</v>
      </c>
      <c r="R42" s="1253">
        <f>SUMPRODUCT(T11:AC11,$T$25:$AC$25)</f>
        <v>3.8856695638855854E-12</v>
      </c>
      <c r="S42" s="1254">
        <f>SUMPRODUCT(T11:AC11,$T$32:$AC$32)</f>
        <v>4.5330406095445142E-13</v>
      </c>
      <c r="T42" s="1253"/>
      <c r="U42" s="1253"/>
      <c r="V42" s="1253"/>
      <c r="W42" s="1253"/>
      <c r="X42" s="1253"/>
      <c r="Y42" s="1253"/>
      <c r="Z42" s="1253"/>
      <c r="AA42" s="1253"/>
      <c r="AB42" s="1253"/>
      <c r="AC42" s="1254"/>
    </row>
    <row r="43" spans="2:29" ht="15" thickBot="1">
      <c r="B43" s="928">
        <v>11</v>
      </c>
      <c r="C43" s="757" t="s">
        <v>837</v>
      </c>
      <c r="D43" s="1239">
        <v>4135.2</v>
      </c>
      <c r="E43" s="1239">
        <v>491.7</v>
      </c>
      <c r="F43" s="757">
        <f t="shared" si="11"/>
        <v>3643.5</v>
      </c>
      <c r="G43" s="1064">
        <f t="shared" si="12"/>
        <v>11.8905977945444</v>
      </c>
      <c r="H43" s="1281">
        <v>1</v>
      </c>
      <c r="I43" s="1281">
        <v>40</v>
      </c>
      <c r="J43" s="757">
        <f t="shared" si="13"/>
        <v>100</v>
      </c>
      <c r="K43" s="895">
        <f t="shared" si="14"/>
        <v>17.7012</v>
      </c>
      <c r="L43" s="1280">
        <v>0.13</v>
      </c>
      <c r="M43" s="1280">
        <v>1.6</v>
      </c>
      <c r="N43" s="4">
        <v>17.7012</v>
      </c>
      <c r="P43" s="1255" t="s">
        <v>861</v>
      </c>
      <c r="Q43" s="1257"/>
      <c r="R43" s="1257"/>
      <c r="S43" s="1258"/>
      <c r="T43" s="1257"/>
      <c r="U43" s="1257"/>
      <c r="V43" s="1257"/>
      <c r="W43" s="1257"/>
      <c r="X43" s="1257"/>
      <c r="Y43" s="1257"/>
      <c r="Z43" s="1257"/>
      <c r="AA43" s="1257"/>
      <c r="AB43" s="1257"/>
      <c r="AC43" s="1258"/>
    </row>
    <row r="44" spans="2:29">
      <c r="B44" s="928">
        <v>12</v>
      </c>
      <c r="C44" s="757" t="s">
        <v>838</v>
      </c>
      <c r="D44" s="1239">
        <v>2026</v>
      </c>
      <c r="E44" s="1239">
        <v>367.5</v>
      </c>
      <c r="F44" s="757">
        <f t="shared" si="11"/>
        <v>1658.5</v>
      </c>
      <c r="G44" s="1064">
        <f t="shared" si="12"/>
        <v>18.139190523198419</v>
      </c>
      <c r="H44" s="1281">
        <v>6</v>
      </c>
      <c r="I44" s="1281">
        <v>20</v>
      </c>
      <c r="J44" s="757">
        <f t="shared" si="13"/>
        <v>380</v>
      </c>
      <c r="K44" s="895">
        <f t="shared" si="14"/>
        <v>3.4815789473684209</v>
      </c>
      <c r="L44" s="1280">
        <v>2.14</v>
      </c>
      <c r="M44" s="1280">
        <v>5.36</v>
      </c>
      <c r="N44" s="4">
        <v>3.4815789473684209</v>
      </c>
      <c r="P44" s="1462" t="s">
        <v>1411</v>
      </c>
      <c r="Q44" s="1462"/>
    </row>
    <row r="45" spans="2:29">
      <c r="B45" s="928">
        <v>13</v>
      </c>
      <c r="C45" s="757" t="s">
        <v>839</v>
      </c>
      <c r="D45" s="1239">
        <v>4078.9</v>
      </c>
      <c r="E45" s="1239">
        <v>586.5</v>
      </c>
      <c r="F45" s="757">
        <f t="shared" si="11"/>
        <v>3492.4</v>
      </c>
      <c r="G45" s="1064">
        <f t="shared" si="12"/>
        <v>14.378876657922479</v>
      </c>
      <c r="H45" s="1281">
        <v>0</v>
      </c>
      <c r="I45" s="1281">
        <v>45</v>
      </c>
      <c r="J45" s="757">
        <f t="shared" si="13"/>
        <v>45</v>
      </c>
      <c r="K45" s="895">
        <f t="shared" si="14"/>
        <v>46.92</v>
      </c>
      <c r="L45" s="1280">
        <v>0.44</v>
      </c>
      <c r="M45" s="1280">
        <v>4.18</v>
      </c>
      <c r="N45" s="4">
        <v>46.92</v>
      </c>
      <c r="P45" s="928" t="s">
        <v>33</v>
      </c>
      <c r="Q45" s="880">
        <f>SUMPRODUCT(T17:AC17,T12:AC12)/SUM(T17)*100</f>
        <v>1.5042491378017715</v>
      </c>
    </row>
    <row r="46" spans="2:29">
      <c r="P46" s="928" t="s">
        <v>1395</v>
      </c>
      <c r="Q46" s="880">
        <f>SUMPRODUCT(T24:AC24,T12:AC12)/SUM(T24)*100</f>
        <v>19.681641312365009</v>
      </c>
    </row>
    <row r="47" spans="2:29">
      <c r="P47" s="928" t="s">
        <v>1396</v>
      </c>
      <c r="Q47" s="880">
        <f>SUMPRODUCT(T31:AC31,T12:AC12)/SUM(T31)*100</f>
        <v>70.921852518285277</v>
      </c>
    </row>
    <row r="48" spans="2:29">
      <c r="B48" s="1246" t="s">
        <v>26</v>
      </c>
      <c r="C48" s="1246" t="s">
        <v>1086</v>
      </c>
      <c r="D48" s="1065" t="s">
        <v>867</v>
      </c>
      <c r="E48" s="1065" t="s">
        <v>868</v>
      </c>
      <c r="F48" s="1065" t="s">
        <v>1172</v>
      </c>
      <c r="G48" s="1065" t="s">
        <v>1173</v>
      </c>
      <c r="H48" s="1065" t="s">
        <v>1174</v>
      </c>
      <c r="I48" s="1065" t="s">
        <v>1413</v>
      </c>
      <c r="J48" s="1065" t="s">
        <v>882</v>
      </c>
      <c r="K48" s="1065" t="s">
        <v>865</v>
      </c>
      <c r="L48" s="1065" t="s">
        <v>865</v>
      </c>
      <c r="M48" s="1065" t="s">
        <v>866</v>
      </c>
      <c r="N48" s="1065" t="s">
        <v>1412</v>
      </c>
    </row>
    <row r="49" spans="2:42">
      <c r="B49" s="928">
        <v>1</v>
      </c>
      <c r="C49" s="757" t="s">
        <v>844</v>
      </c>
      <c r="D49" s="757"/>
      <c r="E49" s="757"/>
      <c r="F49" s="757"/>
      <c r="G49" s="757"/>
      <c r="H49" s="757"/>
      <c r="I49" s="940"/>
      <c r="J49" s="940"/>
      <c r="K49" s="940"/>
      <c r="L49" s="757"/>
      <c r="M49" s="941"/>
      <c r="N49" s="941"/>
    </row>
    <row r="50" spans="2:42">
      <c r="B50" s="928">
        <v>2</v>
      </c>
      <c r="C50" s="757" t="s">
        <v>845</v>
      </c>
      <c r="D50" s="757"/>
      <c r="E50" s="757"/>
      <c r="F50" s="757"/>
      <c r="G50" s="757"/>
      <c r="H50" s="757"/>
      <c r="I50" s="940"/>
      <c r="J50" s="940"/>
      <c r="K50" s="940"/>
      <c r="L50" s="757"/>
      <c r="M50" s="941"/>
      <c r="N50" s="941"/>
    </row>
    <row r="51" spans="2:42">
      <c r="B51" s="928">
        <v>3</v>
      </c>
      <c r="C51" s="757" t="s">
        <v>846</v>
      </c>
      <c r="D51" s="757"/>
      <c r="E51" s="757"/>
      <c r="F51" s="757"/>
      <c r="G51" s="757"/>
      <c r="H51" s="757"/>
      <c r="I51" s="940"/>
      <c r="J51" s="940"/>
      <c r="K51" s="940"/>
      <c r="L51" s="757"/>
      <c r="M51" s="941"/>
      <c r="N51" s="941"/>
    </row>
    <row r="52" spans="2:42">
      <c r="B52" s="928">
        <v>4</v>
      </c>
      <c r="C52" s="757" t="s">
        <v>830</v>
      </c>
      <c r="D52" s="1239">
        <v>2131.1999999999998</v>
      </c>
      <c r="E52" s="1239">
        <v>390</v>
      </c>
      <c r="F52" s="941">
        <f>(L52/3600)*N52*1000</f>
        <v>328.67320299496595</v>
      </c>
      <c r="G52" s="941">
        <f t="shared" ref="G52:G61" si="15">F52+F36</f>
        <v>2069.8732029949656</v>
      </c>
      <c r="H52" s="1278">
        <f t="shared" ref="H52:H61" si="16">(F52/G52)*100</f>
        <v>15.878905167688446</v>
      </c>
      <c r="I52" s="1064">
        <f t="shared" ref="I52:I61" si="17">+E52/D52*100</f>
        <v>18.29954954954955</v>
      </c>
      <c r="J52" s="1281">
        <v>0</v>
      </c>
      <c r="K52" s="1281">
        <v>55</v>
      </c>
      <c r="L52" s="757">
        <f t="shared" ref="L52:L61" si="18">+J52*60+K52</f>
        <v>55</v>
      </c>
      <c r="M52" s="941">
        <f t="shared" ref="M52:M61" si="19">+(F52/1000)/(L52/3600)</f>
        <v>21.513155105125044</v>
      </c>
      <c r="N52" s="1279">
        <v>21.513155105125044</v>
      </c>
    </row>
    <row r="53" spans="2:42">
      <c r="B53" s="928">
        <v>5</v>
      </c>
      <c r="C53" s="757" t="s">
        <v>831</v>
      </c>
      <c r="D53" s="1239">
        <v>756.4</v>
      </c>
      <c r="E53" s="1239">
        <v>200.3</v>
      </c>
      <c r="F53" s="941">
        <f t="shared" ref="F53:F61" si="20">(L53*N53*1000)/3600</f>
        <v>189.97638399502165</v>
      </c>
      <c r="G53" s="941">
        <f t="shared" si="15"/>
        <v>746.07638399502162</v>
      </c>
      <c r="H53" s="1278">
        <f t="shared" si="16"/>
        <v>25.463395983364794</v>
      </c>
      <c r="I53" s="1064">
        <f t="shared" si="17"/>
        <v>26.480698043363304</v>
      </c>
      <c r="J53" s="1281">
        <v>6</v>
      </c>
      <c r="K53" s="1281">
        <v>0</v>
      </c>
      <c r="L53" s="757">
        <f t="shared" si="18"/>
        <v>360</v>
      </c>
      <c r="M53" s="941">
        <f t="shared" si="19"/>
        <v>1.8997638399502164</v>
      </c>
      <c r="N53" s="1279">
        <v>1.8997638399502166</v>
      </c>
      <c r="AP53" s="4" t="s">
        <v>1351</v>
      </c>
    </row>
    <row r="54" spans="2:42">
      <c r="B54" s="928">
        <v>6</v>
      </c>
      <c r="C54" s="757" t="s">
        <v>832</v>
      </c>
      <c r="D54" s="1239">
        <v>2532.3000000000002</v>
      </c>
      <c r="E54" s="1239">
        <v>441.1</v>
      </c>
      <c r="F54" s="941">
        <f t="shared" si="20"/>
        <v>381.371496823901</v>
      </c>
      <c r="G54" s="941">
        <f t="shared" si="15"/>
        <v>2472.5714968239013</v>
      </c>
      <c r="H54" s="1278">
        <f t="shared" si="16"/>
        <v>15.424083684285172</v>
      </c>
      <c r="I54" s="1064">
        <f t="shared" si="17"/>
        <v>17.418947202148242</v>
      </c>
      <c r="J54" s="1281">
        <v>1</v>
      </c>
      <c r="K54" s="1281">
        <v>10</v>
      </c>
      <c r="L54" s="757">
        <f t="shared" si="18"/>
        <v>70</v>
      </c>
      <c r="M54" s="941">
        <f t="shared" si="19"/>
        <v>19.613391265229193</v>
      </c>
      <c r="N54" s="1279">
        <v>19.613391265229193</v>
      </c>
    </row>
    <row r="55" spans="2:42">
      <c r="B55" s="928">
        <v>7</v>
      </c>
      <c r="C55" s="757" t="s">
        <v>833</v>
      </c>
      <c r="D55" s="1239">
        <v>3097.2</v>
      </c>
      <c r="E55" s="1239">
        <v>374</v>
      </c>
      <c r="F55" s="941">
        <f t="shared" si="20"/>
        <v>305.68620063593926</v>
      </c>
      <c r="G55" s="941">
        <f t="shared" si="15"/>
        <v>3028.8862006359391</v>
      </c>
      <c r="H55" s="1278">
        <f>(F55/G55)*100</f>
        <v>10.092363343718823</v>
      </c>
      <c r="I55" s="1064">
        <f t="shared" si="17"/>
        <v>12.075422962675967</v>
      </c>
      <c r="J55" s="1281">
        <v>0</v>
      </c>
      <c r="K55" s="1281">
        <v>30</v>
      </c>
      <c r="L55" s="757">
        <f t="shared" si="18"/>
        <v>30</v>
      </c>
      <c r="M55" s="941">
        <f t="shared" si="19"/>
        <v>36.68234407631271</v>
      </c>
      <c r="N55" s="1279">
        <v>36.68234407631271</v>
      </c>
    </row>
    <row r="56" spans="2:42">
      <c r="B56" s="928">
        <v>8</v>
      </c>
      <c r="C56" s="757" t="s">
        <v>834</v>
      </c>
      <c r="D56" s="1239">
        <v>2301.5</v>
      </c>
      <c r="E56" s="1239">
        <v>355.3</v>
      </c>
      <c r="F56" s="941">
        <f t="shared" si="20"/>
        <v>194.74262235490329</v>
      </c>
      <c r="G56" s="941">
        <f t="shared" si="15"/>
        <v>2140.9426223549035</v>
      </c>
      <c r="H56" s="1278">
        <f t="shared" si="16"/>
        <v>9.0961159034098049</v>
      </c>
      <c r="I56" s="1064">
        <f t="shared" si="17"/>
        <v>15.437757983923529</v>
      </c>
      <c r="J56" s="1281">
        <v>0</v>
      </c>
      <c r="K56" s="1281">
        <v>40</v>
      </c>
      <c r="L56" s="757">
        <f t="shared" si="18"/>
        <v>40</v>
      </c>
      <c r="M56" s="941">
        <f t="shared" si="19"/>
        <v>17.526836011941295</v>
      </c>
      <c r="N56" s="1279">
        <v>17.526836011941295</v>
      </c>
    </row>
    <row r="57" spans="2:42">
      <c r="B57" s="928">
        <v>9</v>
      </c>
      <c r="C57" s="757" t="s">
        <v>835</v>
      </c>
      <c r="D57" s="1239">
        <v>906.2</v>
      </c>
      <c r="E57" s="1239">
        <v>174</v>
      </c>
      <c r="F57" s="941">
        <f t="shared" si="20"/>
        <v>40.700728964024833</v>
      </c>
      <c r="G57" s="941">
        <f t="shared" si="15"/>
        <v>772.90072896402489</v>
      </c>
      <c r="H57" s="1278">
        <f t="shared" si="16"/>
        <v>5.2659710928955894</v>
      </c>
      <c r="I57" s="1064">
        <f t="shared" si="17"/>
        <v>19.201059368792762</v>
      </c>
      <c r="J57" s="1281">
        <v>5</v>
      </c>
      <c r="K57" s="1281">
        <v>20</v>
      </c>
      <c r="L57" s="757">
        <f t="shared" si="18"/>
        <v>320</v>
      </c>
      <c r="M57" s="941">
        <f t="shared" si="19"/>
        <v>0.45788320084527934</v>
      </c>
      <c r="N57" s="1279">
        <v>0.45788320084527939</v>
      </c>
    </row>
    <row r="58" spans="2:42">
      <c r="B58" s="928">
        <v>10</v>
      </c>
      <c r="C58" s="757" t="s">
        <v>836</v>
      </c>
      <c r="D58" s="1239">
        <v>2960.9</v>
      </c>
      <c r="E58" s="1239">
        <v>273.89999999999998</v>
      </c>
      <c r="F58" s="941">
        <f t="shared" si="20"/>
        <v>189.65503123440718</v>
      </c>
      <c r="G58" s="941">
        <f t="shared" si="15"/>
        <v>2876.655031234407</v>
      </c>
      <c r="H58" s="1278">
        <f t="shared" si="16"/>
        <v>6.5929014489104016</v>
      </c>
      <c r="I58" s="1064">
        <f t="shared" si="17"/>
        <v>9.2505657063730613</v>
      </c>
      <c r="J58" s="1281">
        <v>0</v>
      </c>
      <c r="K58" s="1281">
        <v>40</v>
      </c>
      <c r="L58" s="757">
        <f t="shared" si="18"/>
        <v>40</v>
      </c>
      <c r="M58" s="941">
        <f t="shared" si="19"/>
        <v>17.068952811096644</v>
      </c>
      <c r="N58" s="1279">
        <v>17.068952811096647</v>
      </c>
    </row>
    <row r="59" spans="2:42">
      <c r="B59" s="928">
        <v>11</v>
      </c>
      <c r="C59" s="757" t="s">
        <v>837</v>
      </c>
      <c r="D59" s="1239">
        <v>4135.2</v>
      </c>
      <c r="E59" s="1239">
        <v>491.7</v>
      </c>
      <c r="F59" s="941">
        <f t="shared" si="20"/>
        <v>477.85284712295623</v>
      </c>
      <c r="G59" s="941">
        <f t="shared" si="15"/>
        <v>4121.3528471229565</v>
      </c>
      <c r="H59" s="1278">
        <f t="shared" si="16"/>
        <v>11.59456287409453</v>
      </c>
      <c r="I59" s="1064">
        <f t="shared" si="17"/>
        <v>11.8905977945444</v>
      </c>
      <c r="J59" s="1281">
        <v>1</v>
      </c>
      <c r="K59" s="1281">
        <v>40</v>
      </c>
      <c r="L59" s="757">
        <f t="shared" si="18"/>
        <v>100</v>
      </c>
      <c r="M59" s="941">
        <f t="shared" si="19"/>
        <v>17.202702496426426</v>
      </c>
      <c r="N59" s="1279">
        <v>17.202702496426426</v>
      </c>
    </row>
    <row r="60" spans="2:42">
      <c r="B60" s="928">
        <v>12</v>
      </c>
      <c r="C60" s="942" t="s">
        <v>838</v>
      </c>
      <c r="D60" s="1239">
        <v>2026</v>
      </c>
      <c r="E60" s="1239">
        <v>367.5</v>
      </c>
      <c r="F60" s="941">
        <f t="shared" si="20"/>
        <v>206.12947661089697</v>
      </c>
      <c r="G60" s="941">
        <f t="shared" si="15"/>
        <v>1864.629476610897</v>
      </c>
      <c r="H60" s="1278">
        <f t="shared" si="16"/>
        <v>11.054715116139462</v>
      </c>
      <c r="I60" s="1064">
        <f t="shared" si="17"/>
        <v>18.139190523198419</v>
      </c>
      <c r="J60" s="1281">
        <v>6</v>
      </c>
      <c r="K60" s="1281">
        <v>20</v>
      </c>
      <c r="L60" s="757">
        <f t="shared" si="18"/>
        <v>380</v>
      </c>
      <c r="M60" s="941">
        <f t="shared" si="19"/>
        <v>1.9528055678927083</v>
      </c>
      <c r="N60" s="1279">
        <v>1.9528055678927081</v>
      </c>
    </row>
    <row r="61" spans="2:42">
      <c r="B61" s="928">
        <v>13</v>
      </c>
      <c r="C61" s="757" t="s">
        <v>839</v>
      </c>
      <c r="D61" s="1239">
        <v>4078.9</v>
      </c>
      <c r="E61" s="1239">
        <v>586.5</v>
      </c>
      <c r="F61" s="941">
        <f t="shared" si="20"/>
        <v>434.11923135467089</v>
      </c>
      <c r="G61" s="941">
        <f t="shared" si="15"/>
        <v>3926.5192313546709</v>
      </c>
      <c r="H61" s="1278">
        <f t="shared" si="16"/>
        <v>11.056083155994052</v>
      </c>
      <c r="I61" s="1064">
        <f t="shared" si="17"/>
        <v>14.378876657922479</v>
      </c>
      <c r="J61" s="1281">
        <v>0</v>
      </c>
      <c r="K61" s="1281">
        <v>45</v>
      </c>
      <c r="L61" s="757">
        <f t="shared" si="18"/>
        <v>45</v>
      </c>
      <c r="M61" s="941">
        <f t="shared" si="19"/>
        <v>34.729538508373672</v>
      </c>
      <c r="N61" s="1279">
        <v>34.729538508373672</v>
      </c>
      <c r="AP61" s="4" t="s">
        <v>1356</v>
      </c>
    </row>
  </sheetData>
  <mergeCells count="7">
    <mergeCell ref="P44:Q44"/>
    <mergeCell ref="P2:AC2"/>
    <mergeCell ref="E3:F3"/>
    <mergeCell ref="P13:AC13"/>
    <mergeCell ref="P19:AC19"/>
    <mergeCell ref="P26:AC26"/>
    <mergeCell ref="B31:M31"/>
  </mergeCells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179C1-2CDD-41E8-AD60-C095DB173B6F}">
  <sheetPr>
    <tabColor theme="9" tint="0.39997558519241921"/>
  </sheetPr>
  <dimension ref="B2:AP61"/>
  <sheetViews>
    <sheetView topLeftCell="Q25" zoomScale="70" zoomScaleNormal="70" workbookViewId="0">
      <selection activeCell="W23" sqref="W23"/>
    </sheetView>
  </sheetViews>
  <sheetFormatPr baseColWidth="10" defaultColWidth="10.7265625" defaultRowHeight="14.5"/>
  <cols>
    <col min="1" max="1" width="10.7265625" style="4"/>
    <col min="2" max="2" width="2.90625" style="4" bestFit="1" customWidth="1"/>
    <col min="3" max="3" width="28.54296875" style="4" bestFit="1" customWidth="1"/>
    <col min="4" max="4" width="17.7265625" style="4" bestFit="1" customWidth="1"/>
    <col min="5" max="5" width="18" style="4" bestFit="1" customWidth="1"/>
    <col min="6" max="6" width="15.36328125" style="4" bestFit="1" customWidth="1"/>
    <col min="7" max="8" width="18" style="4" customWidth="1"/>
    <col min="9" max="9" width="12.26953125" style="4" bestFit="1" customWidth="1"/>
    <col min="10" max="10" width="10.7265625" style="4"/>
    <col min="11" max="11" width="17.08984375" style="4" bestFit="1" customWidth="1"/>
    <col min="12" max="12" width="8.7265625" style="4" bestFit="1" customWidth="1"/>
    <col min="13" max="13" width="17.08984375" style="4" bestFit="1" customWidth="1"/>
    <col min="14" max="14" width="14.6328125" style="4" bestFit="1" customWidth="1"/>
    <col min="15" max="15" width="10.7265625" style="4"/>
    <col min="16" max="16" width="15.81640625" style="4" bestFit="1" customWidth="1"/>
    <col min="17" max="19" width="12.54296875" style="4" bestFit="1" customWidth="1"/>
    <col min="20" max="26" width="11.81640625" style="4" bestFit="1" customWidth="1"/>
    <col min="27" max="27" width="11.90625" style="4" bestFit="1" customWidth="1"/>
    <col min="28" max="29" width="11.81640625" style="4" bestFit="1" customWidth="1"/>
    <col min="30" max="16384" width="10.7265625" style="4"/>
  </cols>
  <sheetData>
    <row r="2" spans="5:29">
      <c r="P2" s="1307" t="s">
        <v>1406</v>
      </c>
      <c r="Q2" s="1308"/>
      <c r="R2" s="1308"/>
      <c r="S2" s="1308"/>
      <c r="T2" s="1308"/>
      <c r="U2" s="1308"/>
      <c r="V2" s="1308"/>
      <c r="W2" s="1308"/>
      <c r="X2" s="1308"/>
      <c r="Y2" s="1308"/>
      <c r="Z2" s="1308"/>
      <c r="AA2" s="1308"/>
      <c r="AB2" s="1308"/>
      <c r="AC2" s="1308"/>
    </row>
    <row r="3" spans="5:29" ht="15" thickBot="1">
      <c r="E3" s="1396"/>
      <c r="F3" s="1396"/>
      <c r="P3" s="1247" t="s">
        <v>1350</v>
      </c>
      <c r="Q3" s="1247" t="s">
        <v>993</v>
      </c>
      <c r="R3" s="1247" t="s">
        <v>1398</v>
      </c>
      <c r="S3" s="1247" t="s">
        <v>23</v>
      </c>
      <c r="T3" s="1247" t="s">
        <v>1400</v>
      </c>
      <c r="U3" s="1247" t="s">
        <v>1401</v>
      </c>
      <c r="V3" s="1247" t="s">
        <v>1402</v>
      </c>
      <c r="W3" s="1247" t="s">
        <v>961</v>
      </c>
      <c r="X3" s="1247" t="s">
        <v>1399</v>
      </c>
      <c r="Y3" s="1247" t="s">
        <v>1403</v>
      </c>
      <c r="Z3" s="1247" t="s">
        <v>1404</v>
      </c>
      <c r="AA3" s="1247" t="s">
        <v>1405</v>
      </c>
      <c r="AB3" s="1247" t="s">
        <v>1136</v>
      </c>
      <c r="AC3" s="1247" t="s">
        <v>841</v>
      </c>
    </row>
    <row r="4" spans="5:29">
      <c r="P4" s="705" t="s">
        <v>809</v>
      </c>
      <c r="Q4" s="1248">
        <v>1</v>
      </c>
      <c r="R4" s="1249">
        <v>2</v>
      </c>
      <c r="S4" s="1249">
        <v>3</v>
      </c>
      <c r="T4" s="1249">
        <v>4</v>
      </c>
      <c r="U4" s="1249">
        <v>5</v>
      </c>
      <c r="V4" s="1249">
        <v>6</v>
      </c>
      <c r="W4" s="1249">
        <v>7</v>
      </c>
      <c r="X4" s="1249">
        <v>8</v>
      </c>
      <c r="Y4" s="1249">
        <v>9</v>
      </c>
      <c r="Z4" s="1249">
        <v>10</v>
      </c>
      <c r="AA4" s="1249">
        <v>11</v>
      </c>
      <c r="AB4" s="1249">
        <v>12</v>
      </c>
      <c r="AC4" s="1250">
        <v>13</v>
      </c>
    </row>
    <row r="5" spans="5:29">
      <c r="P5" s="1261" t="s">
        <v>847</v>
      </c>
      <c r="Q5" s="1252"/>
      <c r="R5" s="1253"/>
      <c r="S5" s="1253"/>
      <c r="T5" s="1253"/>
      <c r="U5" s="1253"/>
      <c r="V5" s="1253"/>
      <c r="W5" s="1253"/>
      <c r="X5" s="1253"/>
      <c r="Y5" s="1253"/>
      <c r="Z5" s="1253"/>
      <c r="AA5" s="1253"/>
      <c r="AB5" s="1253"/>
      <c r="AC5" s="1254"/>
    </row>
    <row r="6" spans="5:29">
      <c r="P6" s="1261" t="s">
        <v>849</v>
      </c>
      <c r="Q6" s="1252"/>
      <c r="R6" s="1253"/>
      <c r="S6" s="1253"/>
      <c r="T6" s="1253"/>
      <c r="U6" s="1253"/>
      <c r="V6" s="1253"/>
      <c r="W6" s="1253"/>
      <c r="X6" s="1253"/>
      <c r="Y6" s="1253"/>
      <c r="Z6" s="1253"/>
      <c r="AA6" s="1253"/>
      <c r="AB6" s="1253"/>
      <c r="AC6" s="1254"/>
    </row>
    <row r="7" spans="5:29">
      <c r="P7" s="1261" t="s">
        <v>851</v>
      </c>
      <c r="Q7" s="1252">
        <v>0</v>
      </c>
      <c r="R7" s="1253">
        <v>0</v>
      </c>
      <c r="S7" s="1253">
        <v>0</v>
      </c>
      <c r="T7" s="1253">
        <v>1</v>
      </c>
      <c r="U7" s="1253">
        <v>-1</v>
      </c>
      <c r="V7" s="1253">
        <v>-1</v>
      </c>
      <c r="W7" s="1253">
        <v>0</v>
      </c>
      <c r="X7" s="1253">
        <v>0</v>
      </c>
      <c r="Y7" s="1253">
        <v>0</v>
      </c>
      <c r="Z7" s="1253">
        <v>0</v>
      </c>
      <c r="AA7" s="1253">
        <v>0</v>
      </c>
      <c r="AB7" s="1253">
        <v>0</v>
      </c>
      <c r="AC7" s="1254">
        <v>0</v>
      </c>
    </row>
    <row r="8" spans="5:29">
      <c r="P8" s="1261" t="s">
        <v>853</v>
      </c>
      <c r="Q8" s="1252">
        <v>0</v>
      </c>
      <c r="R8" s="1253">
        <v>0</v>
      </c>
      <c r="S8" s="1253">
        <v>0</v>
      </c>
      <c r="T8" s="1253">
        <v>0</v>
      </c>
      <c r="U8" s="1253">
        <v>0</v>
      </c>
      <c r="V8" s="1253">
        <v>1</v>
      </c>
      <c r="W8" s="1253">
        <v>-1</v>
      </c>
      <c r="X8" s="1253">
        <v>0</v>
      </c>
      <c r="Y8" s="1253">
        <v>0</v>
      </c>
      <c r="Z8" s="1253">
        <v>1</v>
      </c>
      <c r="AA8" s="1253">
        <v>0</v>
      </c>
      <c r="AB8" s="1253">
        <v>0</v>
      </c>
      <c r="AC8" s="1254">
        <v>0</v>
      </c>
    </row>
    <row r="9" spans="5:29">
      <c r="P9" s="1261" t="s">
        <v>854</v>
      </c>
      <c r="Q9" s="1252">
        <v>0</v>
      </c>
      <c r="R9" s="1253">
        <v>0</v>
      </c>
      <c r="S9" s="1253">
        <v>0</v>
      </c>
      <c r="T9" s="1253">
        <v>0</v>
      </c>
      <c r="U9" s="1253">
        <v>0</v>
      </c>
      <c r="V9" s="1253">
        <v>0</v>
      </c>
      <c r="W9" s="1253">
        <v>1</v>
      </c>
      <c r="X9" s="1253">
        <v>0</v>
      </c>
      <c r="Y9" s="1253">
        <v>0</v>
      </c>
      <c r="Z9" s="1253">
        <v>0</v>
      </c>
      <c r="AA9" s="1253">
        <v>0</v>
      </c>
      <c r="AB9" s="1253">
        <v>-1</v>
      </c>
      <c r="AC9" s="1254">
        <v>-1</v>
      </c>
    </row>
    <row r="10" spans="5:29">
      <c r="P10" s="1261" t="s">
        <v>855</v>
      </c>
      <c r="Q10" s="1252">
        <v>0</v>
      </c>
      <c r="R10" s="1253">
        <v>0</v>
      </c>
      <c r="S10" s="1253">
        <v>0</v>
      </c>
      <c r="T10" s="1253">
        <v>0</v>
      </c>
      <c r="U10" s="1253">
        <v>0</v>
      </c>
      <c r="V10" s="1253">
        <v>0</v>
      </c>
      <c r="W10" s="1253">
        <v>0</v>
      </c>
      <c r="X10" s="1253">
        <v>-1</v>
      </c>
      <c r="Y10" s="1253">
        <v>0</v>
      </c>
      <c r="Z10" s="1253">
        <v>0</v>
      </c>
      <c r="AA10" s="1253">
        <v>-1</v>
      </c>
      <c r="AB10" s="1253">
        <v>0</v>
      </c>
      <c r="AC10" s="1254">
        <v>1</v>
      </c>
    </row>
    <row r="11" spans="5:29">
      <c r="P11" s="1261" t="s">
        <v>856</v>
      </c>
      <c r="Q11" s="1252">
        <v>0</v>
      </c>
      <c r="R11" s="1253">
        <v>0</v>
      </c>
      <c r="S11" s="1253">
        <v>0</v>
      </c>
      <c r="T11" s="1253">
        <v>0</v>
      </c>
      <c r="U11" s="1253">
        <v>0</v>
      </c>
      <c r="V11" s="1253">
        <v>0</v>
      </c>
      <c r="W11" s="1253">
        <v>0</v>
      </c>
      <c r="X11" s="1253">
        <v>1</v>
      </c>
      <c r="Y11" s="1253">
        <v>-1</v>
      </c>
      <c r="Z11" s="1253">
        <v>-1</v>
      </c>
      <c r="AA11" s="1253">
        <v>0</v>
      </c>
      <c r="AB11" s="1253">
        <v>0</v>
      </c>
      <c r="AC11" s="1254">
        <v>0</v>
      </c>
    </row>
    <row r="12" spans="5:29" ht="15" thickBot="1">
      <c r="P12" s="1255"/>
      <c r="Q12" s="1256">
        <f t="shared" ref="Q12:AC12" si="0">SUM(Q7:Q11)</f>
        <v>0</v>
      </c>
      <c r="R12" s="1257">
        <f t="shared" si="0"/>
        <v>0</v>
      </c>
      <c r="S12" s="1257">
        <f t="shared" si="0"/>
        <v>0</v>
      </c>
      <c r="T12" s="1257">
        <f t="shared" si="0"/>
        <v>1</v>
      </c>
      <c r="U12" s="1257">
        <f t="shared" si="0"/>
        <v>-1</v>
      </c>
      <c r="V12" s="1257">
        <f t="shared" si="0"/>
        <v>0</v>
      </c>
      <c r="W12" s="1257">
        <f t="shared" si="0"/>
        <v>0</v>
      </c>
      <c r="X12" s="1257">
        <f t="shared" si="0"/>
        <v>0</v>
      </c>
      <c r="Y12" s="1257">
        <f t="shared" si="0"/>
        <v>-1</v>
      </c>
      <c r="Z12" s="1257">
        <f t="shared" si="0"/>
        <v>0</v>
      </c>
      <c r="AA12" s="1257">
        <f t="shared" si="0"/>
        <v>-1</v>
      </c>
      <c r="AB12" s="1257">
        <f t="shared" si="0"/>
        <v>-1</v>
      </c>
      <c r="AC12" s="1258">
        <f t="shared" si="0"/>
        <v>0</v>
      </c>
    </row>
    <row r="13" spans="5:29" ht="15" thickBot="1">
      <c r="P13" s="1393" t="s">
        <v>1098</v>
      </c>
      <c r="Q13" s="1397"/>
      <c r="R13" s="1397"/>
      <c r="S13" s="1397"/>
      <c r="T13" s="1397"/>
      <c r="U13" s="1397"/>
      <c r="V13" s="1397"/>
      <c r="W13" s="1397"/>
      <c r="X13" s="1397"/>
      <c r="Y13" s="1397"/>
      <c r="Z13" s="1397"/>
      <c r="AA13" s="1397"/>
      <c r="AB13" s="1397"/>
      <c r="AC13" s="1394"/>
    </row>
    <row r="14" spans="5:29">
      <c r="P14" s="286" t="s">
        <v>1086</v>
      </c>
      <c r="Q14" s="1273"/>
      <c r="R14" s="1273"/>
      <c r="S14" s="1273"/>
      <c r="T14" s="1249">
        <v>4</v>
      </c>
      <c r="U14" s="1249">
        <v>5</v>
      </c>
      <c r="V14" s="1249">
        <v>6</v>
      </c>
      <c r="W14" s="1249">
        <v>7</v>
      </c>
      <c r="X14" s="1249">
        <v>8</v>
      </c>
      <c r="Y14" s="1249">
        <v>9</v>
      </c>
      <c r="Z14" s="1249">
        <v>10</v>
      </c>
      <c r="AA14" s="1249">
        <v>11</v>
      </c>
      <c r="AB14" s="1249">
        <v>12</v>
      </c>
      <c r="AC14" s="1250">
        <v>13</v>
      </c>
    </row>
    <row r="15" spans="5:29">
      <c r="P15" s="1262" t="s">
        <v>1352</v>
      </c>
      <c r="Q15" s="1253"/>
      <c r="R15" s="1253"/>
      <c r="S15" s="1253"/>
      <c r="T15" s="1267">
        <f t="shared" ref="T15:AC15" si="1">(1/T16^2)*(1/T17^2)*(T17-T18)^2</f>
        <v>5.3507813372046007</v>
      </c>
      <c r="U15" s="1267">
        <f t="shared" si="1"/>
        <v>2.7934766777909394</v>
      </c>
      <c r="V15" s="1267">
        <f t="shared" si="1"/>
        <v>4.0431278671207656</v>
      </c>
      <c r="W15" s="1267">
        <f t="shared" si="1"/>
        <v>11.705203901034592</v>
      </c>
      <c r="X15" s="1267">
        <f t="shared" si="1"/>
        <v>16.980827650054312</v>
      </c>
      <c r="Y15" s="1267">
        <f t="shared" si="1"/>
        <v>23.730818708449657</v>
      </c>
      <c r="Z15" s="1267">
        <f t="shared" si="1"/>
        <v>107.51101935461814</v>
      </c>
      <c r="AA15" s="1267">
        <f t="shared" si="1"/>
        <v>17.047656749730699</v>
      </c>
      <c r="AB15" s="1267">
        <f t="shared" si="1"/>
        <v>3.0293590636744541</v>
      </c>
      <c r="AC15" s="1268">
        <f t="shared" si="1"/>
        <v>53.581692161335411</v>
      </c>
    </row>
    <row r="16" spans="5:29">
      <c r="P16" s="1262" t="s">
        <v>1353</v>
      </c>
      <c r="Q16" s="1263"/>
      <c r="R16" s="1263"/>
      <c r="S16" s="1263"/>
      <c r="T16" s="1269">
        <v>0.05</v>
      </c>
      <c r="U16" s="1269">
        <f>5/100</f>
        <v>0.05</v>
      </c>
      <c r="V16" s="1269">
        <f>5/100</f>
        <v>0.05</v>
      </c>
      <c r="W16" s="1269">
        <v>0.05</v>
      </c>
      <c r="X16" s="1269">
        <v>0.05</v>
      </c>
      <c r="Y16" s="1269">
        <f>5/100</f>
        <v>0.05</v>
      </c>
      <c r="Z16" s="1269">
        <f>5/100</f>
        <v>0.05</v>
      </c>
      <c r="AA16" s="1269">
        <f>5/100</f>
        <v>0.05</v>
      </c>
      <c r="AB16" s="1269">
        <f>5/100</f>
        <v>0.05</v>
      </c>
      <c r="AC16" s="1270">
        <v>0.05</v>
      </c>
    </row>
    <row r="17" spans="2:29">
      <c r="P17" s="1262" t="s">
        <v>1354</v>
      </c>
      <c r="Q17" s="1253"/>
      <c r="R17" s="1253"/>
      <c r="S17" s="1253"/>
      <c r="T17" s="1276">
        <f>K36</f>
        <v>25.527272727272727</v>
      </c>
      <c r="U17" s="1276">
        <f>+K37</f>
        <v>2.0030000000000001</v>
      </c>
      <c r="V17" s="1276">
        <f>+K38</f>
        <v>22.685142857142861</v>
      </c>
      <c r="W17" s="1276">
        <f>+K39</f>
        <v>41.064</v>
      </c>
      <c r="X17" s="1276">
        <f>+K40</f>
        <v>24.612000000000002</v>
      </c>
      <c r="Y17" s="1276">
        <f>+K41</f>
        <v>1.6073684210526318</v>
      </c>
      <c r="Z17" s="1276">
        <f>+K42</f>
        <v>18.231999999999999</v>
      </c>
      <c r="AA17" s="1276">
        <f>+K43</f>
        <v>18.276923076923079</v>
      </c>
      <c r="AB17" s="1276">
        <f>+K44</f>
        <v>4.273714285714286</v>
      </c>
      <c r="AC17" s="1277">
        <f>+K45</f>
        <v>32.347636363636362</v>
      </c>
    </row>
    <row r="18" spans="2:29" ht="15" thickBot="1">
      <c r="P18" s="1264" t="s">
        <v>1355</v>
      </c>
      <c r="Q18" s="1257"/>
      <c r="R18" s="1257"/>
      <c r="S18" s="1257"/>
      <c r="T18" s="1282">
        <v>22.574819512214663</v>
      </c>
      <c r="U18" s="1282">
        <v>2.1703876755662388</v>
      </c>
      <c r="V18" s="1282">
        <v>20.404431836648424</v>
      </c>
      <c r="W18" s="1282">
        <v>48.088586217747448</v>
      </c>
      <c r="X18" s="1282">
        <v>29.683031844356396</v>
      </c>
      <c r="Y18" s="1282">
        <v>1.9988774632573729</v>
      </c>
      <c r="Z18" s="1282">
        <v>27.684154381099024</v>
      </c>
      <c r="AA18" s="1282">
        <v>14.503761228291145</v>
      </c>
      <c r="AB18" s="1282">
        <v>3.9017931450999077</v>
      </c>
      <c r="AC18" s="1283">
        <v>44.186793072647539</v>
      </c>
    </row>
    <row r="19" spans="2:29" ht="15" thickBot="1">
      <c r="P19" s="1393" t="s">
        <v>1357</v>
      </c>
      <c r="Q19" s="1397"/>
      <c r="R19" s="1397"/>
      <c r="S19" s="1397"/>
      <c r="T19" s="1397"/>
      <c r="U19" s="1397"/>
      <c r="V19" s="1397"/>
      <c r="W19" s="1397"/>
      <c r="X19" s="1397"/>
      <c r="Y19" s="1397"/>
      <c r="Z19" s="1397"/>
      <c r="AA19" s="1397"/>
      <c r="AB19" s="1397"/>
      <c r="AC19" s="1394"/>
    </row>
    <row r="20" spans="2:29">
      <c r="P20" s="1262" t="s">
        <v>1358</v>
      </c>
      <c r="Q20" s="1253"/>
      <c r="R20" s="1253"/>
      <c r="S20" s="1253"/>
      <c r="T20" s="1267">
        <f t="shared" ref="T20:AC20" si="2">(1/T21^2)*(1/T22^2)*(T22-T23)^2</f>
        <v>0.66251730997761271</v>
      </c>
      <c r="U20" s="1267">
        <f t="shared" si="2"/>
        <v>0.25309844163766054</v>
      </c>
      <c r="V20" s="1267">
        <f t="shared" si="2"/>
        <v>12.381080741767367</v>
      </c>
      <c r="W20" s="1267">
        <f t="shared" si="2"/>
        <v>45.649594029399708</v>
      </c>
      <c r="X20" s="1267">
        <f t="shared" si="2"/>
        <v>299.61930295616645</v>
      </c>
      <c r="Y20" s="1267">
        <f t="shared" si="2"/>
        <v>3390.3553942053786</v>
      </c>
      <c r="Z20" s="1267">
        <f t="shared" si="2"/>
        <v>2.40117876562987</v>
      </c>
      <c r="AA20" s="1267">
        <f t="shared" si="2"/>
        <v>61.597302240390803</v>
      </c>
      <c r="AB20" s="1267">
        <f t="shared" si="2"/>
        <v>209.5788835189164</v>
      </c>
      <c r="AC20" s="1268">
        <f t="shared" si="2"/>
        <v>321.2003240886778</v>
      </c>
    </row>
    <row r="21" spans="2:29">
      <c r="P21" s="1262" t="s">
        <v>1353</v>
      </c>
      <c r="Q21" s="1263"/>
      <c r="R21" s="1263"/>
      <c r="S21" s="1263"/>
      <c r="T21" s="1269">
        <f t="shared" ref="T21:X21" si="3">5/100</f>
        <v>0.05</v>
      </c>
      <c r="U21" s="1269">
        <f t="shared" si="3"/>
        <v>0.05</v>
      </c>
      <c r="V21" s="1269">
        <f t="shared" si="3"/>
        <v>0.05</v>
      </c>
      <c r="W21" s="1269">
        <f t="shared" si="3"/>
        <v>0.05</v>
      </c>
      <c r="X21" s="1269">
        <f t="shared" si="3"/>
        <v>0.05</v>
      </c>
      <c r="Y21" s="1269">
        <v>0.05</v>
      </c>
      <c r="Z21" s="1269">
        <f>5/100</f>
        <v>0.05</v>
      </c>
      <c r="AA21" s="1269">
        <f>5/100</f>
        <v>0.05</v>
      </c>
      <c r="AB21" s="1269">
        <v>0.05</v>
      </c>
      <c r="AC21" s="1270">
        <f>5/100</f>
        <v>0.05</v>
      </c>
    </row>
    <row r="22" spans="2:29">
      <c r="P22" s="1262" t="s">
        <v>1354</v>
      </c>
      <c r="Q22" s="1253"/>
      <c r="R22" s="1253"/>
      <c r="S22" s="1253"/>
      <c r="T22" s="1276">
        <f>L36</f>
        <v>3.7</v>
      </c>
      <c r="U22" s="1276">
        <f>+L37</f>
        <v>23.77</v>
      </c>
      <c r="V22" s="1276">
        <f>+L38</f>
        <v>1.62</v>
      </c>
      <c r="W22" s="1276">
        <f>+L39</f>
        <v>1.08</v>
      </c>
      <c r="X22" s="1276">
        <f>+L40</f>
        <v>0.42</v>
      </c>
      <c r="Y22" s="1276">
        <f>+L41</f>
        <v>2.06</v>
      </c>
      <c r="Z22" s="1276">
        <f>+L42</f>
        <v>0.28000000000000003</v>
      </c>
      <c r="AA22" s="1276">
        <f>+L43</f>
        <v>9.2999999999999999E-2</v>
      </c>
      <c r="AB22" s="1276">
        <f>+L44</f>
        <v>8.59</v>
      </c>
      <c r="AC22" s="1277">
        <f>+L45</f>
        <v>0.3</v>
      </c>
    </row>
    <row r="23" spans="2:29">
      <c r="P23" s="1262" t="s">
        <v>1355</v>
      </c>
      <c r="Q23" s="1253"/>
      <c r="R23" s="1253"/>
      <c r="S23" s="1253"/>
      <c r="T23" s="1282">
        <v>3.5494189423135043</v>
      </c>
      <c r="U23" s="1282">
        <v>24.367921158045053</v>
      </c>
      <c r="V23" s="1282">
        <v>1.334987244589412</v>
      </c>
      <c r="W23" s="1282">
        <v>0.71515179020621533</v>
      </c>
      <c r="X23" s="1282">
        <v>0.78349981100912469</v>
      </c>
      <c r="Y23" s="1282">
        <v>8.0573561155833389</v>
      </c>
      <c r="Z23" s="1282">
        <v>0.25830596768547964</v>
      </c>
      <c r="AA23" s="1282">
        <v>0.12949503620621372</v>
      </c>
      <c r="AB23" s="1282">
        <v>2.3721974108648807</v>
      </c>
      <c r="AC23" s="1283">
        <v>0.56883093743085544</v>
      </c>
    </row>
    <row r="24" spans="2:29">
      <c r="P24" s="1262" t="s">
        <v>1407</v>
      </c>
      <c r="Q24" s="1253"/>
      <c r="R24" s="1253"/>
      <c r="S24" s="1253"/>
      <c r="T24" s="1276">
        <f t="shared" ref="T24:AC25" si="4">T22*T17/100</f>
        <v>0.94450909090909096</v>
      </c>
      <c r="U24" s="1276">
        <f t="shared" si="4"/>
        <v>0.47611310000000001</v>
      </c>
      <c r="V24" s="1276">
        <f t="shared" si="4"/>
        <v>0.36749931428571436</v>
      </c>
      <c r="W24" s="1276">
        <f t="shared" si="4"/>
        <v>0.44349120000000009</v>
      </c>
      <c r="X24" s="1276">
        <f t="shared" si="4"/>
        <v>0.1033704</v>
      </c>
      <c r="Y24" s="1276">
        <f t="shared" si="4"/>
        <v>3.3111789473684212E-2</v>
      </c>
      <c r="Z24" s="1276">
        <f t="shared" si="4"/>
        <v>5.1049600000000001E-2</v>
      </c>
      <c r="AA24" s="1276">
        <f t="shared" si="4"/>
        <v>1.6997538461538463E-2</v>
      </c>
      <c r="AB24" s="1276">
        <f t="shared" si="4"/>
        <v>0.36711205714285716</v>
      </c>
      <c r="AC24" s="1277">
        <f t="shared" si="4"/>
        <v>9.7042909090909082E-2</v>
      </c>
    </row>
    <row r="25" spans="2:29" ht="15" thickBot="1">
      <c r="O25" s="110"/>
      <c r="P25" s="1262" t="s">
        <v>1408</v>
      </c>
      <c r="Q25" s="1257"/>
      <c r="R25" s="1257"/>
      <c r="S25" s="1257"/>
      <c r="T25" s="1282">
        <f t="shared" si="4"/>
        <v>0.80127491995963229</v>
      </c>
      <c r="U25" s="1282">
        <f t="shared" si="4"/>
        <v>0.52887835760590773</v>
      </c>
      <c r="V25" s="1282">
        <f t="shared" si="4"/>
        <v>0.27239656235019755</v>
      </c>
      <c r="W25" s="1282">
        <f t="shared" si="4"/>
        <v>0.34390638522108019</v>
      </c>
      <c r="X25" s="1282">
        <f t="shared" si="4"/>
        <v>0.23256649840231067</v>
      </c>
      <c r="Y25" s="1282">
        <f t="shared" si="4"/>
        <v>0.16105667552878505</v>
      </c>
      <c r="Z25" s="1282">
        <f t="shared" si="4"/>
        <v>7.1509822869639944E-2</v>
      </c>
      <c r="AA25" s="1282">
        <f t="shared" si="4"/>
        <v>1.8781650853838407E-2</v>
      </c>
      <c r="AB25" s="1282">
        <f t="shared" si="4"/>
        <v>9.2558235965363417E-2</v>
      </c>
      <c r="AC25" s="1283">
        <f t="shared" si="4"/>
        <v>0.25134814925577331</v>
      </c>
    </row>
    <row r="26" spans="2:29" ht="15" thickBot="1">
      <c r="O26" s="110"/>
      <c r="P26" s="1393" t="s">
        <v>1359</v>
      </c>
      <c r="Q26" s="1397"/>
      <c r="R26" s="1397"/>
      <c r="S26" s="1397"/>
      <c r="T26" s="1397"/>
      <c r="U26" s="1397"/>
      <c r="V26" s="1397"/>
      <c r="W26" s="1397"/>
      <c r="X26" s="1397"/>
      <c r="Y26" s="1397"/>
      <c r="Z26" s="1397"/>
      <c r="AA26" s="1397"/>
      <c r="AB26" s="1397"/>
      <c r="AC26" s="1394"/>
    </row>
    <row r="27" spans="2:29">
      <c r="O27" s="110"/>
      <c r="P27" s="286" t="s">
        <v>1358</v>
      </c>
      <c r="Q27" s="1273"/>
      <c r="R27" s="1273"/>
      <c r="S27" s="1273"/>
      <c r="T27" s="1274">
        <f t="shared" ref="T27:AC27" si="5">(1/T28^2)*(1/T29^2)*(T29-T30)^2</f>
        <v>158.88331390477853</v>
      </c>
      <c r="U27" s="1274">
        <f t="shared" si="5"/>
        <v>2.2747355045912379</v>
      </c>
      <c r="V27" s="1274">
        <f t="shared" si="5"/>
        <v>11.340938116696801</v>
      </c>
      <c r="W27" s="1274">
        <f t="shared" si="5"/>
        <v>55.485850431160188</v>
      </c>
      <c r="X27" s="1274">
        <f t="shared" si="5"/>
        <v>29.582196672829337</v>
      </c>
      <c r="Y27" s="1274">
        <f t="shared" si="5"/>
        <v>1674.1444151614212</v>
      </c>
      <c r="Z27" s="1274">
        <f t="shared" si="5"/>
        <v>0.13301919448347213</v>
      </c>
      <c r="AA27" s="1274">
        <f t="shared" si="5"/>
        <v>4.845142145195434E-3</v>
      </c>
      <c r="AB27" s="1274">
        <f t="shared" si="5"/>
        <v>96.308498813770711</v>
      </c>
      <c r="AC27" s="1275">
        <f t="shared" si="5"/>
        <v>43.992164105854002</v>
      </c>
    </row>
    <row r="28" spans="2:29">
      <c r="O28" s="110"/>
      <c r="P28" s="1262" t="s">
        <v>1353</v>
      </c>
      <c r="Q28" s="1263"/>
      <c r="R28" s="1263"/>
      <c r="S28" s="1263"/>
      <c r="T28" s="1269">
        <f t="shared" ref="T28:V28" si="6">5/100</f>
        <v>0.05</v>
      </c>
      <c r="U28" s="1269">
        <f t="shared" si="6"/>
        <v>0.05</v>
      </c>
      <c r="V28" s="1269">
        <f t="shared" si="6"/>
        <v>0.05</v>
      </c>
      <c r="W28" s="1269">
        <v>0.05</v>
      </c>
      <c r="X28" s="1269">
        <f t="shared" ref="X28:AC28" si="7">5/100</f>
        <v>0.05</v>
      </c>
      <c r="Y28" s="1269">
        <f t="shared" si="7"/>
        <v>0.05</v>
      </c>
      <c r="Z28" s="1269">
        <f t="shared" si="7"/>
        <v>0.05</v>
      </c>
      <c r="AA28" s="1269">
        <f t="shared" si="7"/>
        <v>0.05</v>
      </c>
      <c r="AB28" s="1269">
        <f t="shared" si="7"/>
        <v>0.05</v>
      </c>
      <c r="AC28" s="1270">
        <f t="shared" si="7"/>
        <v>0.05</v>
      </c>
    </row>
    <row r="29" spans="2:29">
      <c r="O29" s="110"/>
      <c r="P29" s="1262" t="s">
        <v>1354</v>
      </c>
      <c r="Q29" s="1253"/>
      <c r="R29" s="1253"/>
      <c r="S29" s="1253"/>
      <c r="T29" s="1276">
        <f>+M36</f>
        <v>13.5</v>
      </c>
      <c r="U29" s="1276">
        <f>+M37</f>
        <v>16.8</v>
      </c>
      <c r="V29" s="1276">
        <f>+M38</f>
        <v>4.33</v>
      </c>
      <c r="W29" s="1276">
        <f>+M39</f>
        <v>4.91</v>
      </c>
      <c r="X29" s="1276">
        <f>+M40</f>
        <v>4.53</v>
      </c>
      <c r="Y29" s="1276">
        <f>+M41</f>
        <v>3.81</v>
      </c>
      <c r="Z29" s="1276">
        <f>+M42</f>
        <v>2.65</v>
      </c>
      <c r="AA29" s="1276">
        <f>+M43</f>
        <v>1.87</v>
      </c>
      <c r="AB29" s="1276">
        <f>+M44</f>
        <v>11.7</v>
      </c>
      <c r="AC29" s="1277">
        <f>+M45</f>
        <v>4.2300000000000004</v>
      </c>
    </row>
    <row r="30" spans="2:29">
      <c r="O30" s="110"/>
      <c r="P30" s="1262" t="s">
        <v>1355</v>
      </c>
      <c r="Q30" s="1253"/>
      <c r="R30" s="1253"/>
      <c r="S30" s="1253"/>
      <c r="T30" s="1282">
        <v>4.9916975901261758</v>
      </c>
      <c r="U30" s="1282">
        <v>18.066907010020696</v>
      </c>
      <c r="V30" s="1282">
        <v>3.6009079024976738</v>
      </c>
      <c r="W30" s="1282">
        <v>3.0812993473647383</v>
      </c>
      <c r="X30" s="1282">
        <v>3.2980774175060112</v>
      </c>
      <c r="Y30" s="1282">
        <v>11.604557034386994</v>
      </c>
      <c r="Z30" s="1282">
        <v>2.6983251304514582</v>
      </c>
      <c r="AA30" s="1282">
        <v>1.8634917403310229</v>
      </c>
      <c r="AB30" s="1282">
        <v>5.958991725616249</v>
      </c>
      <c r="AC30" s="1283">
        <v>2.8271926422975651</v>
      </c>
    </row>
    <row r="31" spans="2:29">
      <c r="B31" s="1463" t="s">
        <v>1397</v>
      </c>
      <c r="C31" s="1463"/>
      <c r="D31" s="1463"/>
      <c r="E31" s="1463"/>
      <c r="F31" s="1463"/>
      <c r="G31" s="1463"/>
      <c r="H31" s="1463"/>
      <c r="I31" s="1463"/>
      <c r="J31" s="1463"/>
      <c r="K31" s="1463"/>
      <c r="L31" s="1463"/>
      <c r="M31" s="1463"/>
      <c r="O31" s="110"/>
      <c r="P31" s="1262" t="s">
        <v>1409</v>
      </c>
      <c r="Q31" s="1253"/>
      <c r="R31" s="1253"/>
      <c r="S31" s="1253"/>
      <c r="T31" s="1276">
        <f t="shared" ref="T31:AC32" si="8">T29*T17/100</f>
        <v>3.4461818181818185</v>
      </c>
      <c r="U31" s="1276">
        <f t="shared" si="8"/>
        <v>0.33650400000000003</v>
      </c>
      <c r="V31" s="1276">
        <f t="shared" si="8"/>
        <v>0.98226668571428588</v>
      </c>
      <c r="W31" s="1276">
        <f t="shared" si="8"/>
        <v>2.0162424000000003</v>
      </c>
      <c r="X31" s="1276">
        <f t="shared" si="8"/>
        <v>1.1149236000000002</v>
      </c>
      <c r="Y31" s="1276">
        <f t="shared" si="8"/>
        <v>6.1240736842105271E-2</v>
      </c>
      <c r="Z31" s="1276">
        <f t="shared" si="8"/>
        <v>0.48314799999999997</v>
      </c>
      <c r="AA31" s="1276">
        <f t="shared" si="8"/>
        <v>0.34177846153846159</v>
      </c>
      <c r="AB31" s="1276">
        <f t="shared" si="8"/>
        <v>0.50002457142857148</v>
      </c>
      <c r="AC31" s="1277">
        <f t="shared" si="8"/>
        <v>1.3683050181818184</v>
      </c>
    </row>
    <row r="32" spans="2:29" ht="15" thickBot="1">
      <c r="B32" s="1246" t="s">
        <v>26</v>
      </c>
      <c r="C32" s="1246" t="s">
        <v>1086</v>
      </c>
      <c r="D32" s="1246" t="s">
        <v>867</v>
      </c>
      <c r="E32" s="1246" t="s">
        <v>868</v>
      </c>
      <c r="F32" s="1246" t="s">
        <v>1171</v>
      </c>
      <c r="G32" s="1246" t="s">
        <v>310</v>
      </c>
      <c r="H32" s="1246" t="s">
        <v>882</v>
      </c>
      <c r="I32" s="1246" t="s">
        <v>865</v>
      </c>
      <c r="J32" s="1246" t="s">
        <v>865</v>
      </c>
      <c r="K32" s="1246" t="s">
        <v>866</v>
      </c>
      <c r="L32" s="1246" t="s">
        <v>874</v>
      </c>
      <c r="M32" s="1246" t="s">
        <v>873</v>
      </c>
      <c r="O32" s="110"/>
      <c r="P32" s="1264" t="s">
        <v>1410</v>
      </c>
      <c r="Q32" s="1257"/>
      <c r="R32" s="1257"/>
      <c r="S32" s="1257"/>
      <c r="T32" s="1284">
        <f t="shared" si="8"/>
        <v>1.1268667215665531</v>
      </c>
      <c r="U32" s="1284">
        <f t="shared" si="8"/>
        <v>0.39212192310150201</v>
      </c>
      <c r="V32" s="1284">
        <f t="shared" si="8"/>
        <v>0.73474479846562435</v>
      </c>
      <c r="W32" s="1284">
        <f t="shared" si="8"/>
        <v>1.4817532932843815</v>
      </c>
      <c r="X32" s="1284">
        <f t="shared" si="8"/>
        <v>0.97896937008983642</v>
      </c>
      <c r="Y32" s="1284">
        <f t="shared" si="8"/>
        <v>0.23196087527120976</v>
      </c>
      <c r="Z32" s="1284">
        <f t="shared" si="8"/>
        <v>0.74700849481817333</v>
      </c>
      <c r="AA32" s="1284">
        <f t="shared" si="8"/>
        <v>0.27027639252653879</v>
      </c>
      <c r="AB32" s="1284">
        <f t="shared" si="8"/>
        <v>0.23250753066716551</v>
      </c>
      <c r="AC32" s="1285">
        <f t="shared" si="8"/>
        <v>1.2492457626171414</v>
      </c>
    </row>
    <row r="33" spans="2:29" ht="15" thickBot="1">
      <c r="B33" s="928">
        <v>1</v>
      </c>
      <c r="C33" s="757" t="s">
        <v>844</v>
      </c>
      <c r="D33" s="757"/>
      <c r="E33" s="757"/>
      <c r="F33" s="757"/>
      <c r="G33" s="940"/>
      <c r="H33" s="940"/>
      <c r="I33" s="940"/>
      <c r="J33" s="757"/>
      <c r="K33" s="941"/>
      <c r="L33" s="928"/>
      <c r="M33" s="928"/>
      <c r="O33" s="110"/>
      <c r="P33" s="1265" t="s">
        <v>1360</v>
      </c>
      <c r="Q33" s="1266">
        <f>SUM(T15:AC15,T20:AC20,T27:AC27)</f>
        <v>6661.6226168166868</v>
      </c>
      <c r="R33" s="1253"/>
      <c r="S33" s="1253"/>
      <c r="T33" s="1253"/>
      <c r="U33" s="1253"/>
      <c r="V33" s="1253"/>
      <c r="W33" s="1253"/>
      <c r="X33" s="1253"/>
      <c r="Y33" s="1253"/>
      <c r="Z33" s="1253"/>
      <c r="AA33" s="1253"/>
      <c r="AB33" s="1253"/>
      <c r="AC33" s="1254"/>
    </row>
    <row r="34" spans="2:29" ht="15" thickBot="1">
      <c r="B34" s="928">
        <v>2</v>
      </c>
      <c r="C34" s="757" t="s">
        <v>845</v>
      </c>
      <c r="D34" s="757"/>
      <c r="E34" s="757"/>
      <c r="F34" s="757"/>
      <c r="G34" s="940"/>
      <c r="H34" s="940"/>
      <c r="I34" s="940"/>
      <c r="J34" s="757"/>
      <c r="K34" s="941"/>
      <c r="L34" s="928"/>
      <c r="M34" s="928"/>
      <c r="O34" s="110"/>
      <c r="P34" s="1252"/>
      <c r="Q34" s="1253"/>
      <c r="R34" s="1253"/>
      <c r="S34" s="1253"/>
      <c r="T34" s="1253"/>
      <c r="U34" s="846" t="s">
        <v>1417</v>
      </c>
      <c r="V34" s="1253"/>
      <c r="W34" s="846" t="s">
        <v>1424</v>
      </c>
      <c r="X34" s="846" t="s">
        <v>264</v>
      </c>
      <c r="Y34" s="1245" t="s">
        <v>1418</v>
      </c>
      <c r="Z34" s="1253"/>
      <c r="AA34" s="846" t="s">
        <v>1183</v>
      </c>
      <c r="AB34" s="1253"/>
      <c r="AC34" s="1254"/>
    </row>
    <row r="35" spans="2:29" ht="15" thickBot="1">
      <c r="B35" s="928">
        <v>3</v>
      </c>
      <c r="C35" s="757" t="s">
        <v>846</v>
      </c>
      <c r="D35" s="757"/>
      <c r="E35" s="757"/>
      <c r="F35" s="757"/>
      <c r="G35" s="940"/>
      <c r="H35" s="940"/>
      <c r="I35" s="940"/>
      <c r="J35" s="757"/>
      <c r="K35" s="941"/>
      <c r="L35" s="928"/>
      <c r="M35" s="928"/>
      <c r="P35" s="280"/>
      <c r="Q35" s="281" t="s">
        <v>1361</v>
      </c>
      <c r="R35" s="281" t="s">
        <v>1362</v>
      </c>
      <c r="S35" s="282" t="s">
        <v>1363</v>
      </c>
      <c r="T35" s="846" t="s">
        <v>1056</v>
      </c>
      <c r="U35" s="1483">
        <f>U23</f>
        <v>24.367921158045053</v>
      </c>
      <c r="V35" s="1253"/>
      <c r="W35" s="1483">
        <f>AB23</f>
        <v>2.3721974108648807</v>
      </c>
      <c r="X35" s="1483">
        <f>X23</f>
        <v>0.78349981100912469</v>
      </c>
      <c r="Y35" s="1268">
        <f>Y23</f>
        <v>8.0573561155833389</v>
      </c>
      <c r="Z35" s="1253"/>
      <c r="AA35" s="1483">
        <f>SUM(U25,Y25,AB25)/SUM(U18,Y18,AB18)*100</f>
        <v>9.6950516471759247</v>
      </c>
      <c r="AB35" s="1253"/>
      <c r="AC35" s="1254"/>
    </row>
    <row r="36" spans="2:29">
      <c r="B36" s="928">
        <v>4</v>
      </c>
      <c r="C36" s="757" t="s">
        <v>830</v>
      </c>
      <c r="D36" s="1239">
        <v>2131.1999999999998</v>
      </c>
      <c r="E36" s="1239">
        <v>390</v>
      </c>
      <c r="F36" s="757">
        <f t="shared" ref="F36:F45" si="9">D36-E36</f>
        <v>1741.1999999999998</v>
      </c>
      <c r="G36" s="1064">
        <f t="shared" ref="G36:G45" si="10">+E36/D36*100</f>
        <v>18.29954954954955</v>
      </c>
      <c r="H36" s="1281">
        <v>0</v>
      </c>
      <c r="I36" s="1281">
        <v>55</v>
      </c>
      <c r="J36" s="757">
        <f t="shared" ref="J36:J45" si="11">+H36*60+I36</f>
        <v>55</v>
      </c>
      <c r="K36" s="1279">
        <f t="shared" ref="K36:K45" si="12">+(E36/1000)/(J36/3600)</f>
        <v>25.527272727272727</v>
      </c>
      <c r="L36" s="1280">
        <v>3.7</v>
      </c>
      <c r="M36" s="1280">
        <v>13.5</v>
      </c>
      <c r="P36" s="1251" t="s">
        <v>847</v>
      </c>
      <c r="Q36" s="1253"/>
      <c r="R36" s="1253"/>
      <c r="S36" s="1254"/>
      <c r="T36" s="847" t="s">
        <v>1096</v>
      </c>
      <c r="U36" s="1483">
        <f>U37*U38</f>
        <v>66.004606462979297</v>
      </c>
      <c r="V36" s="1253"/>
      <c r="W36" s="1483">
        <f>W37*W38</f>
        <v>26.913788153675121</v>
      </c>
      <c r="X36" s="1483">
        <f>X37*X38</f>
        <v>92.52763511126939</v>
      </c>
      <c r="Y36" s="1268">
        <f>Y37*Y38</f>
        <v>69.251881348007984</v>
      </c>
      <c r="Z36" s="1253"/>
      <c r="AA36" s="1487">
        <f>(Y25+U25+AB25)/T25*100</f>
        <v>97.656029111640947</v>
      </c>
      <c r="AB36" s="1253"/>
      <c r="AC36" s="1254"/>
    </row>
    <row r="37" spans="2:29">
      <c r="B37" s="928">
        <v>5</v>
      </c>
      <c r="C37" s="757" t="s">
        <v>831</v>
      </c>
      <c r="D37" s="1239">
        <v>756.4</v>
      </c>
      <c r="E37" s="1239">
        <v>200.3</v>
      </c>
      <c r="F37" s="757">
        <f t="shared" si="9"/>
        <v>556.09999999999991</v>
      </c>
      <c r="G37" s="1064">
        <f t="shared" si="10"/>
        <v>26.480698043363304</v>
      </c>
      <c r="H37" s="1281">
        <v>6</v>
      </c>
      <c r="I37" s="1281">
        <v>0</v>
      </c>
      <c r="J37" s="757">
        <f t="shared" si="11"/>
        <v>360</v>
      </c>
      <c r="K37" s="1279">
        <f t="shared" si="12"/>
        <v>2.0030000000000001</v>
      </c>
      <c r="L37" s="1280">
        <v>23.77</v>
      </c>
      <c r="M37" s="1280">
        <v>16.8</v>
      </c>
      <c r="P37" s="1251" t="s">
        <v>849</v>
      </c>
      <c r="Q37" s="1253"/>
      <c r="R37" s="1253"/>
      <c r="S37" s="1254"/>
      <c r="T37" s="847" t="s">
        <v>1178</v>
      </c>
      <c r="U37" s="1483">
        <f>U18/T18*100</f>
        <v>9.6141972448191524</v>
      </c>
      <c r="V37" s="1253"/>
      <c r="W37" s="1483">
        <f>AB18/W18*100</f>
        <v>8.1137613974185054</v>
      </c>
      <c r="X37" s="1483">
        <f>X18/AC18*100</f>
        <v>67.176252858075713</v>
      </c>
      <c r="Y37" s="1268">
        <f>Y18/X18*100</f>
        <v>6.7340744494650311</v>
      </c>
      <c r="Z37" s="1253"/>
      <c r="AA37" s="1483">
        <f>(U18+Y18+AB18)/T18*100</f>
        <v>35.752482005698759</v>
      </c>
      <c r="AB37" s="1253"/>
      <c r="AC37" s="1254"/>
    </row>
    <row r="38" spans="2:29" ht="15" thickBot="1">
      <c r="B38" s="928">
        <v>6</v>
      </c>
      <c r="C38" s="757" t="s">
        <v>832</v>
      </c>
      <c r="D38" s="1239">
        <v>2532.3000000000002</v>
      </c>
      <c r="E38" s="1239">
        <v>441.1</v>
      </c>
      <c r="F38" s="757">
        <f t="shared" si="9"/>
        <v>2091.2000000000003</v>
      </c>
      <c r="G38" s="1064">
        <f t="shared" si="10"/>
        <v>17.418947202148242</v>
      </c>
      <c r="H38" s="1281">
        <v>1</v>
      </c>
      <c r="I38" s="1281">
        <v>10</v>
      </c>
      <c r="J38" s="757">
        <f t="shared" si="11"/>
        <v>70</v>
      </c>
      <c r="K38" s="1279">
        <f t="shared" si="12"/>
        <v>22.685142857142861</v>
      </c>
      <c r="L38" s="1280">
        <v>1.62</v>
      </c>
      <c r="M38" s="1280">
        <v>4.33</v>
      </c>
      <c r="P38" s="1251" t="s">
        <v>851</v>
      </c>
      <c r="Q38" s="1253">
        <f>SUMPRODUCT(T7:AC7,$T$18:$AC$18)</f>
        <v>0</v>
      </c>
      <c r="R38" s="1253">
        <f>SUMPRODUCT(T7:AC7,$T$25:$AC$25)</f>
        <v>3.5270120157804286E-12</v>
      </c>
      <c r="S38" s="1254">
        <f>SUMPRODUCT(T7:AC7,$T$32:$AC$32)</f>
        <v>-5.7331916991643084E-13</v>
      </c>
      <c r="T38" s="706" t="s">
        <v>753</v>
      </c>
      <c r="U38" s="1485">
        <f>U23/T23</f>
        <v>6.865326847600044</v>
      </c>
      <c r="V38" s="1253"/>
      <c r="W38" s="1485">
        <f>AB23/W23</f>
        <v>3.3170544258595132</v>
      </c>
      <c r="X38" s="1485">
        <f>X23/AC23</f>
        <v>1.3773860728247811</v>
      </c>
      <c r="Y38" s="1272">
        <f>Y23/X23</f>
        <v>10.283800968893281</v>
      </c>
      <c r="Z38" s="1253"/>
      <c r="AA38" s="1485">
        <f>AA35/T23</f>
        <v>2.7314475424692213</v>
      </c>
      <c r="AB38" s="1253"/>
      <c r="AC38" s="1254"/>
    </row>
    <row r="39" spans="2:29">
      <c r="B39" s="928">
        <v>7</v>
      </c>
      <c r="C39" s="757" t="s">
        <v>833</v>
      </c>
      <c r="D39" s="1239">
        <v>4387.8999999999996</v>
      </c>
      <c r="E39" s="1239">
        <v>684.4</v>
      </c>
      <c r="F39" s="757">
        <f t="shared" si="9"/>
        <v>3703.4999999999995</v>
      </c>
      <c r="G39" s="1064">
        <f t="shared" si="10"/>
        <v>15.597438410173432</v>
      </c>
      <c r="H39" s="1281">
        <v>1</v>
      </c>
      <c r="I39" s="1281">
        <v>0</v>
      </c>
      <c r="J39" s="757">
        <f t="shared" si="11"/>
        <v>60</v>
      </c>
      <c r="K39" s="1279">
        <f t="shared" si="12"/>
        <v>41.064</v>
      </c>
      <c r="L39" s="1280">
        <v>1.08</v>
      </c>
      <c r="M39" s="1280">
        <v>4.91</v>
      </c>
      <c r="P39" s="1251" t="s">
        <v>853</v>
      </c>
      <c r="Q39" s="1253">
        <f>SUMPRODUCT(T8:AC8,$T$18:$AC$18)</f>
        <v>0</v>
      </c>
      <c r="R39" s="1253">
        <f>SUMPRODUCT(T8:AC8,$T$25:$AC$25)</f>
        <v>-1.2427003870385533E-12</v>
      </c>
      <c r="S39" s="1254">
        <f>SUMPRODUCT(T8:AC8,$T$32:$AC$32)</f>
        <v>-5.8386628865036982E-13</v>
      </c>
      <c r="T39" s="1253"/>
      <c r="U39" s="1253"/>
      <c r="V39" s="1253"/>
      <c r="W39" s="1253"/>
      <c r="X39" s="1253"/>
      <c r="Y39" s="1253"/>
      <c r="Z39" s="1253"/>
      <c r="AA39" s="1253"/>
      <c r="AB39" s="1253"/>
      <c r="AC39" s="1254"/>
    </row>
    <row r="40" spans="2:29">
      <c r="B40" s="928">
        <v>8</v>
      </c>
      <c r="C40" s="757" t="s">
        <v>834</v>
      </c>
      <c r="D40" s="1239">
        <v>2768.1</v>
      </c>
      <c r="E40" s="1239">
        <v>410.2</v>
      </c>
      <c r="F40" s="757">
        <f t="shared" si="9"/>
        <v>2357.9</v>
      </c>
      <c r="G40" s="1064">
        <f t="shared" si="10"/>
        <v>14.81882879953759</v>
      </c>
      <c r="H40" s="1281">
        <v>1</v>
      </c>
      <c r="I40" s="1281">
        <v>0</v>
      </c>
      <c r="J40" s="757">
        <f t="shared" si="11"/>
        <v>60</v>
      </c>
      <c r="K40" s="1279">
        <f t="shared" si="12"/>
        <v>24.612000000000002</v>
      </c>
      <c r="L40" s="1280">
        <v>0.42</v>
      </c>
      <c r="M40" s="1280">
        <v>4.53</v>
      </c>
      <c r="P40" s="1251" t="s">
        <v>854</v>
      </c>
      <c r="Q40" s="1253">
        <f>SUMPRODUCT(T9:AC9,$T$18:$AC$18)</f>
        <v>0</v>
      </c>
      <c r="R40" s="1253">
        <f>SUMPRODUCT(T9:AC9,$T$25:$AC$25)</f>
        <v>-5.6510351953420468E-14</v>
      </c>
      <c r="S40" s="1254">
        <f>SUMPRODUCT(T9:AC9,$T$32:$AC$32)</f>
        <v>7.460698725481052E-14</v>
      </c>
      <c r="T40" s="1253"/>
      <c r="U40" s="1253"/>
      <c r="V40" s="1253"/>
      <c r="W40" s="1253"/>
      <c r="X40" s="1253"/>
      <c r="Y40" s="1253"/>
      <c r="Z40" s="1253"/>
      <c r="AA40" s="1253"/>
      <c r="AB40" s="1253"/>
      <c r="AC40" s="1254"/>
    </row>
    <row r="41" spans="2:29">
      <c r="B41" s="928">
        <v>9</v>
      </c>
      <c r="C41" s="757" t="s">
        <v>835</v>
      </c>
      <c r="D41" s="1239">
        <v>895.8</v>
      </c>
      <c r="E41" s="1239">
        <v>254.5</v>
      </c>
      <c r="F41" s="757">
        <f t="shared" si="9"/>
        <v>641.29999999999995</v>
      </c>
      <c r="G41" s="1064">
        <f t="shared" si="10"/>
        <v>28.410359455235547</v>
      </c>
      <c r="H41" s="1281">
        <v>9</v>
      </c>
      <c r="I41" s="1281">
        <v>30</v>
      </c>
      <c r="J41" s="757">
        <f t="shared" si="11"/>
        <v>570</v>
      </c>
      <c r="K41" s="1279">
        <f t="shared" si="12"/>
        <v>1.6073684210526318</v>
      </c>
      <c r="L41" s="1280">
        <v>2.06</v>
      </c>
      <c r="M41" s="1280">
        <v>3.81</v>
      </c>
      <c r="P41" s="1251" t="s">
        <v>855</v>
      </c>
      <c r="Q41" s="1253">
        <f>SUMPRODUCT(T10:AC10,$T$18:$AC$18)</f>
        <v>0</v>
      </c>
      <c r="R41" s="1253">
        <f>SUMPRODUCT(T10:AC10,$T$25:$AC$25)</f>
        <v>-3.7575498268438423E-13</v>
      </c>
      <c r="S41" s="1254">
        <f>SUMPRODUCT(T10:AC10,$T$32:$AC$32)</f>
        <v>7.6627593159628304E-13</v>
      </c>
      <c r="T41" s="1253"/>
      <c r="U41" s="1253"/>
      <c r="V41" s="1253"/>
      <c r="W41" s="1253"/>
      <c r="X41" s="1253"/>
      <c r="Y41" s="1253"/>
      <c r="Z41" s="1253"/>
      <c r="AA41" s="1253"/>
      <c r="AB41" s="1253"/>
      <c r="AC41" s="1254"/>
    </row>
    <row r="42" spans="2:29">
      <c r="B42" s="928">
        <v>10</v>
      </c>
      <c r="C42" s="757" t="s">
        <v>836</v>
      </c>
      <c r="D42" s="1239">
        <v>5443.9</v>
      </c>
      <c r="E42" s="1239">
        <v>455.8</v>
      </c>
      <c r="F42" s="757">
        <f t="shared" si="9"/>
        <v>4988.0999999999995</v>
      </c>
      <c r="G42" s="1064">
        <f t="shared" si="10"/>
        <v>8.3726740020940884</v>
      </c>
      <c r="H42" s="1281">
        <v>1</v>
      </c>
      <c r="I42" s="1281">
        <v>30</v>
      </c>
      <c r="J42" s="757">
        <f t="shared" si="11"/>
        <v>90</v>
      </c>
      <c r="K42" s="1279">
        <f t="shared" si="12"/>
        <v>18.231999999999999</v>
      </c>
      <c r="L42" s="1280">
        <v>0.28000000000000003</v>
      </c>
      <c r="M42" s="1280">
        <v>2.65</v>
      </c>
      <c r="P42" s="1251" t="s">
        <v>856</v>
      </c>
      <c r="Q42" s="1253">
        <f>SUMPRODUCT(T11:AC11,$T$18:$AC$18)</f>
        <v>0</v>
      </c>
      <c r="R42" s="1253">
        <f>SUMPRODUCT(T11:AC11,$T$25:$AC$25)</f>
        <v>3.8856695638855854E-12</v>
      </c>
      <c r="S42" s="1254">
        <f>SUMPRODUCT(T11:AC11,$T$32:$AC$32)</f>
        <v>4.5330406095445142E-13</v>
      </c>
      <c r="T42" s="1253"/>
      <c r="U42" s="1253"/>
      <c r="V42" s="1253"/>
      <c r="W42" s="1253"/>
      <c r="X42" s="1253"/>
      <c r="Y42" s="1253"/>
      <c r="Z42" s="1253"/>
      <c r="AA42" s="1253"/>
      <c r="AB42" s="1253"/>
      <c r="AC42" s="1254"/>
    </row>
    <row r="43" spans="2:29" ht="15" thickBot="1">
      <c r="B43" s="928">
        <v>11</v>
      </c>
      <c r="C43" s="757" t="s">
        <v>837</v>
      </c>
      <c r="D43" s="1239">
        <v>5711.8</v>
      </c>
      <c r="E43" s="1239">
        <v>660</v>
      </c>
      <c r="F43" s="757">
        <f t="shared" si="9"/>
        <v>5051.8</v>
      </c>
      <c r="G43" s="1064">
        <f t="shared" si="10"/>
        <v>11.555026436499876</v>
      </c>
      <c r="H43" s="1281">
        <v>2</v>
      </c>
      <c r="I43" s="1281">
        <v>10</v>
      </c>
      <c r="J43" s="757">
        <f t="shared" si="11"/>
        <v>130</v>
      </c>
      <c r="K43" s="1279">
        <f t="shared" si="12"/>
        <v>18.276923076923079</v>
      </c>
      <c r="L43" s="1280">
        <v>9.2999999999999999E-2</v>
      </c>
      <c r="M43" s="1280">
        <v>1.87</v>
      </c>
      <c r="P43" s="1255" t="s">
        <v>861</v>
      </c>
      <c r="Q43" s="1257"/>
      <c r="R43" s="1257"/>
      <c r="S43" s="1258"/>
      <c r="T43" s="1257"/>
      <c r="U43" s="1257"/>
      <c r="V43" s="1257"/>
      <c r="W43" s="1257"/>
      <c r="X43" s="1257"/>
      <c r="Y43" s="1257"/>
      <c r="Z43" s="1257"/>
      <c r="AA43" s="1257"/>
      <c r="AB43" s="1257"/>
      <c r="AC43" s="1258"/>
    </row>
    <row r="44" spans="2:29">
      <c r="B44" s="928">
        <v>12</v>
      </c>
      <c r="C44" s="757" t="s">
        <v>838</v>
      </c>
      <c r="D44" s="1239">
        <v>1329.1</v>
      </c>
      <c r="E44" s="1239">
        <v>249.3</v>
      </c>
      <c r="F44" s="757">
        <f t="shared" si="9"/>
        <v>1079.8</v>
      </c>
      <c r="G44" s="1064">
        <f t="shared" si="10"/>
        <v>18.757053645323907</v>
      </c>
      <c r="H44" s="1281">
        <v>3</v>
      </c>
      <c r="I44" s="1281">
        <v>30</v>
      </c>
      <c r="J44" s="757">
        <f t="shared" si="11"/>
        <v>210</v>
      </c>
      <c r="K44" s="1279">
        <f t="shared" si="12"/>
        <v>4.273714285714286</v>
      </c>
      <c r="L44" s="1280">
        <v>8.59</v>
      </c>
      <c r="M44" s="1280">
        <v>11.7</v>
      </c>
      <c r="P44" s="1462" t="s">
        <v>1411</v>
      </c>
      <c r="Q44" s="1462"/>
    </row>
    <row r="45" spans="2:29">
      <c r="B45" s="928">
        <v>13</v>
      </c>
      <c r="C45" s="757" t="s">
        <v>839</v>
      </c>
      <c r="D45" s="1239">
        <v>2992.1</v>
      </c>
      <c r="E45" s="1239">
        <v>494.2</v>
      </c>
      <c r="F45" s="757">
        <f t="shared" si="9"/>
        <v>2497.9</v>
      </c>
      <c r="G45" s="1064">
        <f t="shared" si="10"/>
        <v>16.516827646134821</v>
      </c>
      <c r="H45" s="1281">
        <v>0</v>
      </c>
      <c r="I45" s="1281">
        <v>55</v>
      </c>
      <c r="J45" s="757">
        <f t="shared" si="11"/>
        <v>55</v>
      </c>
      <c r="K45" s="1279">
        <f t="shared" si="12"/>
        <v>32.347636363636362</v>
      </c>
      <c r="L45" s="1280">
        <v>0.3</v>
      </c>
      <c r="M45" s="1280">
        <v>4.2300000000000004</v>
      </c>
      <c r="P45" s="928" t="s">
        <v>33</v>
      </c>
      <c r="Q45" s="880">
        <f>SUMPRODUCT(T17:AC17,T12:AC12)/SUM(T17)*100</f>
        <v>-2.4825725144551116</v>
      </c>
    </row>
    <row r="46" spans="2:29">
      <c r="P46" s="928" t="s">
        <v>1395</v>
      </c>
      <c r="Q46" s="880">
        <f>SUMPRODUCT(T24:AC24,T12:AC12)/SUM(T24)*100</f>
        <v>5.4181168104751141</v>
      </c>
    </row>
    <row r="47" spans="2:29">
      <c r="P47" s="928" t="s">
        <v>1396</v>
      </c>
      <c r="Q47" s="880">
        <f>SUMPRODUCT(T31:AC31,T12:AC12)/SUM(T31)*100</f>
        <v>64.031271847893521</v>
      </c>
    </row>
    <row r="48" spans="2:29">
      <c r="B48" s="1246" t="s">
        <v>26</v>
      </c>
      <c r="C48" s="1246" t="s">
        <v>1086</v>
      </c>
      <c r="D48" s="1065" t="s">
        <v>867</v>
      </c>
      <c r="E48" s="1065" t="s">
        <v>868</v>
      </c>
      <c r="F48" s="1065" t="s">
        <v>1172</v>
      </c>
      <c r="G48" s="1065" t="s">
        <v>1173</v>
      </c>
      <c r="H48" s="1065" t="s">
        <v>1174</v>
      </c>
      <c r="I48" s="1065" t="s">
        <v>1413</v>
      </c>
      <c r="J48" s="1065" t="s">
        <v>882</v>
      </c>
      <c r="K48" s="1065" t="s">
        <v>865</v>
      </c>
      <c r="L48" s="1065" t="s">
        <v>865</v>
      </c>
      <c r="M48" s="1065" t="s">
        <v>866</v>
      </c>
      <c r="N48" s="1065" t="s">
        <v>1412</v>
      </c>
    </row>
    <row r="49" spans="2:42">
      <c r="B49" s="928">
        <v>1</v>
      </c>
      <c r="C49" s="757" t="s">
        <v>844</v>
      </c>
      <c r="D49" s="757"/>
      <c r="E49" s="757"/>
      <c r="F49" s="757"/>
      <c r="G49" s="757"/>
      <c r="H49" s="757"/>
      <c r="I49" s="940"/>
      <c r="J49" s="940"/>
      <c r="K49" s="940"/>
      <c r="L49" s="757"/>
      <c r="M49" s="941"/>
      <c r="N49" s="941"/>
    </row>
    <row r="50" spans="2:42">
      <c r="B50" s="928">
        <v>2</v>
      </c>
      <c r="C50" s="757" t="s">
        <v>845</v>
      </c>
      <c r="D50" s="757"/>
      <c r="E50" s="757"/>
      <c r="F50" s="757"/>
      <c r="G50" s="757"/>
      <c r="H50" s="757"/>
      <c r="I50" s="940"/>
      <c r="J50" s="940"/>
      <c r="K50" s="940"/>
      <c r="L50" s="757"/>
      <c r="M50" s="941"/>
      <c r="N50" s="941"/>
    </row>
    <row r="51" spans="2:42">
      <c r="B51" s="928">
        <v>3</v>
      </c>
      <c r="C51" s="757" t="s">
        <v>846</v>
      </c>
      <c r="D51" s="757"/>
      <c r="E51" s="757"/>
      <c r="F51" s="757"/>
      <c r="G51" s="757"/>
      <c r="H51" s="757"/>
      <c r="I51" s="940"/>
      <c r="J51" s="940"/>
      <c r="K51" s="940"/>
      <c r="L51" s="757"/>
      <c r="M51" s="941"/>
      <c r="N51" s="941"/>
    </row>
    <row r="52" spans="2:42">
      <c r="B52" s="928">
        <v>4</v>
      </c>
      <c r="C52" s="757" t="s">
        <v>830</v>
      </c>
      <c r="D52" s="1239">
        <f>D36</f>
        <v>2131.1999999999998</v>
      </c>
      <c r="E52" s="1239">
        <f>E36</f>
        <v>390</v>
      </c>
      <c r="F52" s="941">
        <f>(L52/3600)*N52*1000</f>
        <v>344.89307588105731</v>
      </c>
      <c r="G52" s="941">
        <f t="shared" ref="G52:G61" si="13">F52+F36</f>
        <v>2086.0930758810573</v>
      </c>
      <c r="H52" s="1278">
        <f t="shared" ref="H52:H61" si="14">(F52/G52)*100</f>
        <v>16.532966810955564</v>
      </c>
      <c r="I52" s="1064">
        <f t="shared" ref="I52:I61" si="15">+E52/D52*100</f>
        <v>18.29954954954955</v>
      </c>
      <c r="J52" s="1281">
        <f>H36</f>
        <v>0</v>
      </c>
      <c r="K52" s="1281">
        <f>I36</f>
        <v>55</v>
      </c>
      <c r="L52" s="757">
        <f t="shared" ref="L52:L61" si="16">+J52*60+K52</f>
        <v>55</v>
      </c>
      <c r="M52" s="941">
        <f t="shared" ref="M52:M61" si="17">+(F52/1000)/(L52/3600)</f>
        <v>22.574819512214663</v>
      </c>
      <c r="N52" s="1279">
        <f>+T18</f>
        <v>22.574819512214663</v>
      </c>
    </row>
    <row r="53" spans="2:42">
      <c r="B53" s="928">
        <v>5</v>
      </c>
      <c r="C53" s="757" t="s">
        <v>831</v>
      </c>
      <c r="D53" s="1239">
        <f t="shared" ref="D53:E53" si="18">D37</f>
        <v>756.4</v>
      </c>
      <c r="E53" s="1239">
        <f t="shared" si="18"/>
        <v>200.3</v>
      </c>
      <c r="F53" s="941">
        <f t="shared" ref="F53:F61" si="19">(L53*N53*1000)/3600</f>
        <v>217.0387675566239</v>
      </c>
      <c r="G53" s="941">
        <f t="shared" si="13"/>
        <v>773.13876755662386</v>
      </c>
      <c r="H53" s="1278">
        <f t="shared" si="14"/>
        <v>28.072420717245716</v>
      </c>
      <c r="I53" s="1064">
        <f t="shared" si="15"/>
        <v>26.480698043363304</v>
      </c>
      <c r="J53" s="1281">
        <f t="shared" ref="J53:K53" si="20">H37</f>
        <v>6</v>
      </c>
      <c r="K53" s="1281">
        <f t="shared" si="20"/>
        <v>0</v>
      </c>
      <c r="L53" s="757">
        <f t="shared" si="16"/>
        <v>360</v>
      </c>
      <c r="M53" s="941">
        <f t="shared" si="17"/>
        <v>2.1703876755662388</v>
      </c>
      <c r="N53" s="1279">
        <f>+U18</f>
        <v>2.1703876755662388</v>
      </c>
      <c r="AP53" s="4" t="s">
        <v>1351</v>
      </c>
    </row>
    <row r="54" spans="2:42">
      <c r="B54" s="928">
        <v>6</v>
      </c>
      <c r="C54" s="757" t="s">
        <v>832</v>
      </c>
      <c r="D54" s="1239">
        <f t="shared" ref="D54:E54" si="21">D38</f>
        <v>2532.3000000000002</v>
      </c>
      <c r="E54" s="1239">
        <f t="shared" si="21"/>
        <v>441.1</v>
      </c>
      <c r="F54" s="941">
        <f t="shared" si="19"/>
        <v>396.75284126816382</v>
      </c>
      <c r="G54" s="941">
        <f t="shared" si="13"/>
        <v>2487.9528412681639</v>
      </c>
      <c r="H54" s="1278">
        <f t="shared" si="14"/>
        <v>15.946959873480971</v>
      </c>
      <c r="I54" s="1064">
        <f t="shared" si="15"/>
        <v>17.418947202148242</v>
      </c>
      <c r="J54" s="1281">
        <f t="shared" ref="J54:K54" si="22">H38</f>
        <v>1</v>
      </c>
      <c r="K54" s="1281">
        <f t="shared" si="22"/>
        <v>10</v>
      </c>
      <c r="L54" s="757">
        <f t="shared" si="16"/>
        <v>70</v>
      </c>
      <c r="M54" s="941">
        <f t="shared" si="17"/>
        <v>20.404431836648428</v>
      </c>
      <c r="N54" s="1279">
        <f>+V18</f>
        <v>20.404431836648424</v>
      </c>
    </row>
    <row r="55" spans="2:42">
      <c r="B55" s="928">
        <v>7</v>
      </c>
      <c r="C55" s="757" t="s">
        <v>833</v>
      </c>
      <c r="D55" s="1239">
        <f t="shared" ref="D55:E55" si="23">D39</f>
        <v>4387.8999999999996</v>
      </c>
      <c r="E55" s="1239">
        <f t="shared" si="23"/>
        <v>684.4</v>
      </c>
      <c r="F55" s="941">
        <f t="shared" si="19"/>
        <v>801.47643696245746</v>
      </c>
      <c r="G55" s="941">
        <f t="shared" si="13"/>
        <v>4504.9764369624572</v>
      </c>
      <c r="H55" s="1278">
        <f>(F55/G55)*100</f>
        <v>17.790912964305402</v>
      </c>
      <c r="I55" s="1064">
        <f t="shared" si="15"/>
        <v>15.597438410173432</v>
      </c>
      <c r="J55" s="1281">
        <f t="shared" ref="J55:K55" si="24">H39</f>
        <v>1</v>
      </c>
      <c r="K55" s="1281">
        <f t="shared" si="24"/>
        <v>0</v>
      </c>
      <c r="L55" s="757">
        <f t="shared" si="16"/>
        <v>60</v>
      </c>
      <c r="M55" s="941">
        <f t="shared" si="17"/>
        <v>48.088586217747448</v>
      </c>
      <c r="N55" s="1279">
        <f>+W18</f>
        <v>48.088586217747448</v>
      </c>
    </row>
    <row r="56" spans="2:42">
      <c r="B56" s="928">
        <v>8</v>
      </c>
      <c r="C56" s="757" t="s">
        <v>834</v>
      </c>
      <c r="D56" s="1239">
        <f t="shared" ref="D56:E56" si="25">D40</f>
        <v>2768.1</v>
      </c>
      <c r="E56" s="1239">
        <f t="shared" si="25"/>
        <v>410.2</v>
      </c>
      <c r="F56" s="941">
        <f t="shared" si="19"/>
        <v>494.71719740593994</v>
      </c>
      <c r="G56" s="941">
        <f t="shared" si="13"/>
        <v>2852.6171974059398</v>
      </c>
      <c r="H56" s="1278">
        <f t="shared" si="14"/>
        <v>17.342572212486722</v>
      </c>
      <c r="I56" s="1064">
        <f t="shared" si="15"/>
        <v>14.81882879953759</v>
      </c>
      <c r="J56" s="1281">
        <f t="shared" ref="J56:K56" si="26">H40</f>
        <v>1</v>
      </c>
      <c r="K56" s="1281">
        <f t="shared" si="26"/>
        <v>0</v>
      </c>
      <c r="L56" s="757">
        <f t="shared" si="16"/>
        <v>60</v>
      </c>
      <c r="M56" s="941">
        <f t="shared" si="17"/>
        <v>29.683031844356396</v>
      </c>
      <c r="N56" s="1279">
        <f>+X18</f>
        <v>29.683031844356396</v>
      </c>
    </row>
    <row r="57" spans="2:42">
      <c r="B57" s="928">
        <v>9</v>
      </c>
      <c r="C57" s="757" t="s">
        <v>835</v>
      </c>
      <c r="D57" s="1239">
        <f t="shared" ref="D57:E57" si="27">D41</f>
        <v>895.8</v>
      </c>
      <c r="E57" s="1239">
        <f t="shared" si="27"/>
        <v>254.5</v>
      </c>
      <c r="F57" s="941">
        <f t="shared" si="19"/>
        <v>316.48893168241744</v>
      </c>
      <c r="G57" s="941">
        <f t="shared" si="13"/>
        <v>957.78893168241734</v>
      </c>
      <c r="H57" s="1278">
        <f t="shared" si="14"/>
        <v>33.043703180666796</v>
      </c>
      <c r="I57" s="1064">
        <f t="shared" si="15"/>
        <v>28.410359455235547</v>
      </c>
      <c r="J57" s="1281">
        <f t="shared" ref="J57:K57" si="28">H41</f>
        <v>9</v>
      </c>
      <c r="K57" s="1281">
        <f t="shared" si="28"/>
        <v>30</v>
      </c>
      <c r="L57" s="757">
        <f t="shared" si="16"/>
        <v>570</v>
      </c>
      <c r="M57" s="941">
        <f t="shared" si="17"/>
        <v>1.9988774632573734</v>
      </c>
      <c r="N57" s="1279">
        <f>+Y18</f>
        <v>1.9988774632573729</v>
      </c>
    </row>
    <row r="58" spans="2:42">
      <c r="B58" s="928">
        <v>10</v>
      </c>
      <c r="C58" s="757" t="s">
        <v>836</v>
      </c>
      <c r="D58" s="1239">
        <f t="shared" ref="D58:E58" si="29">D42</f>
        <v>5443.9</v>
      </c>
      <c r="E58" s="1239">
        <f t="shared" si="29"/>
        <v>455.8</v>
      </c>
      <c r="F58" s="941">
        <f t="shared" si="19"/>
        <v>692.10385952747572</v>
      </c>
      <c r="G58" s="941">
        <f t="shared" si="13"/>
        <v>5680.2038595274753</v>
      </c>
      <c r="H58" s="1278">
        <f t="shared" si="14"/>
        <v>12.184489793735159</v>
      </c>
      <c r="I58" s="1064">
        <f t="shared" si="15"/>
        <v>8.3726740020940884</v>
      </c>
      <c r="J58" s="1281">
        <f t="shared" ref="J58:K58" si="30">H42</f>
        <v>1</v>
      </c>
      <c r="K58" s="1281">
        <f t="shared" si="30"/>
        <v>30</v>
      </c>
      <c r="L58" s="757">
        <f t="shared" si="16"/>
        <v>90</v>
      </c>
      <c r="M58" s="941">
        <f t="shared" si="17"/>
        <v>27.684154381099031</v>
      </c>
      <c r="N58" s="1279">
        <f>+Z18</f>
        <v>27.684154381099024</v>
      </c>
    </row>
    <row r="59" spans="2:42">
      <c r="B59" s="928">
        <v>11</v>
      </c>
      <c r="C59" s="757" t="s">
        <v>837</v>
      </c>
      <c r="D59" s="1239">
        <f t="shared" ref="D59:E59" si="31">D43</f>
        <v>5711.8</v>
      </c>
      <c r="E59" s="1239">
        <f t="shared" si="31"/>
        <v>660</v>
      </c>
      <c r="F59" s="941">
        <f t="shared" si="19"/>
        <v>523.74693324384691</v>
      </c>
      <c r="G59" s="941">
        <f t="shared" si="13"/>
        <v>5575.546933243847</v>
      </c>
      <c r="H59" s="1278">
        <f t="shared" si="14"/>
        <v>9.3936422653182028</v>
      </c>
      <c r="I59" s="1064">
        <f t="shared" si="15"/>
        <v>11.555026436499876</v>
      </c>
      <c r="J59" s="1281">
        <f t="shared" ref="J59:K59" si="32">H43</f>
        <v>2</v>
      </c>
      <c r="K59" s="1281">
        <f t="shared" si="32"/>
        <v>10</v>
      </c>
      <c r="L59" s="757">
        <f t="shared" si="16"/>
        <v>130</v>
      </c>
      <c r="M59" s="941">
        <f t="shared" si="17"/>
        <v>14.503761228291147</v>
      </c>
      <c r="N59" s="1279">
        <f>+AA18</f>
        <v>14.503761228291145</v>
      </c>
    </row>
    <row r="60" spans="2:42">
      <c r="B60" s="928">
        <v>12</v>
      </c>
      <c r="C60" s="942" t="s">
        <v>838</v>
      </c>
      <c r="D60" s="1239">
        <f t="shared" ref="D60:E60" si="33">D44</f>
        <v>1329.1</v>
      </c>
      <c r="E60" s="1239">
        <f t="shared" si="33"/>
        <v>249.3</v>
      </c>
      <c r="F60" s="941">
        <f t="shared" si="19"/>
        <v>227.60460013082795</v>
      </c>
      <c r="G60" s="941">
        <f t="shared" si="13"/>
        <v>1307.4046001308279</v>
      </c>
      <c r="H60" s="1278">
        <f t="shared" si="14"/>
        <v>17.408887815451486</v>
      </c>
      <c r="I60" s="1064">
        <f t="shared" si="15"/>
        <v>18.757053645323907</v>
      </c>
      <c r="J60" s="1281">
        <f t="shared" ref="J60:K60" si="34">H44</f>
        <v>3</v>
      </c>
      <c r="K60" s="1281">
        <f t="shared" si="34"/>
        <v>30</v>
      </c>
      <c r="L60" s="757">
        <f t="shared" si="16"/>
        <v>210</v>
      </c>
      <c r="M60" s="941">
        <f t="shared" si="17"/>
        <v>3.9017931450999077</v>
      </c>
      <c r="N60" s="1279">
        <f>+AB18</f>
        <v>3.9017931450999077</v>
      </c>
    </row>
    <row r="61" spans="2:42">
      <c r="B61" s="928">
        <v>13</v>
      </c>
      <c r="C61" s="757" t="s">
        <v>839</v>
      </c>
      <c r="D61" s="1239">
        <f t="shared" ref="D61:E61" si="35">D45</f>
        <v>2992.1</v>
      </c>
      <c r="E61" s="1239">
        <f t="shared" si="35"/>
        <v>494.2</v>
      </c>
      <c r="F61" s="941">
        <f t="shared" si="19"/>
        <v>675.0760052765595</v>
      </c>
      <c r="G61" s="941">
        <f t="shared" si="13"/>
        <v>3172.9760052765596</v>
      </c>
      <c r="H61" s="1278">
        <f t="shared" si="14"/>
        <v>21.275799254514666</v>
      </c>
      <c r="I61" s="1064">
        <f t="shared" si="15"/>
        <v>16.516827646134821</v>
      </c>
      <c r="J61" s="1281">
        <f t="shared" ref="J61:K61" si="36">H45</f>
        <v>0</v>
      </c>
      <c r="K61" s="1281">
        <f t="shared" si="36"/>
        <v>55</v>
      </c>
      <c r="L61" s="757">
        <f t="shared" si="16"/>
        <v>55</v>
      </c>
      <c r="M61" s="941">
        <f t="shared" si="17"/>
        <v>44.186793072647532</v>
      </c>
      <c r="N61" s="1279">
        <f>+AC18</f>
        <v>44.186793072647539</v>
      </c>
      <c r="AP61" s="4" t="s">
        <v>1356</v>
      </c>
    </row>
  </sheetData>
  <mergeCells count="7">
    <mergeCell ref="P44:Q44"/>
    <mergeCell ref="P2:AC2"/>
    <mergeCell ref="E3:F3"/>
    <mergeCell ref="P13:AC13"/>
    <mergeCell ref="P19:AC19"/>
    <mergeCell ref="P26:AC26"/>
    <mergeCell ref="B31:M31"/>
  </mergeCells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C1DA4-DFDF-4E53-9A26-A500B1C45C9B}">
  <dimension ref="A2:AC73"/>
  <sheetViews>
    <sheetView topLeftCell="G19" zoomScale="70" zoomScaleNormal="70" workbookViewId="0">
      <selection activeCell="T28" sqref="T28"/>
    </sheetView>
  </sheetViews>
  <sheetFormatPr baseColWidth="10" defaultColWidth="10.7265625" defaultRowHeight="14.5"/>
  <cols>
    <col min="1" max="1" width="10.7265625" style="4"/>
    <col min="2" max="2" width="25.453125" style="4" bestFit="1" customWidth="1"/>
    <col min="3" max="3" width="12.54296875" style="4" bestFit="1" customWidth="1"/>
    <col min="4" max="11" width="10.7265625" style="4"/>
    <col min="12" max="12" width="28.453125" style="4" bestFit="1" customWidth="1"/>
    <col min="13" max="14" width="10.7265625" style="4"/>
    <col min="15" max="15" width="11.7265625" style="4" bestFit="1" customWidth="1"/>
    <col min="16" max="18" width="10.7265625" style="4"/>
    <col min="19" max="19" width="12.7265625" style="4" bestFit="1" customWidth="1"/>
    <col min="20" max="16384" width="10.7265625" style="4"/>
  </cols>
  <sheetData>
    <row r="2" spans="11:29">
      <c r="R2" s="4" t="s">
        <v>880</v>
      </c>
      <c r="S2" s="4">
        <f>+SUMX2MY2(P9:Q18,P27:Q36)</f>
        <v>21.760580163374925</v>
      </c>
    </row>
    <row r="4" spans="11:29">
      <c r="K4" s="4" t="s">
        <v>870</v>
      </c>
      <c r="L4" s="1464" t="s">
        <v>870</v>
      </c>
      <c r="M4" s="1464"/>
      <c r="N4" s="1464"/>
      <c r="O4" s="1464"/>
      <c r="P4" s="1464"/>
      <c r="Q4" s="1464"/>
    </row>
    <row r="5" spans="11:29">
      <c r="L5" s="928"/>
      <c r="M5" s="928" t="s">
        <v>863</v>
      </c>
      <c r="N5" s="928" t="s">
        <v>874</v>
      </c>
      <c r="O5" s="928" t="s">
        <v>873</v>
      </c>
      <c r="P5" s="928" t="s">
        <v>869</v>
      </c>
      <c r="Q5" s="928" t="s">
        <v>875</v>
      </c>
    </row>
    <row r="6" spans="11:29">
      <c r="K6" s="4">
        <v>1</v>
      </c>
      <c r="L6" s="757" t="s">
        <v>844</v>
      </c>
      <c r="M6" s="928" t="e">
        <f t="shared" ref="M6:M18" si="0">+I24</f>
        <v>#DIV/0!</v>
      </c>
      <c r="N6" s="928"/>
      <c r="O6" s="928"/>
      <c r="P6" s="649" t="e">
        <f t="shared" ref="P6:P8" si="1">+M6*N6</f>
        <v>#DIV/0!</v>
      </c>
      <c r="Q6" s="928"/>
    </row>
    <row r="7" spans="11:29">
      <c r="K7" s="4">
        <v>2</v>
      </c>
      <c r="L7" s="757" t="s">
        <v>845</v>
      </c>
      <c r="M7" s="928" t="e">
        <f t="shared" si="0"/>
        <v>#DIV/0!</v>
      </c>
      <c r="N7" s="928"/>
      <c r="O7" s="928"/>
      <c r="P7" s="649" t="e">
        <f t="shared" si="1"/>
        <v>#DIV/0!</v>
      </c>
      <c r="Q7" s="928"/>
      <c r="T7" s="4" t="s">
        <v>490</v>
      </c>
      <c r="U7" s="4" t="s">
        <v>863</v>
      </c>
      <c r="V7" s="4" t="s">
        <v>869</v>
      </c>
      <c r="W7" s="4" t="s">
        <v>875</v>
      </c>
      <c r="Z7" s="4" t="s">
        <v>490</v>
      </c>
      <c r="AA7" s="4" t="s">
        <v>863</v>
      </c>
      <c r="AB7" s="4" t="s">
        <v>869</v>
      </c>
      <c r="AC7" s="4" t="s">
        <v>875</v>
      </c>
    </row>
    <row r="8" spans="11:29">
      <c r="K8" s="4">
        <v>3</v>
      </c>
      <c r="L8" s="757" t="s">
        <v>846</v>
      </c>
      <c r="M8" s="928" t="e">
        <f t="shared" si="0"/>
        <v>#DIV/0!</v>
      </c>
      <c r="N8" s="928"/>
      <c r="O8" s="928"/>
      <c r="P8" s="649" t="e">
        <f t="shared" si="1"/>
        <v>#DIV/0!</v>
      </c>
      <c r="Q8" s="928"/>
      <c r="S8" s="127" t="s">
        <v>847</v>
      </c>
      <c r="T8" s="127" t="s">
        <v>848</v>
      </c>
      <c r="U8" s="946">
        <f>+M25+M26-M24</f>
        <v>0</v>
      </c>
      <c r="V8" s="946">
        <f>+P25+P26-P24</f>
        <v>0</v>
      </c>
      <c r="W8" s="946">
        <f>+Q25+Q26-Q24</f>
        <v>0</v>
      </c>
      <c r="Y8" s="127" t="s">
        <v>847</v>
      </c>
      <c r="Z8" s="127"/>
      <c r="AA8" s="946"/>
      <c r="AB8" s="946"/>
      <c r="AC8" s="946"/>
    </row>
    <row r="9" spans="11:29">
      <c r="K9" s="4">
        <v>4</v>
      </c>
      <c r="L9" s="757" t="s">
        <v>830</v>
      </c>
      <c r="M9" s="649">
        <f t="shared" si="0"/>
        <v>25.527272727272727</v>
      </c>
      <c r="N9" s="779">
        <v>3.7</v>
      </c>
      <c r="O9" s="779">
        <v>13.5</v>
      </c>
      <c r="P9" s="649">
        <f>+M9*N9/100</f>
        <v>0.94450909090909096</v>
      </c>
      <c r="Q9" s="649">
        <f>+M9*O9/100</f>
        <v>3.4461818181818185</v>
      </c>
      <c r="S9" s="127" t="s">
        <v>849</v>
      </c>
      <c r="T9" s="947" t="s">
        <v>850</v>
      </c>
      <c r="U9" s="946">
        <f>+M27-M25</f>
        <v>13.174205511360286</v>
      </c>
      <c r="V9" s="946">
        <f>+P27-P25</f>
        <v>0.53619016431236366</v>
      </c>
      <c r="W9" s="946">
        <f>+Q27-Q25</f>
        <v>0.85966333598118039</v>
      </c>
      <c r="Y9" s="127" t="s">
        <v>849</v>
      </c>
      <c r="Z9" s="947"/>
      <c r="AA9" s="946"/>
      <c r="AB9" s="946"/>
      <c r="AC9" s="946"/>
    </row>
    <row r="10" spans="11:29">
      <c r="K10" s="4">
        <v>5</v>
      </c>
      <c r="L10" s="757" t="s">
        <v>831</v>
      </c>
      <c r="M10" s="649">
        <f t="shared" si="0"/>
        <v>2.0030000000000001</v>
      </c>
      <c r="N10" s="779">
        <v>23.77</v>
      </c>
      <c r="O10" s="779">
        <v>16.8</v>
      </c>
      <c r="P10" s="649">
        <f t="shared" ref="P10:P18" si="2">+M10*N10/100</f>
        <v>0.47611310000000001</v>
      </c>
      <c r="Q10" s="649">
        <f t="shared" ref="Q10:Q18" si="3">+M10*O10/100</f>
        <v>0.33650400000000003</v>
      </c>
      <c r="S10" s="4" t="s">
        <v>851</v>
      </c>
      <c r="T10" s="4" t="s">
        <v>852</v>
      </c>
      <c r="U10" s="97">
        <f>+M28+M29-M27</f>
        <v>-3.907985046680551E-14</v>
      </c>
      <c r="V10" s="97">
        <f>+P28+P29-P27</f>
        <v>-1.5102610273487471E-9</v>
      </c>
      <c r="W10" s="97">
        <f>+Q28+Q29-Q27</f>
        <v>0</v>
      </c>
      <c r="Y10" s="4" t="s">
        <v>851</v>
      </c>
      <c r="Z10" s="4" t="s">
        <v>886</v>
      </c>
      <c r="AA10" s="97" t="e">
        <f>+S35+S36-S27</f>
        <v>#VALUE!</v>
      </c>
      <c r="AB10" s="97">
        <f>+V35+V36-V27</f>
        <v>0</v>
      </c>
      <c r="AC10" s="97">
        <f>+W35+W36-W27</f>
        <v>0</v>
      </c>
    </row>
    <row r="11" spans="11:29">
      <c r="K11" s="4">
        <v>6</v>
      </c>
      <c r="L11" s="757" t="s">
        <v>832</v>
      </c>
      <c r="M11" s="649">
        <f t="shared" si="0"/>
        <v>22.685142857142861</v>
      </c>
      <c r="N11" s="779">
        <v>1.62</v>
      </c>
      <c r="O11" s="779">
        <v>4.33</v>
      </c>
      <c r="P11" s="649">
        <f t="shared" si="2"/>
        <v>0.36749931428571436</v>
      </c>
      <c r="Q11" s="649">
        <f t="shared" si="3"/>
        <v>0.98226668571428588</v>
      </c>
      <c r="S11" s="4" t="s">
        <v>853</v>
      </c>
      <c r="T11" s="933" t="s">
        <v>857</v>
      </c>
      <c r="U11" s="97">
        <f>+M30-M29-M33</f>
        <v>0</v>
      </c>
      <c r="V11" s="97">
        <f>+P30-P29-P33</f>
        <v>2.5395644580317178E-9</v>
      </c>
      <c r="W11" s="97">
        <f>+Q30-Q29-Q33</f>
        <v>0</v>
      </c>
      <c r="Y11" s="4" t="s">
        <v>853</v>
      </c>
      <c r="Z11" s="933" t="s">
        <v>887</v>
      </c>
      <c r="AA11" s="97" t="e">
        <f>+S28+S29-S36</f>
        <v>#VALUE!</v>
      </c>
      <c r="AB11" s="97">
        <f>+V28+V29-V36</f>
        <v>0</v>
      </c>
      <c r="AC11" s="97">
        <f>+W28+W29-W36</f>
        <v>0</v>
      </c>
    </row>
    <row r="12" spans="11:29">
      <c r="K12" s="4">
        <v>7</v>
      </c>
      <c r="L12" s="757" t="s">
        <v>833</v>
      </c>
      <c r="M12" s="649">
        <f>+I30</f>
        <v>44.88</v>
      </c>
      <c r="N12" s="779">
        <v>1.6</v>
      </c>
      <c r="O12" s="779">
        <v>4.3</v>
      </c>
      <c r="P12" s="649">
        <f t="shared" si="2"/>
        <v>0.71808000000000005</v>
      </c>
      <c r="Q12" s="649">
        <f t="shared" si="3"/>
        <v>1.92984</v>
      </c>
      <c r="S12" s="4" t="s">
        <v>854</v>
      </c>
      <c r="T12" s="934" t="s">
        <v>858</v>
      </c>
      <c r="U12" s="97">
        <f>+M36+M35-M30</f>
        <v>0</v>
      </c>
      <c r="V12" s="97">
        <f>+P36+P35-P30</f>
        <v>0</v>
      </c>
      <c r="W12" s="97">
        <f>+Q36+Q35-Q30</f>
        <v>0</v>
      </c>
      <c r="Y12" s="4" t="s">
        <v>854</v>
      </c>
      <c r="Z12" s="934" t="s">
        <v>889</v>
      </c>
      <c r="AA12" s="97" t="e">
        <f>+S30-S33-S29</f>
        <v>#VALUE!</v>
      </c>
      <c r="AB12" s="97">
        <f>+V30-V33-V29</f>
        <v>0</v>
      </c>
      <c r="AC12" s="97">
        <f>+W30-W33-W29</f>
        <v>0</v>
      </c>
    </row>
    <row r="13" spans="11:29">
      <c r="K13" s="4">
        <v>8</v>
      </c>
      <c r="L13" s="757" t="s">
        <v>834</v>
      </c>
      <c r="M13" s="649">
        <f t="shared" si="0"/>
        <v>31.977</v>
      </c>
      <c r="N13" s="779">
        <v>0.7</v>
      </c>
      <c r="O13" s="779">
        <v>3.67</v>
      </c>
      <c r="P13" s="649">
        <f t="shared" si="2"/>
        <v>0.22383900000000001</v>
      </c>
      <c r="Q13" s="649">
        <f t="shared" si="3"/>
        <v>1.1735559</v>
      </c>
      <c r="S13" s="4" t="s">
        <v>855</v>
      </c>
      <c r="T13" s="4" t="s">
        <v>859</v>
      </c>
      <c r="U13" s="97">
        <f>+M31+M34-M36</f>
        <v>0</v>
      </c>
      <c r="V13" s="97">
        <f>+P31+P34-P36</f>
        <v>0</v>
      </c>
      <c r="W13" s="97">
        <f>+Q31+Q34-Q36</f>
        <v>0</v>
      </c>
      <c r="Y13" s="4" t="s">
        <v>855</v>
      </c>
      <c r="Z13" s="4" t="s">
        <v>888</v>
      </c>
      <c r="AA13" s="97" t="e">
        <f>+S31+S34-S30</f>
        <v>#VALUE!</v>
      </c>
      <c r="AB13" s="97">
        <f>+V31+V34-V30</f>
        <v>0</v>
      </c>
      <c r="AC13" s="97">
        <f>+W31+W34-W30</f>
        <v>0</v>
      </c>
    </row>
    <row r="14" spans="11:29">
      <c r="K14" s="4">
        <v>9</v>
      </c>
      <c r="L14" s="757" t="s">
        <v>835</v>
      </c>
      <c r="M14" s="649">
        <f t="shared" si="0"/>
        <v>1.9574999999999998</v>
      </c>
      <c r="N14" s="779">
        <v>9.4499999999999993</v>
      </c>
      <c r="O14" s="779">
        <v>10</v>
      </c>
      <c r="P14" s="649">
        <f t="shared" si="2"/>
        <v>0.18498374999999995</v>
      </c>
      <c r="Q14" s="649">
        <f t="shared" si="3"/>
        <v>0.19574999999999998</v>
      </c>
      <c r="S14" s="4" t="s">
        <v>856</v>
      </c>
      <c r="T14" s="4" t="s">
        <v>860</v>
      </c>
      <c r="U14" s="97">
        <f>+M32+M33-M31</f>
        <v>1.5099033134902129E-14</v>
      </c>
      <c r="V14" s="97">
        <f>+P32+P33-P31</f>
        <v>-1.0293038782416275E-9</v>
      </c>
      <c r="W14" s="97">
        <f>+Q32+Q33-Q31</f>
        <v>0</v>
      </c>
      <c r="Y14" s="4" t="s">
        <v>856</v>
      </c>
      <c r="Z14" s="4" t="s">
        <v>860</v>
      </c>
      <c r="AA14" s="97" t="e">
        <f>+S32+S33-S31</f>
        <v>#VALUE!</v>
      </c>
      <c r="AB14" s="97">
        <f>+V32+V33-V31</f>
        <v>0</v>
      </c>
      <c r="AC14" s="97">
        <f>+W32+W33-W31</f>
        <v>0</v>
      </c>
    </row>
    <row r="15" spans="11:29">
      <c r="K15" s="4">
        <v>10</v>
      </c>
      <c r="L15" s="757" t="s">
        <v>836</v>
      </c>
      <c r="M15" s="649">
        <f t="shared" si="0"/>
        <v>24.650999999999996</v>
      </c>
      <c r="N15" s="779">
        <v>0.28999999999999998</v>
      </c>
      <c r="O15" s="779">
        <v>2.17</v>
      </c>
      <c r="P15" s="649">
        <f t="shared" si="2"/>
        <v>7.1487899999999979E-2</v>
      </c>
      <c r="Q15" s="649">
        <f t="shared" si="3"/>
        <v>0.53492669999999987</v>
      </c>
      <c r="S15" s="4" t="s">
        <v>861</v>
      </c>
      <c r="T15" s="4" t="s">
        <v>862</v>
      </c>
      <c r="U15" s="97">
        <f>+M28+M35+M32+M34-M27</f>
        <v>0</v>
      </c>
      <c r="V15" s="97">
        <f>+P28+P35+P32+P34-P27</f>
        <v>0</v>
      </c>
      <c r="W15" s="97">
        <f>+Q28+Q35+Q32+Q34-Q27</f>
        <v>0</v>
      </c>
      <c r="Y15" s="4" t="s">
        <v>861</v>
      </c>
      <c r="Z15" s="4" t="s">
        <v>862</v>
      </c>
      <c r="AA15" s="97">
        <f>(M10+M17+M14+M16-M9)/M9*100</f>
        <v>-1.5042491378017644</v>
      </c>
      <c r="AB15" s="97">
        <f>(P10+P17+P14+P16-P9)/P9*100</f>
        <v>-19.681641312365009</v>
      </c>
      <c r="AC15" s="97">
        <f>(Q10+Q17+Q14+Q16-Q9)/Q9*100</f>
        <v>-70.921852518285277</v>
      </c>
    </row>
    <row r="16" spans="11:29">
      <c r="K16" s="4">
        <v>11</v>
      </c>
      <c r="L16" s="757" t="s">
        <v>837</v>
      </c>
      <c r="M16" s="649">
        <f t="shared" si="0"/>
        <v>17.7012</v>
      </c>
      <c r="N16" s="779">
        <v>0.13</v>
      </c>
      <c r="O16" s="779">
        <v>1.6</v>
      </c>
      <c r="P16" s="649">
        <f t="shared" si="2"/>
        <v>2.301156E-2</v>
      </c>
      <c r="Q16" s="649">
        <f t="shared" si="3"/>
        <v>0.2832192</v>
      </c>
    </row>
    <row r="17" spans="1:21">
      <c r="K17" s="4">
        <v>12</v>
      </c>
      <c r="L17" s="757" t="s">
        <v>838</v>
      </c>
      <c r="M17" s="649">
        <f t="shared" si="0"/>
        <v>3.4815789473684209</v>
      </c>
      <c r="N17" s="779">
        <v>2.14</v>
      </c>
      <c r="O17" s="779">
        <v>5.36</v>
      </c>
      <c r="P17" s="649">
        <f t="shared" si="2"/>
        <v>7.4505789473684206E-2</v>
      </c>
      <c r="Q17" s="649">
        <f t="shared" si="3"/>
        <v>0.18661263157894736</v>
      </c>
    </row>
    <row r="18" spans="1:21">
      <c r="K18" s="4">
        <v>13</v>
      </c>
      <c r="L18" s="757" t="s">
        <v>839</v>
      </c>
      <c r="M18" s="649">
        <f t="shared" si="0"/>
        <v>46.92</v>
      </c>
      <c r="N18" s="779">
        <v>0.44</v>
      </c>
      <c r="O18" s="779">
        <v>4.18</v>
      </c>
      <c r="P18" s="649">
        <f t="shared" si="2"/>
        <v>0.20644799999999999</v>
      </c>
      <c r="Q18" s="649">
        <f t="shared" si="3"/>
        <v>1.9612559999999999</v>
      </c>
    </row>
    <row r="22" spans="1:21">
      <c r="K22" s="4" t="s">
        <v>871</v>
      </c>
      <c r="L22" s="1464" t="s">
        <v>871</v>
      </c>
      <c r="M22" s="1464"/>
      <c r="N22" s="1464"/>
      <c r="O22" s="1464"/>
      <c r="P22" s="1464"/>
      <c r="Q22" s="1464"/>
    </row>
    <row r="23" spans="1:21">
      <c r="C23" s="4" t="s">
        <v>867</v>
      </c>
      <c r="D23" s="4" t="s">
        <v>868</v>
      </c>
      <c r="E23" s="4" t="s">
        <v>310</v>
      </c>
      <c r="F23" s="4" t="s">
        <v>882</v>
      </c>
      <c r="G23" s="4" t="s">
        <v>865</v>
      </c>
      <c r="H23" s="4" t="s">
        <v>865</v>
      </c>
      <c r="I23" s="4" t="s">
        <v>866</v>
      </c>
      <c r="L23" s="928"/>
      <c r="M23" s="928" t="s">
        <v>863</v>
      </c>
      <c r="N23" s="928" t="s">
        <v>864</v>
      </c>
      <c r="O23" s="928" t="s">
        <v>873</v>
      </c>
      <c r="P23" s="928" t="s">
        <v>869</v>
      </c>
      <c r="Q23" s="928" t="s">
        <v>875</v>
      </c>
    </row>
    <row r="24" spans="1:21">
      <c r="A24" s="4">
        <v>1</v>
      </c>
      <c r="B24" s="757" t="s">
        <v>844</v>
      </c>
      <c r="C24" s="757"/>
      <c r="D24" s="757"/>
      <c r="E24" s="940"/>
      <c r="F24" s="940"/>
      <c r="G24" s="940"/>
      <c r="H24" s="757">
        <f t="shared" ref="H24:H26" si="4">+F24*60+G24</f>
        <v>0</v>
      </c>
      <c r="I24" s="941" t="e">
        <f t="shared" ref="I24:I36" si="5">+(D24/1000)/(H24/3600)</f>
        <v>#DIV/0!</v>
      </c>
      <c r="K24" s="4">
        <v>1</v>
      </c>
      <c r="L24" s="757" t="s">
        <v>844</v>
      </c>
      <c r="M24" s="936"/>
      <c r="N24" s="928"/>
      <c r="O24" s="928"/>
      <c r="P24" s="649">
        <f t="shared" ref="P24:P26" si="6">+M24*N24</f>
        <v>0</v>
      </c>
      <c r="Q24" s="928"/>
    </row>
    <row r="25" spans="1:21">
      <c r="A25" s="4">
        <v>2</v>
      </c>
      <c r="B25" s="757" t="s">
        <v>845</v>
      </c>
      <c r="C25" s="757"/>
      <c r="D25" s="757"/>
      <c r="E25" s="940"/>
      <c r="F25" s="940"/>
      <c r="G25" s="940"/>
      <c r="H25" s="757">
        <f t="shared" si="4"/>
        <v>0</v>
      </c>
      <c r="I25" s="941" t="e">
        <f t="shared" si="5"/>
        <v>#DIV/0!</v>
      </c>
      <c r="K25" s="4">
        <v>2</v>
      </c>
      <c r="L25" s="757" t="s">
        <v>845</v>
      </c>
      <c r="M25" s="936"/>
      <c r="N25" s="928"/>
      <c r="O25" s="928"/>
      <c r="P25" s="649">
        <f t="shared" si="6"/>
        <v>0</v>
      </c>
      <c r="Q25" s="928"/>
    </row>
    <row r="26" spans="1:21">
      <c r="A26" s="4">
        <v>3</v>
      </c>
      <c r="B26" s="757" t="s">
        <v>846</v>
      </c>
      <c r="C26" s="757"/>
      <c r="D26" s="757"/>
      <c r="E26" s="940"/>
      <c r="F26" s="940"/>
      <c r="G26" s="940"/>
      <c r="H26" s="757">
        <f t="shared" si="4"/>
        <v>0</v>
      </c>
      <c r="I26" s="941" t="e">
        <f t="shared" si="5"/>
        <v>#DIV/0!</v>
      </c>
      <c r="K26" s="4">
        <v>3</v>
      </c>
      <c r="L26" s="757" t="s">
        <v>846</v>
      </c>
      <c r="M26" s="936"/>
      <c r="N26" s="928"/>
      <c r="O26" s="928"/>
      <c r="P26" s="649">
        <f t="shared" si="6"/>
        <v>0</v>
      </c>
      <c r="Q26" s="928"/>
    </row>
    <row r="27" spans="1:21">
      <c r="A27" s="4">
        <v>4</v>
      </c>
      <c r="B27" s="757" t="s">
        <v>830</v>
      </c>
      <c r="C27" s="757">
        <v>2131.1999999999998</v>
      </c>
      <c r="D27" s="757">
        <v>390</v>
      </c>
      <c r="E27" s="1085">
        <f>+D27/C27*100</f>
        <v>18.29954954954955</v>
      </c>
      <c r="F27" s="1106">
        <v>0</v>
      </c>
      <c r="G27" s="1106">
        <v>55</v>
      </c>
      <c r="H27" s="757">
        <f>+F27*60+G27</f>
        <v>55</v>
      </c>
      <c r="I27" s="941">
        <f>+(D27/1000)/(H27/3600)</f>
        <v>25.527272727272727</v>
      </c>
      <c r="K27" s="4">
        <v>4</v>
      </c>
      <c r="L27" s="757" t="s">
        <v>830</v>
      </c>
      <c r="M27" s="945">
        <v>13.174205511360286</v>
      </c>
      <c r="N27" s="779">
        <v>4.07</v>
      </c>
      <c r="O27" s="779">
        <v>6.5253524035273447</v>
      </c>
      <c r="P27" s="649">
        <f>+M27*N27/100</f>
        <v>0.53619016431236366</v>
      </c>
      <c r="Q27" s="649">
        <f>+M27*O27/100</f>
        <v>0.85966333598118039</v>
      </c>
      <c r="S27" s="4" t="s">
        <v>761</v>
      </c>
      <c r="T27" s="117">
        <f>+(P28+P32+P35)/P27*100</f>
        <v>98.617309704565599</v>
      </c>
    </row>
    <row r="28" spans="1:21">
      <c r="A28" s="4">
        <v>5</v>
      </c>
      <c r="B28" s="757" t="s">
        <v>831</v>
      </c>
      <c r="C28" s="757">
        <v>756.4</v>
      </c>
      <c r="D28" s="757">
        <v>200.3</v>
      </c>
      <c r="E28" s="1085">
        <f>+D28/C28*100</f>
        <v>26.480698043363304</v>
      </c>
      <c r="F28" s="1107">
        <v>6</v>
      </c>
      <c r="G28" s="1107">
        <v>0</v>
      </c>
      <c r="H28" s="757">
        <f>+F28*60+G28</f>
        <v>360</v>
      </c>
      <c r="I28" s="941">
        <f t="shared" si="5"/>
        <v>2.0030000000000001</v>
      </c>
      <c r="K28" s="4">
        <v>5</v>
      </c>
      <c r="L28" s="757" t="s">
        <v>831</v>
      </c>
      <c r="M28" s="945">
        <v>1.6551131399728505</v>
      </c>
      <c r="N28" s="779">
        <v>21.393000000000001</v>
      </c>
      <c r="O28" s="779">
        <v>20.16</v>
      </c>
      <c r="P28" s="649">
        <f t="shared" ref="P28:P36" si="7">+M28*N28/100</f>
        <v>0.35407835403439192</v>
      </c>
      <c r="Q28" s="649">
        <f>+M28*O28/100</f>
        <v>0.33367080901852669</v>
      </c>
      <c r="S28" s="4" t="s">
        <v>883</v>
      </c>
      <c r="T28" s="117">
        <f>+(M28+M32+M35)/M27*100</f>
        <v>60.646506976099744</v>
      </c>
      <c r="U28" s="117">
        <f>+M35/M30*100</f>
        <v>33.823769632383311</v>
      </c>
    </row>
    <row r="29" spans="1:21">
      <c r="A29" s="4">
        <v>6</v>
      </c>
      <c r="B29" s="757" t="s">
        <v>832</v>
      </c>
      <c r="C29" s="757">
        <v>2532.3000000000002</v>
      </c>
      <c r="D29" s="757">
        <v>441.1</v>
      </c>
      <c r="E29" s="1085">
        <f t="shared" ref="E29:E36" si="8">+D29/C29*100</f>
        <v>17.418947202148242</v>
      </c>
      <c r="F29" s="1107">
        <v>1</v>
      </c>
      <c r="G29" s="1107">
        <v>10</v>
      </c>
      <c r="H29" s="757">
        <f>+F29*60+G29</f>
        <v>70</v>
      </c>
      <c r="I29" s="941">
        <f>+(D29/1000)/(H29/3600)</f>
        <v>22.685142857142861</v>
      </c>
      <c r="K29" s="4">
        <v>6</v>
      </c>
      <c r="L29" s="757" t="s">
        <v>832</v>
      </c>
      <c r="M29" s="945">
        <v>11.519092371387396</v>
      </c>
      <c r="N29" s="779">
        <v>1.5809562324551152</v>
      </c>
      <c r="O29" s="779">
        <v>4.566267115534048</v>
      </c>
      <c r="P29" s="649">
        <f t="shared" si="7"/>
        <v>0.18211180876771077</v>
      </c>
      <c r="Q29" s="649">
        <f t="shared" ref="Q29:Q36" si="9">+M29*O29/100</f>
        <v>0.52599252696265386</v>
      </c>
      <c r="S29" s="4" t="s">
        <v>753</v>
      </c>
      <c r="T29" s="117">
        <f>+T27/T28</f>
        <v>1.6261004074551204</v>
      </c>
    </row>
    <row r="30" spans="1:21">
      <c r="A30" s="4">
        <v>7</v>
      </c>
      <c r="B30" s="757" t="s">
        <v>833</v>
      </c>
      <c r="C30" s="757">
        <v>3097.2</v>
      </c>
      <c r="D30" s="757">
        <v>374</v>
      </c>
      <c r="E30" s="1085">
        <f t="shared" si="8"/>
        <v>12.075422962675967</v>
      </c>
      <c r="F30" s="1107">
        <v>0</v>
      </c>
      <c r="G30" s="1107">
        <v>30</v>
      </c>
      <c r="H30" s="757">
        <f t="shared" ref="H30:H36" si="10">+F30*60+G30</f>
        <v>30</v>
      </c>
      <c r="I30" s="941">
        <f t="shared" si="5"/>
        <v>44.88</v>
      </c>
      <c r="K30" s="4">
        <v>7</v>
      </c>
      <c r="L30" s="757" t="s">
        <v>833</v>
      </c>
      <c r="M30" s="945">
        <v>17.498594257393744</v>
      </c>
      <c r="N30" s="779">
        <v>1.1200000000000001</v>
      </c>
      <c r="O30" s="779">
        <v>4.0440379601379748</v>
      </c>
      <c r="P30" s="649">
        <f t="shared" si="7"/>
        <v>0.19598425568280994</v>
      </c>
      <c r="Q30" s="649">
        <f t="shared" si="9"/>
        <v>0.70764979425952679</v>
      </c>
      <c r="S30" s="4" t="s">
        <v>884</v>
      </c>
      <c r="T30" s="117">
        <f>+SUM(P28,P32,P35)/SUM(M28,M32,M35)*100</f>
        <v>6.61822865834234</v>
      </c>
    </row>
    <row r="31" spans="1:21">
      <c r="A31" s="4">
        <v>8</v>
      </c>
      <c r="B31" s="757" t="s">
        <v>834</v>
      </c>
      <c r="C31" s="757">
        <v>2301.5</v>
      </c>
      <c r="D31" s="757">
        <v>355.3</v>
      </c>
      <c r="E31" s="1085">
        <f t="shared" si="8"/>
        <v>15.437757983923529</v>
      </c>
      <c r="F31" s="1107">
        <v>0</v>
      </c>
      <c r="G31" s="1107">
        <v>40</v>
      </c>
      <c r="H31" s="757">
        <f t="shared" si="10"/>
        <v>40</v>
      </c>
      <c r="I31" s="941">
        <f t="shared" si="5"/>
        <v>31.977</v>
      </c>
      <c r="K31" s="4">
        <v>8</v>
      </c>
      <c r="L31" s="757" t="s">
        <v>834</v>
      </c>
      <c r="M31" s="945">
        <v>6.3954000000000004</v>
      </c>
      <c r="N31" s="779">
        <v>0.76999999999999991</v>
      </c>
      <c r="O31" s="779">
        <v>3.6208062197221902</v>
      </c>
      <c r="P31" s="649">
        <f t="shared" si="7"/>
        <v>4.9244579999999996E-2</v>
      </c>
      <c r="Q31" s="649">
        <f t="shared" si="9"/>
        <v>0.23156504097611297</v>
      </c>
      <c r="S31" s="4" t="s">
        <v>753</v>
      </c>
      <c r="T31" s="117">
        <f>+T30/N27</f>
        <v>1.6261004074551202</v>
      </c>
    </row>
    <row r="32" spans="1:21">
      <c r="A32" s="4">
        <v>9</v>
      </c>
      <c r="B32" s="757" t="s">
        <v>835</v>
      </c>
      <c r="C32" s="757">
        <v>906.2</v>
      </c>
      <c r="D32" s="757">
        <v>174</v>
      </c>
      <c r="E32" s="1085">
        <f t="shared" si="8"/>
        <v>19.201059368792762</v>
      </c>
      <c r="F32" s="1107">
        <v>5</v>
      </c>
      <c r="G32" s="1107">
        <v>20</v>
      </c>
      <c r="H32" s="757">
        <f t="shared" si="10"/>
        <v>320</v>
      </c>
      <c r="I32" s="941">
        <f t="shared" si="5"/>
        <v>1.9574999999999998</v>
      </c>
      <c r="K32" s="4">
        <v>9</v>
      </c>
      <c r="L32" s="757" t="s">
        <v>835</v>
      </c>
      <c r="M32" s="945">
        <v>0.41589811399366738</v>
      </c>
      <c r="N32" s="779">
        <v>8.504999999999999</v>
      </c>
      <c r="O32" s="779">
        <v>12</v>
      </c>
      <c r="P32" s="649">
        <f t="shared" si="7"/>
        <v>3.5372134595161406E-2</v>
      </c>
      <c r="Q32" s="649">
        <f t="shared" si="9"/>
        <v>4.990777367924009E-2</v>
      </c>
    </row>
    <row r="33" spans="1:20">
      <c r="A33" s="4">
        <v>10</v>
      </c>
      <c r="B33" s="757" t="s">
        <v>836</v>
      </c>
      <c r="C33" s="757">
        <v>2960.9</v>
      </c>
      <c r="D33" s="757">
        <v>273.89999999999998</v>
      </c>
      <c r="E33" s="1085">
        <f t="shared" si="8"/>
        <v>9.2505657063730613</v>
      </c>
      <c r="F33" s="1107">
        <v>0</v>
      </c>
      <c r="G33" s="1107">
        <v>40</v>
      </c>
      <c r="H33" s="757">
        <f t="shared" si="10"/>
        <v>40</v>
      </c>
      <c r="I33" s="941">
        <f t="shared" si="5"/>
        <v>24.650999999999996</v>
      </c>
      <c r="K33" s="4">
        <v>10</v>
      </c>
      <c r="L33" s="757" t="s">
        <v>836</v>
      </c>
      <c r="M33" s="945">
        <v>5.9795018860063482</v>
      </c>
      <c r="N33" s="779">
        <v>0.23199999999999982</v>
      </c>
      <c r="O33" s="779">
        <v>3.0379999999999998</v>
      </c>
      <c r="P33" s="649">
        <f t="shared" si="7"/>
        <v>1.3872444375534716E-2</v>
      </c>
      <c r="Q33" s="649">
        <f t="shared" si="9"/>
        <v>0.18165726729687287</v>
      </c>
      <c r="S33" s="4" t="s">
        <v>804</v>
      </c>
      <c r="T33" s="4">
        <f>+P35/P30*100</f>
        <v>71.090315816634202</v>
      </c>
    </row>
    <row r="34" spans="1:20">
      <c r="A34" s="4">
        <v>11</v>
      </c>
      <c r="B34" s="757" t="s">
        <v>837</v>
      </c>
      <c r="C34" s="757">
        <v>4135.2</v>
      </c>
      <c r="D34" s="757">
        <v>491.7</v>
      </c>
      <c r="E34" s="1085">
        <f t="shared" si="8"/>
        <v>11.8905977945444</v>
      </c>
      <c r="F34" s="1107">
        <v>1</v>
      </c>
      <c r="G34" s="1107">
        <v>40</v>
      </c>
      <c r="H34" s="757">
        <f t="shared" si="10"/>
        <v>100</v>
      </c>
      <c r="I34" s="941">
        <f t="shared" si="5"/>
        <v>17.7012</v>
      </c>
      <c r="K34" s="4">
        <v>11</v>
      </c>
      <c r="L34" s="757" t="s">
        <v>837</v>
      </c>
      <c r="M34" s="945">
        <v>5.1845100468674543</v>
      </c>
      <c r="N34" s="779">
        <v>0.14300000000000002</v>
      </c>
      <c r="O34" s="779">
        <v>1.84</v>
      </c>
      <c r="P34" s="649">
        <f t="shared" si="7"/>
        <v>7.413849367020461E-3</v>
      </c>
      <c r="Q34" s="649">
        <f t="shared" si="9"/>
        <v>9.5394984862361157E-2</v>
      </c>
      <c r="S34" s="4" t="s">
        <v>943</v>
      </c>
      <c r="T34" s="4">
        <f>+P28/P27*100</f>
        <v>66.035965894391069</v>
      </c>
    </row>
    <row r="35" spans="1:20">
      <c r="A35" s="4">
        <v>12</v>
      </c>
      <c r="B35" s="942" t="s">
        <v>838</v>
      </c>
      <c r="C35" s="757">
        <v>2026</v>
      </c>
      <c r="D35" s="757">
        <v>367.5</v>
      </c>
      <c r="E35" s="1085">
        <f t="shared" si="8"/>
        <v>18.139190523198419</v>
      </c>
      <c r="F35" s="1108">
        <v>6</v>
      </c>
      <c r="G35" s="1108">
        <v>20</v>
      </c>
      <c r="H35" s="757">
        <f t="shared" si="10"/>
        <v>380</v>
      </c>
      <c r="I35" s="941">
        <f t="shared" si="5"/>
        <v>3.4815789473684209</v>
      </c>
      <c r="K35" s="4">
        <v>12</v>
      </c>
      <c r="L35" s="757" t="s">
        <v>838</v>
      </c>
      <c r="M35" s="945">
        <v>5.9186842105263153</v>
      </c>
      <c r="N35" s="779">
        <v>2.3540000000000001</v>
      </c>
      <c r="O35" s="779">
        <v>6.4320000000000013</v>
      </c>
      <c r="P35" s="649">
        <f t="shared" si="7"/>
        <v>0.13932582631578946</v>
      </c>
      <c r="Q35" s="649">
        <f t="shared" si="9"/>
        <v>0.38068976842105262</v>
      </c>
      <c r="S35" s="4" t="s">
        <v>951</v>
      </c>
      <c r="T35" s="4">
        <f>+P31/P36*100</f>
        <v>86.914834297655489</v>
      </c>
    </row>
    <row r="36" spans="1:20">
      <c r="A36" s="4">
        <v>13</v>
      </c>
      <c r="B36" s="757" t="s">
        <v>839</v>
      </c>
      <c r="C36" s="757">
        <v>4078.9</v>
      </c>
      <c r="D36" s="757">
        <v>586.5</v>
      </c>
      <c r="E36" s="1085">
        <f t="shared" si="8"/>
        <v>14.378876657922479</v>
      </c>
      <c r="F36" s="1107">
        <v>0</v>
      </c>
      <c r="G36" s="1107">
        <v>45</v>
      </c>
      <c r="H36" s="757">
        <f t="shared" si="10"/>
        <v>45</v>
      </c>
      <c r="I36" s="941">
        <f t="shared" si="5"/>
        <v>46.92</v>
      </c>
      <c r="K36" s="4">
        <v>13</v>
      </c>
      <c r="L36" s="757" t="s">
        <v>839</v>
      </c>
      <c r="M36" s="945">
        <v>11.57991004686745</v>
      </c>
      <c r="N36" s="779">
        <v>0.48928211996212745</v>
      </c>
      <c r="O36" s="779">
        <v>2.8235109298359533</v>
      </c>
      <c r="P36" s="649">
        <f t="shared" si="7"/>
        <v>5.6658429367020445E-2</v>
      </c>
      <c r="Q36" s="649">
        <f t="shared" si="9"/>
        <v>0.32696002583847411</v>
      </c>
      <c r="S36" s="4" t="s">
        <v>941</v>
      </c>
      <c r="T36" s="4">
        <f>+P32/P31*100</f>
        <v>71.829497977567087</v>
      </c>
    </row>
    <row r="38" spans="1:20">
      <c r="S38" s="4" t="s">
        <v>1118</v>
      </c>
      <c r="T38" s="4">
        <f>M35/(M33+M29)*100</f>
        <v>33.823769632383311</v>
      </c>
    </row>
    <row r="39" spans="1:20">
      <c r="K39" s="4" t="s">
        <v>872</v>
      </c>
    </row>
    <row r="40" spans="1:20">
      <c r="L40" s="928"/>
      <c r="M40" s="928" t="s">
        <v>876</v>
      </c>
      <c r="N40" s="928" t="s">
        <v>874</v>
      </c>
      <c r="O40" s="928" t="s">
        <v>873</v>
      </c>
    </row>
    <row r="41" spans="1:20">
      <c r="K41" s="4">
        <v>1</v>
      </c>
      <c r="L41" s="757" t="s">
        <v>844</v>
      </c>
      <c r="M41" s="928" t="e">
        <f>+(M6-M24)/M6*100</f>
        <v>#DIV/0!</v>
      </c>
      <c r="N41" s="928" t="e">
        <f t="shared" ref="N41:O41" si="11">+(N6-N24)/N6*100</f>
        <v>#DIV/0!</v>
      </c>
      <c r="O41" s="928" t="e">
        <f t="shared" si="11"/>
        <v>#DIV/0!</v>
      </c>
    </row>
    <row r="42" spans="1:20">
      <c r="K42" s="4">
        <v>2</v>
      </c>
      <c r="L42" s="757" t="s">
        <v>845</v>
      </c>
      <c r="M42" s="928" t="e">
        <f t="shared" ref="M42:O43" si="12">+(M7-M25)/M7*100</f>
        <v>#DIV/0!</v>
      </c>
      <c r="N42" s="928" t="e">
        <f t="shared" si="12"/>
        <v>#DIV/0!</v>
      </c>
      <c r="O42" s="928" t="e">
        <f t="shared" si="12"/>
        <v>#DIV/0!</v>
      </c>
    </row>
    <row r="43" spans="1:20">
      <c r="K43" s="4">
        <v>3</v>
      </c>
      <c r="L43" s="757" t="s">
        <v>846</v>
      </c>
      <c r="M43" s="928" t="e">
        <f t="shared" si="12"/>
        <v>#DIV/0!</v>
      </c>
      <c r="N43" s="928" t="e">
        <f t="shared" si="12"/>
        <v>#DIV/0!</v>
      </c>
      <c r="O43" s="928" t="e">
        <f t="shared" si="12"/>
        <v>#DIV/0!</v>
      </c>
    </row>
    <row r="44" spans="1:20">
      <c r="K44" s="4">
        <v>4</v>
      </c>
      <c r="L44" s="757" t="s">
        <v>830</v>
      </c>
      <c r="M44" s="948">
        <f>ABS((M9-M27)/M9*100)</f>
        <v>48.391645076580076</v>
      </c>
      <c r="N44" s="948">
        <f>ABS((N9-N27)/N9*100)</f>
        <v>10.000000000000002</v>
      </c>
      <c r="O44" s="948">
        <f>ABS((O9-O27)/O9*100)</f>
        <v>51.664056270167812</v>
      </c>
    </row>
    <row r="45" spans="1:20">
      <c r="K45" s="4">
        <v>5</v>
      </c>
      <c r="L45" s="757" t="s">
        <v>831</v>
      </c>
      <c r="M45" s="948">
        <f t="shared" ref="M45:O53" si="13">ABS((M10-M28)/M10*100)</f>
        <v>17.368290565509216</v>
      </c>
      <c r="N45" s="948">
        <f t="shared" si="13"/>
        <v>9.9999999999999947</v>
      </c>
      <c r="O45" s="948">
        <f>ABS((O10-O28)/O10*100)</f>
        <v>19.999999999999996</v>
      </c>
    </row>
    <row r="46" spans="1:20">
      <c r="K46" s="4">
        <v>6</v>
      </c>
      <c r="L46" s="757" t="s">
        <v>832</v>
      </c>
      <c r="M46" s="948">
        <f t="shared" si="13"/>
        <v>49.221865412408519</v>
      </c>
      <c r="N46" s="948">
        <f t="shared" si="13"/>
        <v>2.4101091077089456</v>
      </c>
      <c r="O46" s="948">
        <f t="shared" si="13"/>
        <v>5.4565153703013367</v>
      </c>
    </row>
    <row r="47" spans="1:20">
      <c r="K47" s="4">
        <v>7</v>
      </c>
      <c r="L47" s="757" t="s">
        <v>833</v>
      </c>
      <c r="M47" s="948">
        <f t="shared" si="13"/>
        <v>61.010262349835685</v>
      </c>
      <c r="N47" s="948">
        <f t="shared" si="13"/>
        <v>30</v>
      </c>
      <c r="O47" s="948">
        <f t="shared" si="13"/>
        <v>5.9526055781866285</v>
      </c>
    </row>
    <row r="48" spans="1:20">
      <c r="C48" s="1065" t="s">
        <v>945</v>
      </c>
      <c r="D48" s="1066" t="s">
        <v>949</v>
      </c>
      <c r="E48" s="1066" t="s">
        <v>950</v>
      </c>
      <c r="F48" s="1065" t="s">
        <v>947</v>
      </c>
      <c r="K48" s="4">
        <v>8</v>
      </c>
      <c r="L48" s="757" t="s">
        <v>834</v>
      </c>
      <c r="M48" s="948">
        <f t="shared" si="13"/>
        <v>80</v>
      </c>
      <c r="N48" s="948">
        <f t="shared" si="13"/>
        <v>9.9999999999999929</v>
      </c>
      <c r="O48" s="948">
        <f t="shared" si="13"/>
        <v>1.3404299803217914</v>
      </c>
    </row>
    <row r="49" spans="2:15">
      <c r="B49" s="1065" t="s">
        <v>942</v>
      </c>
      <c r="C49" s="649">
        <f>(I28/1000)/(PI()*(4*0.0254/2)^2)</f>
        <v>0.24706069115650878</v>
      </c>
      <c r="D49" s="649">
        <f>((I27/(E27*0.01))-I27)+I27/4.2</f>
        <v>120.04737662337662</v>
      </c>
      <c r="E49" s="649">
        <f>((I29/(E29*0.01))-I29)+I29/4.2</f>
        <v>112.9486530612245</v>
      </c>
      <c r="F49" s="649">
        <f>((E49-D49)*1000/3600)/(PI()*(4*2.54/2)^2)</f>
        <v>-2.4322066200619847E-2</v>
      </c>
      <c r="K49" s="4">
        <v>9</v>
      </c>
      <c r="L49" s="757" t="s">
        <v>835</v>
      </c>
      <c r="M49" s="948">
        <f t="shared" si="13"/>
        <v>78.753608480527831</v>
      </c>
      <c r="N49" s="948">
        <f t="shared" si="13"/>
        <v>10.000000000000004</v>
      </c>
      <c r="O49" s="948">
        <f t="shared" si="13"/>
        <v>20</v>
      </c>
    </row>
    <row r="50" spans="2:15">
      <c r="B50" s="1065" t="s">
        <v>946</v>
      </c>
      <c r="C50" s="649">
        <f>(I32/1000)/(PI()*(3*0.0254/2)^2)</f>
        <v>0.42924174000232174</v>
      </c>
      <c r="D50" s="649">
        <f>((I31/(E31*0.01))-I31)+I31/4.2</f>
        <v>182.77157142857141</v>
      </c>
      <c r="E50" s="649">
        <f>((I33/(E33*0.01))-I33)+I33/4.2</f>
        <v>247.69928571428571</v>
      </c>
      <c r="F50" s="649">
        <f>((E50-D50)*1000/3600)/(PI()*(3*2.54/2)^2)</f>
        <v>0.39548297224880957</v>
      </c>
      <c r="K50" s="4">
        <v>10</v>
      </c>
      <c r="L50" s="757" t="s">
        <v>836</v>
      </c>
      <c r="M50" s="948">
        <f t="shared" si="13"/>
        <v>75.743369899775487</v>
      </c>
      <c r="N50" s="948">
        <f t="shared" si="13"/>
        <v>20.000000000000057</v>
      </c>
      <c r="O50" s="948">
        <f t="shared" si="13"/>
        <v>40</v>
      </c>
    </row>
    <row r="51" spans="2:15">
      <c r="K51" s="4">
        <v>11</v>
      </c>
      <c r="L51" s="757" t="s">
        <v>837</v>
      </c>
      <c r="M51" s="948">
        <f t="shared" si="13"/>
        <v>70.710968483111571</v>
      </c>
      <c r="N51" s="948">
        <f t="shared" si="13"/>
        <v>10.000000000000009</v>
      </c>
      <c r="O51" s="948">
        <f t="shared" si="13"/>
        <v>15</v>
      </c>
    </row>
    <row r="52" spans="2:15">
      <c r="K52" s="4">
        <v>12</v>
      </c>
      <c r="L52" s="757" t="s">
        <v>838</v>
      </c>
      <c r="M52" s="948">
        <f t="shared" si="13"/>
        <v>70</v>
      </c>
      <c r="N52" s="948">
        <f t="shared" si="13"/>
        <v>9.9999999999999982</v>
      </c>
      <c r="O52" s="948">
        <f t="shared" si="13"/>
        <v>20.000000000000018</v>
      </c>
    </row>
    <row r="53" spans="2:15">
      <c r="K53" s="4">
        <v>13</v>
      </c>
      <c r="L53" s="757" t="s">
        <v>839</v>
      </c>
      <c r="M53" s="948">
        <f t="shared" si="13"/>
        <v>75.319884810597927</v>
      </c>
      <c r="N53" s="948">
        <f t="shared" si="13"/>
        <v>11.20048180957442</v>
      </c>
      <c r="O53" s="948">
        <f t="shared" si="13"/>
        <v>32.451891630718812</v>
      </c>
    </row>
    <row r="56" spans="2:15">
      <c r="K56" s="4" t="s">
        <v>877</v>
      </c>
    </row>
    <row r="57" spans="2:15">
      <c r="L57" s="928"/>
      <c r="M57" s="928" t="s">
        <v>876</v>
      </c>
      <c r="N57" s="928" t="s">
        <v>874</v>
      </c>
      <c r="O57" s="928" t="s">
        <v>873</v>
      </c>
    </row>
    <row r="58" spans="2:15">
      <c r="K58" s="127">
        <v>1</v>
      </c>
      <c r="L58" s="952" t="s">
        <v>844</v>
      </c>
      <c r="M58" s="953">
        <v>30</v>
      </c>
      <c r="N58" s="953">
        <v>5</v>
      </c>
      <c r="O58" s="953">
        <v>10</v>
      </c>
    </row>
    <row r="59" spans="2:15">
      <c r="K59" s="127">
        <v>2</v>
      </c>
      <c r="L59" s="952" t="s">
        <v>845</v>
      </c>
      <c r="M59" s="953">
        <v>30</v>
      </c>
      <c r="N59" s="953">
        <v>5</v>
      </c>
      <c r="O59" s="953">
        <v>10</v>
      </c>
    </row>
    <row r="60" spans="2:15">
      <c r="K60" s="127">
        <v>3</v>
      </c>
      <c r="L60" s="954" t="s">
        <v>846</v>
      </c>
      <c r="M60" s="953">
        <v>30</v>
      </c>
      <c r="N60" s="953">
        <v>5</v>
      </c>
      <c r="O60" s="953">
        <v>10</v>
      </c>
    </row>
    <row r="61" spans="2:15">
      <c r="K61" s="4">
        <v>4</v>
      </c>
      <c r="L61" s="757" t="s">
        <v>830</v>
      </c>
      <c r="M61" s="928">
        <v>75</v>
      </c>
      <c r="N61" s="928">
        <v>10</v>
      </c>
      <c r="O61" s="928">
        <v>45</v>
      </c>
    </row>
    <row r="62" spans="2:15">
      <c r="K62" s="4">
        <v>5</v>
      </c>
      <c r="L62" s="944" t="s">
        <v>831</v>
      </c>
      <c r="M62" s="928">
        <v>70</v>
      </c>
      <c r="N62" s="928">
        <v>10</v>
      </c>
      <c r="O62" s="928">
        <v>20</v>
      </c>
    </row>
    <row r="63" spans="2:15">
      <c r="K63" s="4">
        <v>6</v>
      </c>
      <c r="L63" s="757" t="s">
        <v>832</v>
      </c>
      <c r="M63" s="928">
        <v>75</v>
      </c>
      <c r="N63" s="928">
        <v>30</v>
      </c>
      <c r="O63" s="928">
        <v>20</v>
      </c>
    </row>
    <row r="64" spans="2:15">
      <c r="K64" s="949">
        <v>7</v>
      </c>
      <c r="L64" s="950" t="s">
        <v>833</v>
      </c>
      <c r="M64" s="951">
        <v>85</v>
      </c>
      <c r="N64" s="951">
        <v>30</v>
      </c>
      <c r="O64" s="951">
        <v>30</v>
      </c>
    </row>
    <row r="65" spans="11:15">
      <c r="K65" s="4">
        <v>8</v>
      </c>
      <c r="L65" s="757" t="s">
        <v>834</v>
      </c>
      <c r="M65" s="928">
        <v>80</v>
      </c>
      <c r="N65" s="928">
        <v>10</v>
      </c>
      <c r="O65" s="928">
        <v>20</v>
      </c>
    </row>
    <row r="66" spans="11:15">
      <c r="K66" s="4">
        <v>9</v>
      </c>
      <c r="L66" s="944" t="s">
        <v>835</v>
      </c>
      <c r="M66" s="928">
        <v>85</v>
      </c>
      <c r="N66" s="928">
        <v>10</v>
      </c>
      <c r="O66" s="928">
        <v>20</v>
      </c>
    </row>
    <row r="67" spans="11:15">
      <c r="K67" s="949">
        <v>10</v>
      </c>
      <c r="L67" s="950" t="s">
        <v>836</v>
      </c>
      <c r="M67" s="951">
        <v>85</v>
      </c>
      <c r="N67" s="951">
        <v>20</v>
      </c>
      <c r="O67" s="951">
        <v>40</v>
      </c>
    </row>
    <row r="68" spans="11:15">
      <c r="K68" s="4">
        <v>11</v>
      </c>
      <c r="L68" s="943" t="s">
        <v>837</v>
      </c>
      <c r="M68" s="928">
        <v>755</v>
      </c>
      <c r="N68" s="928">
        <v>10</v>
      </c>
      <c r="O68" s="928">
        <v>15</v>
      </c>
    </row>
    <row r="69" spans="11:15">
      <c r="K69" s="4">
        <v>12</v>
      </c>
      <c r="L69" s="944" t="s">
        <v>838</v>
      </c>
      <c r="M69" s="928">
        <v>70</v>
      </c>
      <c r="N69" s="928">
        <v>10</v>
      </c>
      <c r="O69" s="928">
        <v>20</v>
      </c>
    </row>
    <row r="70" spans="11:15">
      <c r="K70" s="949">
        <v>13</v>
      </c>
      <c r="L70" s="950" t="s">
        <v>839</v>
      </c>
      <c r="M70" s="951">
        <v>85</v>
      </c>
      <c r="N70" s="951">
        <v>20</v>
      </c>
      <c r="O70" s="951">
        <v>30</v>
      </c>
    </row>
    <row r="72" spans="11:15">
      <c r="L72" s="935" t="s">
        <v>879</v>
      </c>
    </row>
    <row r="73" spans="11:15">
      <c r="L73" s="104" t="s">
        <v>878</v>
      </c>
    </row>
  </sheetData>
  <mergeCells count="2">
    <mergeCell ref="L4:Q4"/>
    <mergeCell ref="L22:Q22"/>
  </mergeCells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63F4D-5BBB-4E69-B2F3-0FD4A1C423E5}">
  <sheetPr>
    <tabColor rgb="FFC00000"/>
  </sheetPr>
  <dimension ref="A2:AX74"/>
  <sheetViews>
    <sheetView topLeftCell="Q1" workbookViewId="0">
      <selection activeCell="W30" sqref="W30"/>
    </sheetView>
  </sheetViews>
  <sheetFormatPr baseColWidth="10" defaultColWidth="10.7265625" defaultRowHeight="14.5"/>
  <cols>
    <col min="1" max="1" width="10.7265625" style="4"/>
    <col min="2" max="2" width="25.453125" style="4" bestFit="1" customWidth="1"/>
    <col min="3" max="3" width="12.54296875" style="4" bestFit="1" customWidth="1"/>
    <col min="4" max="13" width="10.7265625" style="4"/>
    <col min="14" max="14" width="7" style="4" customWidth="1"/>
    <col min="15" max="15" width="25.453125" style="4" bestFit="1" customWidth="1"/>
    <col min="16" max="17" width="10.7265625" style="4"/>
    <col min="18" max="18" width="11.7265625" style="4" bestFit="1" customWidth="1"/>
    <col min="19" max="21" width="10.7265625" style="4"/>
    <col min="22" max="22" width="12.7265625" style="4" bestFit="1" customWidth="1"/>
    <col min="23" max="29" width="10.7265625" style="4"/>
    <col min="30" max="30" width="11.453125" style="4" bestFit="1" customWidth="1"/>
    <col min="31" max="16384" width="10.7265625" style="4"/>
  </cols>
  <sheetData>
    <row r="2" spans="14:50">
      <c r="U2" s="4" t="s">
        <v>880</v>
      </c>
      <c r="V2" s="4">
        <f>+SUMX2MY2(S9:T18,S27:T36)</f>
        <v>-6.7572674730214528</v>
      </c>
    </row>
    <row r="4" spans="14:50" ht="61">
      <c r="N4" s="4" t="s">
        <v>870</v>
      </c>
      <c r="O4" s="1439" t="s">
        <v>870</v>
      </c>
      <c r="P4" s="1439"/>
      <c r="Q4" s="1439"/>
      <c r="R4" s="1439"/>
      <c r="S4" s="1439"/>
      <c r="T4" s="1439"/>
      <c r="AI4" s="1183" t="s">
        <v>809</v>
      </c>
      <c r="AJ4" s="1183" t="s">
        <v>1170</v>
      </c>
      <c r="AK4" s="1183" t="s">
        <v>1157</v>
      </c>
      <c r="AL4" s="1183" t="s">
        <v>1158</v>
      </c>
      <c r="AM4" s="1183" t="s">
        <v>1159</v>
      </c>
      <c r="AN4" s="1183" t="s">
        <v>1160</v>
      </c>
      <c r="AO4" s="1183" t="s">
        <v>1161</v>
      </c>
      <c r="AP4" s="1183" t="s">
        <v>1162</v>
      </c>
      <c r="AQ4" s="1183" t="s">
        <v>1163</v>
      </c>
      <c r="AR4" s="1183" t="s">
        <v>1164</v>
      </c>
      <c r="AS4" s="1183" t="s">
        <v>1165</v>
      </c>
      <c r="AT4" s="1183" t="s">
        <v>1166</v>
      </c>
      <c r="AU4" s="1183" t="s">
        <v>1167</v>
      </c>
      <c r="AV4" s="1183" t="s">
        <v>1168</v>
      </c>
      <c r="AW4" s="1183" t="s">
        <v>1169</v>
      </c>
      <c r="AX4" s="1001"/>
    </row>
    <row r="5" spans="14:50">
      <c r="O5" s="928"/>
      <c r="P5" s="928" t="s">
        <v>863</v>
      </c>
      <c r="Q5" s="928" t="s">
        <v>874</v>
      </c>
      <c r="R5" s="928" t="s">
        <v>873</v>
      </c>
      <c r="S5" s="928" t="s">
        <v>869</v>
      </c>
      <c r="T5" s="928" t="s">
        <v>875</v>
      </c>
      <c r="AI5" s="1167" t="s">
        <v>1154</v>
      </c>
      <c r="AJ5" s="1168" t="s">
        <v>1155</v>
      </c>
      <c r="AK5" s="1168">
        <f>'24. Balance Pre-Cl-SCV'!AN6</f>
        <v>0</v>
      </c>
      <c r="AL5" s="1168">
        <f>'24. Balance Pre-Cl-SCV'!AO6</f>
        <v>0</v>
      </c>
      <c r="AM5" s="1168">
        <f>'24. Balance Pre-Cl-SCV'!AP6</f>
        <v>0</v>
      </c>
      <c r="AN5" s="1165">
        <v>41.969842857142844</v>
      </c>
      <c r="AO5" s="1165">
        <v>3.4051</v>
      </c>
      <c r="AP5" s="1165">
        <v>38.564742857142861</v>
      </c>
      <c r="AQ5" s="1165">
        <v>67.108441558441584</v>
      </c>
      <c r="AR5" s="1165">
        <v>31.517330280246082</v>
      </c>
      <c r="AS5" s="1165">
        <v>2.9736315789473688</v>
      </c>
      <c r="AT5" s="1165">
        <v>28.543698701298712</v>
      </c>
      <c r="AU5" s="1165">
        <v>28.325796992481191</v>
      </c>
      <c r="AV5" s="1165">
        <v>7.2653142857142861</v>
      </c>
      <c r="AW5" s="1165">
        <v>59.843127272727273</v>
      </c>
      <c r="AX5" s="1001"/>
    </row>
    <row r="6" spans="14:50">
      <c r="N6" s="4">
        <v>1</v>
      </c>
      <c r="O6" s="757" t="s">
        <v>844</v>
      </c>
      <c r="P6" s="928" t="e">
        <f t="shared" ref="P6:P18" si="0">+L24</f>
        <v>#DIV/0!</v>
      </c>
      <c r="Q6" s="928"/>
      <c r="R6" s="928"/>
      <c r="S6" s="649" t="e">
        <f t="shared" ref="S6:S8" si="1">+P6*Q6</f>
        <v>#DIV/0!</v>
      </c>
      <c r="T6" s="928"/>
      <c r="AI6" s="1167" t="s">
        <v>1</v>
      </c>
      <c r="AJ6" s="1168" t="s">
        <v>31</v>
      </c>
      <c r="AK6" s="1169">
        <f>'24. Balance Pre-Cl-SCV'!AN7</f>
        <v>0.68168749999999989</v>
      </c>
      <c r="AL6" s="1169">
        <f>'24. Balance Pre-Cl-SCV'!AO7</f>
        <v>3.2132499999999999</v>
      </c>
      <c r="AM6" s="1169">
        <f>'24. Balance Pre-Cl-SCV'!AP7</f>
        <v>0.13150000000000001</v>
      </c>
      <c r="AN6" s="1165">
        <v>3.8332110556253172</v>
      </c>
      <c r="AO6" s="1185">
        <v>26.146999999999998</v>
      </c>
      <c r="AP6" s="1165">
        <v>1.863</v>
      </c>
      <c r="AQ6" s="1165">
        <v>1.2054222644183397</v>
      </c>
      <c r="AR6" s="1165">
        <v>0.46199999999999997</v>
      </c>
      <c r="AS6" s="1185">
        <v>1.8540000000000001</v>
      </c>
      <c r="AT6" s="1165">
        <v>0.31698392478104459</v>
      </c>
      <c r="AU6" s="1165">
        <v>8.3699999999999997E-2</v>
      </c>
      <c r="AV6" s="1185">
        <v>8.803766949626139</v>
      </c>
      <c r="AW6" s="1165">
        <v>0.28293768339644992</v>
      </c>
      <c r="AX6" s="1001"/>
    </row>
    <row r="7" spans="14:50">
      <c r="N7" s="4">
        <v>2</v>
      </c>
      <c r="O7" s="757" t="s">
        <v>845</v>
      </c>
      <c r="P7" s="928" t="e">
        <f t="shared" si="0"/>
        <v>#DIV/0!</v>
      </c>
      <c r="Q7" s="928"/>
      <c r="R7" s="928"/>
      <c r="S7" s="649" t="e">
        <f t="shared" si="1"/>
        <v>#DIV/0!</v>
      </c>
      <c r="T7" s="928"/>
      <c r="W7" s="4" t="s">
        <v>490</v>
      </c>
      <c r="X7" s="4" t="s">
        <v>863</v>
      </c>
      <c r="Y7" s="4" t="s">
        <v>869</v>
      </c>
      <c r="Z7" s="4" t="s">
        <v>875</v>
      </c>
      <c r="AC7" s="4" t="s">
        <v>490</v>
      </c>
      <c r="AD7" s="4" t="s">
        <v>863</v>
      </c>
      <c r="AE7" s="4" t="s">
        <v>869</v>
      </c>
      <c r="AF7" s="4" t="s">
        <v>875</v>
      </c>
      <c r="AI7" s="1167" t="s">
        <v>17</v>
      </c>
      <c r="AJ7" s="1168" t="s">
        <v>31</v>
      </c>
      <c r="AK7" s="1169">
        <f>'24. Balance Pre-Cl-SCV'!AN8</f>
        <v>2.3562500000000002</v>
      </c>
      <c r="AL7" s="1169">
        <f>'24. Balance Pre-Cl-SCV'!AO8</f>
        <v>9.6237499999999976</v>
      </c>
      <c r="AM7" s="1169">
        <f>'24. Balance Pre-Cl-SCV'!AP8</f>
        <v>1.0168749999999998</v>
      </c>
      <c r="AN7" s="1165">
        <v>5.9230305017972915</v>
      </c>
      <c r="AO7" s="1165">
        <v>21</v>
      </c>
      <c r="AP7" s="1165">
        <v>4.59179930369217</v>
      </c>
      <c r="AQ7" s="1165">
        <v>4.1040232052568921</v>
      </c>
      <c r="AR7" s="1165">
        <v>3.5693049322524204</v>
      </c>
      <c r="AS7" s="1165">
        <v>4.7625000000000002</v>
      </c>
      <c r="AT7" s="1165">
        <v>3.4449999999999998</v>
      </c>
      <c r="AU7" s="1165">
        <v>2.1505000000000005</v>
      </c>
      <c r="AV7" s="1165">
        <v>14.039999999999997</v>
      </c>
      <c r="AW7" s="1165">
        <v>2.8977360769057086</v>
      </c>
      <c r="AX7" s="1001"/>
    </row>
    <row r="8" spans="14:50" ht="15" thickBot="1">
      <c r="N8" s="4">
        <v>3</v>
      </c>
      <c r="O8" s="757" t="s">
        <v>846</v>
      </c>
      <c r="P8" s="928" t="e">
        <f t="shared" si="0"/>
        <v>#DIV/0!</v>
      </c>
      <c r="Q8" s="1147"/>
      <c r="R8" s="1147"/>
      <c r="S8" s="649" t="e">
        <f t="shared" si="1"/>
        <v>#DIV/0!</v>
      </c>
      <c r="T8" s="928"/>
      <c r="V8" s="127" t="s">
        <v>847</v>
      </c>
      <c r="W8" s="127" t="s">
        <v>848</v>
      </c>
      <c r="X8" s="946">
        <f>+P25+P26-P24</f>
        <v>0</v>
      </c>
      <c r="Y8" s="946">
        <f>+S25+S26-S24</f>
        <v>0</v>
      </c>
      <c r="Z8" s="946">
        <f>+T25+T26-T24</f>
        <v>0</v>
      </c>
      <c r="AB8" s="127" t="s">
        <v>847</v>
      </c>
      <c r="AC8" s="127"/>
      <c r="AD8" s="946"/>
      <c r="AE8" s="946"/>
      <c r="AF8" s="946"/>
      <c r="AI8" s="1167" t="s">
        <v>519</v>
      </c>
      <c r="AJ8" s="1168" t="s">
        <v>31</v>
      </c>
      <c r="AK8" s="895">
        <f>'24. Balance Pre-Cl-SCV'!AN9</f>
        <v>30</v>
      </c>
      <c r="AL8" s="895">
        <f>'24. Balance Pre-Cl-SCV'!AO9</f>
        <v>0</v>
      </c>
      <c r="AM8" s="895">
        <f>'24. Balance Pre-Cl-SCV'!AP9</f>
        <v>0</v>
      </c>
      <c r="AN8" s="895">
        <v>18.29954954954955</v>
      </c>
      <c r="AO8" s="895">
        <v>26.480698043363304</v>
      </c>
      <c r="AP8" s="895">
        <v>17.418947202148242</v>
      </c>
      <c r="AQ8" s="895">
        <v>15.597438410173432</v>
      </c>
      <c r="AR8" s="895">
        <v>14.81882879953759</v>
      </c>
      <c r="AS8" s="895">
        <v>28.410359455235547</v>
      </c>
      <c r="AT8" s="895">
        <v>8.3726740020940884</v>
      </c>
      <c r="AU8" s="895">
        <v>11.555026436499876</v>
      </c>
      <c r="AV8" s="895">
        <v>18.757053645323907</v>
      </c>
      <c r="AW8" s="895">
        <v>16.516827646134821</v>
      </c>
      <c r="AX8" s="1001"/>
    </row>
    <row r="9" spans="14:50">
      <c r="N9" s="4">
        <v>4</v>
      </c>
      <c r="O9" s="757" t="s">
        <v>830</v>
      </c>
      <c r="P9" s="1146">
        <f>+L27</f>
        <v>25.527272727272727</v>
      </c>
      <c r="Q9" s="1148">
        <v>3.7</v>
      </c>
      <c r="R9" s="1149">
        <v>13.5</v>
      </c>
      <c r="S9" s="873">
        <f>+P9*Q9/100</f>
        <v>0.94450909090909096</v>
      </c>
      <c r="T9" s="649">
        <f>+P9*R9/100</f>
        <v>3.4461818181818185</v>
      </c>
      <c r="V9" s="127" t="s">
        <v>849</v>
      </c>
      <c r="W9" s="947" t="s">
        <v>850</v>
      </c>
      <c r="X9" s="946">
        <f>+P27-P25</f>
        <v>41.969842857142844</v>
      </c>
      <c r="Y9" s="946">
        <f>+S27-S25</f>
        <v>1.6087926564285722</v>
      </c>
      <c r="Z9" s="946">
        <f>+T27-T25</f>
        <v>2.4858865939849624</v>
      </c>
      <c r="AB9" s="127" t="s">
        <v>849</v>
      </c>
      <c r="AC9" s="947"/>
      <c r="AD9" s="946"/>
      <c r="AE9" s="946"/>
      <c r="AF9" s="946"/>
      <c r="AX9" s="1001"/>
    </row>
    <row r="10" spans="14:50">
      <c r="N10" s="4">
        <v>5</v>
      </c>
      <c r="O10" s="757" t="s">
        <v>831</v>
      </c>
      <c r="P10" s="1146">
        <f t="shared" si="0"/>
        <v>2.0030000000000001</v>
      </c>
      <c r="Q10" s="1150">
        <v>23.77</v>
      </c>
      <c r="R10" s="1151">
        <v>16.8</v>
      </c>
      <c r="S10" s="873">
        <f t="shared" ref="S10:S18" si="2">+P10*Q10/100</f>
        <v>0.47611310000000001</v>
      </c>
      <c r="T10" s="649">
        <f t="shared" ref="T10:T18" si="3">+P10*R10/100</f>
        <v>0.33650400000000003</v>
      </c>
      <c r="V10" s="4" t="s">
        <v>851</v>
      </c>
      <c r="W10" s="4" t="s">
        <v>852</v>
      </c>
      <c r="X10" s="97">
        <f>+P28+P29-P27</f>
        <v>0</v>
      </c>
      <c r="Y10" s="97">
        <f>+S28+S29-S27</f>
        <v>0</v>
      </c>
      <c r="Z10" s="97">
        <f>+T28+T29-T27</f>
        <v>0</v>
      </c>
      <c r="AB10" s="4" t="s">
        <v>851</v>
      </c>
      <c r="AC10" s="4" t="s">
        <v>886</v>
      </c>
      <c r="AD10" s="97" t="e">
        <f>+V35+V36-X34</f>
        <v>#VALUE!</v>
      </c>
      <c r="AE10" s="97">
        <f>+Y35+Y36-Y27</f>
        <v>0</v>
      </c>
      <c r="AF10" s="97" t="e">
        <f>+Z35+Z36-Z27</f>
        <v>#VALUE!</v>
      </c>
      <c r="AN10" s="4">
        <f>+AO6*(AN6-AP6)/(AN6*(AO6-AP6))*100</f>
        <v>55.341593799693612</v>
      </c>
      <c r="AX10" s="1001"/>
    </row>
    <row r="11" spans="14:50" ht="15" thickBot="1">
      <c r="N11" s="4">
        <v>6</v>
      </c>
      <c r="O11" s="757" t="s">
        <v>832</v>
      </c>
      <c r="P11" s="1194">
        <f>+L29</f>
        <v>22.685142857142861</v>
      </c>
      <c r="Q11" s="1195">
        <v>1.62</v>
      </c>
      <c r="R11" s="1152">
        <v>4.33</v>
      </c>
      <c r="S11" s="873">
        <f t="shared" si="2"/>
        <v>0.36749931428571436</v>
      </c>
      <c r="T11" s="649">
        <f t="shared" si="3"/>
        <v>0.98226668571428588</v>
      </c>
      <c r="V11" s="4" t="s">
        <v>853</v>
      </c>
      <c r="W11" s="933" t="s">
        <v>857</v>
      </c>
      <c r="X11" s="97">
        <f>+P30-P29-P33</f>
        <v>0</v>
      </c>
      <c r="Y11" s="97">
        <f>+S30-S29-S33</f>
        <v>2.7755575615628914E-16</v>
      </c>
      <c r="Z11" s="97">
        <f>+T30-T29-T33</f>
        <v>0</v>
      </c>
      <c r="AB11" s="4" t="s">
        <v>853</v>
      </c>
      <c r="AC11" s="933" t="s">
        <v>887</v>
      </c>
      <c r="AD11" s="97" t="e">
        <f>+V28+V29-V36</f>
        <v>#VALUE!</v>
      </c>
      <c r="AE11" s="97">
        <f>+Y28+Y29-Y36</f>
        <v>0</v>
      </c>
      <c r="AF11" s="97" t="e">
        <f>+Z28+Z29-Z36</f>
        <v>#VALUE!</v>
      </c>
    </row>
    <row r="12" spans="14:50">
      <c r="N12" s="4">
        <v>7</v>
      </c>
      <c r="O12" s="757" t="s">
        <v>833</v>
      </c>
      <c r="P12" s="876">
        <f t="shared" si="0"/>
        <v>41.064</v>
      </c>
      <c r="Q12" s="1193">
        <v>1.08</v>
      </c>
      <c r="R12" s="981">
        <v>4.91</v>
      </c>
      <c r="S12" s="649">
        <f t="shared" si="2"/>
        <v>0.44349120000000009</v>
      </c>
      <c r="T12" s="649">
        <f t="shared" si="3"/>
        <v>2.0162424000000003</v>
      </c>
      <c r="V12" s="4" t="s">
        <v>854</v>
      </c>
      <c r="W12" s="934" t="s">
        <v>858</v>
      </c>
      <c r="X12" s="97">
        <f>+P36+P35-P30</f>
        <v>0</v>
      </c>
      <c r="Y12" s="97">
        <f>+S36+S35-S30</f>
        <v>0</v>
      </c>
      <c r="Z12" s="97">
        <f>+T36+T35-T30</f>
        <v>0</v>
      </c>
      <c r="AB12" s="4" t="s">
        <v>854</v>
      </c>
      <c r="AC12" s="934" t="s">
        <v>889</v>
      </c>
      <c r="AD12" s="97" t="e">
        <f>+V30-V33-V29</f>
        <v>#VALUE!</v>
      </c>
      <c r="AE12" s="97">
        <f>+Y30-Y33-Y29</f>
        <v>0</v>
      </c>
      <c r="AF12" s="97" t="e">
        <f>+Z30-Z33-Z29</f>
        <v>#VALUE!</v>
      </c>
    </row>
    <row r="13" spans="14:50">
      <c r="N13" s="4">
        <v>8</v>
      </c>
      <c r="O13" s="757" t="s">
        <v>834</v>
      </c>
      <c r="P13" s="649">
        <f t="shared" si="0"/>
        <v>24.612000000000002</v>
      </c>
      <c r="Q13" s="779">
        <v>0.42</v>
      </c>
      <c r="R13" s="779">
        <v>4.53</v>
      </c>
      <c r="S13" s="649">
        <f t="shared" si="2"/>
        <v>0.1033704</v>
      </c>
      <c r="T13" s="649">
        <f t="shared" si="3"/>
        <v>1.1149236000000002</v>
      </c>
      <c r="V13" s="4" t="s">
        <v>855</v>
      </c>
      <c r="W13" s="4" t="s">
        <v>859</v>
      </c>
      <c r="X13" s="97">
        <f>+P31+P34-P36</f>
        <v>0</v>
      </c>
      <c r="Y13" s="97">
        <f>+S31+S34-S36</f>
        <v>0</v>
      </c>
      <c r="Z13" s="97">
        <f>+T31+T34-T36</f>
        <v>0</v>
      </c>
      <c r="AB13" s="4" t="s">
        <v>855</v>
      </c>
      <c r="AC13" s="4" t="s">
        <v>888</v>
      </c>
      <c r="AD13" s="97" t="e">
        <f>+V31+V34-V30</f>
        <v>#VALUE!</v>
      </c>
      <c r="AE13" s="97">
        <f>+Y31+Y34-Y30</f>
        <v>0</v>
      </c>
      <c r="AF13" s="97" t="e">
        <f>+Z31+Z34-Z30</f>
        <v>#VALUE!</v>
      </c>
    </row>
    <row r="14" spans="14:50">
      <c r="N14" s="4">
        <v>9</v>
      </c>
      <c r="O14" s="757" t="s">
        <v>835</v>
      </c>
      <c r="P14" s="649">
        <f t="shared" si="0"/>
        <v>1.6073684210526318</v>
      </c>
      <c r="Q14" s="779">
        <v>2.06</v>
      </c>
      <c r="R14" s="779">
        <v>3.81</v>
      </c>
      <c r="S14" s="649">
        <f t="shared" si="2"/>
        <v>3.3111789473684212E-2</v>
      </c>
      <c r="T14" s="649">
        <f t="shared" si="3"/>
        <v>6.1240736842105271E-2</v>
      </c>
      <c r="V14" s="4" t="s">
        <v>856</v>
      </c>
      <c r="W14" s="4" t="s">
        <v>860</v>
      </c>
      <c r="X14" s="97">
        <f>+P32+P33-P31</f>
        <v>0</v>
      </c>
      <c r="Y14" s="97">
        <f>+S32+S33-S31</f>
        <v>0</v>
      </c>
      <c r="Z14" s="97">
        <f>+T32+T33-T31</f>
        <v>0</v>
      </c>
      <c r="AB14" s="4" t="s">
        <v>856</v>
      </c>
      <c r="AC14" s="4" t="s">
        <v>860</v>
      </c>
      <c r="AD14" s="97" t="e">
        <f>+V32+V33-V31</f>
        <v>#VALUE!</v>
      </c>
      <c r="AE14" s="97">
        <f>+Y32+Y33-Y31</f>
        <v>0</v>
      </c>
      <c r="AF14" s="97" t="e">
        <f>+Z32+Z33-Z31</f>
        <v>#VALUE!</v>
      </c>
    </row>
    <row r="15" spans="14:50">
      <c r="N15" s="4">
        <v>10</v>
      </c>
      <c r="O15" s="757" t="s">
        <v>836</v>
      </c>
      <c r="P15" s="1196">
        <f t="shared" si="0"/>
        <v>18.231999999999999</v>
      </c>
      <c r="Q15" s="1197">
        <v>0.28000000000000003</v>
      </c>
      <c r="R15" s="779">
        <v>2.65</v>
      </c>
      <c r="S15" s="649">
        <f t="shared" si="2"/>
        <v>5.1049600000000001E-2</v>
      </c>
      <c r="T15" s="649">
        <f t="shared" si="3"/>
        <v>0.48314799999999997</v>
      </c>
      <c r="V15" s="4" t="s">
        <v>861</v>
      </c>
      <c r="W15" s="4" t="s">
        <v>862</v>
      </c>
      <c r="X15" s="97">
        <f>+P28+P35+P32+P34-P27</f>
        <v>0</v>
      </c>
      <c r="Y15" s="97">
        <f>+S28+S35+S32+S34-S27</f>
        <v>0</v>
      </c>
      <c r="Z15" s="97">
        <f>+T28+T35+T32+T34-T27</f>
        <v>0</v>
      </c>
      <c r="AB15" s="4" t="s">
        <v>861</v>
      </c>
      <c r="AC15" s="4" t="s">
        <v>862</v>
      </c>
      <c r="AD15" s="97">
        <f>(P10+P17+P14+P16-P9)/P9*100</f>
        <v>2.4825725144551187</v>
      </c>
      <c r="AE15" s="97">
        <f>(S10+S17+S14+S16-S9)/S9*100</f>
        <v>-5.4181168104751078</v>
      </c>
      <c r="AF15" s="97">
        <f>(T10+T17+T14+T16-T9)/T9*100</f>
        <v>-64.031271847893535</v>
      </c>
    </row>
    <row r="16" spans="14:50">
      <c r="N16" s="4">
        <v>11</v>
      </c>
      <c r="O16" s="757" t="s">
        <v>837</v>
      </c>
      <c r="P16" s="649">
        <f t="shared" si="0"/>
        <v>18.276923076923079</v>
      </c>
      <c r="Q16" s="779">
        <v>9.2999999999999999E-2</v>
      </c>
      <c r="R16" s="779">
        <v>1.87</v>
      </c>
      <c r="S16" s="649">
        <f t="shared" si="2"/>
        <v>1.6997538461538463E-2</v>
      </c>
      <c r="T16" s="649">
        <f t="shared" si="3"/>
        <v>0.34177846153846159</v>
      </c>
    </row>
    <row r="17" spans="1:30">
      <c r="N17" s="4">
        <v>12</v>
      </c>
      <c r="O17" s="757" t="s">
        <v>838</v>
      </c>
      <c r="P17" s="649">
        <f t="shared" si="0"/>
        <v>4.273714285714286</v>
      </c>
      <c r="Q17" s="779">
        <v>8.59</v>
      </c>
      <c r="R17" s="779">
        <v>11.7</v>
      </c>
      <c r="S17" s="649">
        <f t="shared" si="2"/>
        <v>0.36711205714285716</v>
      </c>
      <c r="T17" s="649">
        <f t="shared" si="3"/>
        <v>0.50002457142857148</v>
      </c>
    </row>
    <row r="18" spans="1:30">
      <c r="N18" s="4">
        <v>13</v>
      </c>
      <c r="O18" s="757" t="s">
        <v>839</v>
      </c>
      <c r="P18" s="649">
        <f t="shared" si="0"/>
        <v>32.347636363636362</v>
      </c>
      <c r="Q18" s="779">
        <v>0.3</v>
      </c>
      <c r="R18" s="779">
        <v>4.2300000000000004</v>
      </c>
      <c r="S18" s="649">
        <f t="shared" si="2"/>
        <v>9.7042909090909082E-2</v>
      </c>
      <c r="T18" s="649">
        <f t="shared" si="3"/>
        <v>1.3683050181818184</v>
      </c>
    </row>
    <row r="19" spans="1:30">
      <c r="P19" s="1153"/>
      <c r="Q19" s="1154"/>
      <c r="R19" s="1154"/>
    </row>
    <row r="20" spans="1:30">
      <c r="P20" s="1153"/>
      <c r="Q20" s="1154"/>
      <c r="R20" s="1154"/>
    </row>
    <row r="21" spans="1:30">
      <c r="P21" s="1153"/>
      <c r="Q21" s="1154"/>
      <c r="R21" s="1154"/>
    </row>
    <row r="22" spans="1:30">
      <c r="N22" s="4" t="s">
        <v>871</v>
      </c>
      <c r="O22" s="1439" t="s">
        <v>871</v>
      </c>
      <c r="P22" s="1439"/>
      <c r="Q22" s="1439"/>
      <c r="R22" s="1439"/>
      <c r="S22" s="1439"/>
      <c r="T22" s="1439"/>
    </row>
    <row r="23" spans="1:30">
      <c r="C23" s="4" t="s">
        <v>867</v>
      </c>
      <c r="D23" s="4" t="s">
        <v>868</v>
      </c>
      <c r="H23" s="4" t="s">
        <v>310</v>
      </c>
      <c r="I23" s="4" t="s">
        <v>882</v>
      </c>
      <c r="J23" s="4" t="s">
        <v>865</v>
      </c>
      <c r="K23" s="4" t="s">
        <v>865</v>
      </c>
      <c r="L23" s="4" t="s">
        <v>866</v>
      </c>
      <c r="O23" s="928"/>
      <c r="P23" s="928" t="s">
        <v>863</v>
      </c>
      <c r="Q23" s="928" t="s">
        <v>864</v>
      </c>
      <c r="R23" s="928" t="s">
        <v>873</v>
      </c>
      <c r="S23" s="928" t="s">
        <v>869</v>
      </c>
      <c r="T23" s="928" t="s">
        <v>875</v>
      </c>
      <c r="Z23" s="1446" t="s">
        <v>1179</v>
      </c>
      <c r="AA23" s="1446"/>
      <c r="AB23" s="1186"/>
      <c r="AC23" s="1447" t="s">
        <v>1195</v>
      </c>
      <c r="AD23" s="1448"/>
    </row>
    <row r="24" spans="1:30">
      <c r="A24" s="4">
        <v>1</v>
      </c>
      <c r="B24" s="757" t="s">
        <v>844</v>
      </c>
      <c r="C24" s="757"/>
      <c r="D24" s="757"/>
      <c r="E24" s="757"/>
      <c r="F24" s="757"/>
      <c r="G24" s="757"/>
      <c r="H24" s="940"/>
      <c r="I24" s="940"/>
      <c r="J24" s="940"/>
      <c r="K24" s="757">
        <f t="shared" ref="K24:K26" si="4">+I24*60+J24</f>
        <v>0</v>
      </c>
      <c r="L24" s="941" t="e">
        <f t="shared" ref="L24:L36" si="5">+(D24/1000)/(K24/3600)</f>
        <v>#DIV/0!</v>
      </c>
      <c r="N24" s="4">
        <v>1</v>
      </c>
      <c r="O24" s="757" t="s">
        <v>844</v>
      </c>
      <c r="P24" s="936"/>
      <c r="Q24" s="928"/>
      <c r="R24" s="928"/>
      <c r="S24" s="649">
        <f t="shared" ref="S24:S26" si="6">+P24*Q24</f>
        <v>0</v>
      </c>
      <c r="T24" s="928"/>
      <c r="Z24" s="1065" t="s">
        <v>1056</v>
      </c>
      <c r="AA24" s="1182">
        <f>'Pilotaje Cleaner Alto Flujo '!G53</f>
        <v>3.2132499999999999</v>
      </c>
      <c r="AB24" s="1186"/>
      <c r="AC24" s="1065" t="s">
        <v>1056</v>
      </c>
      <c r="AD24" s="1182">
        <f>Q35</f>
        <v>8.803766949626139</v>
      </c>
    </row>
    <row r="25" spans="1:30">
      <c r="A25" s="4">
        <v>2</v>
      </c>
      <c r="B25" s="757" t="s">
        <v>845</v>
      </c>
      <c r="C25" s="757"/>
      <c r="D25" s="757"/>
      <c r="E25" s="757"/>
      <c r="F25" s="757"/>
      <c r="G25" s="757"/>
      <c r="H25" s="940"/>
      <c r="I25" s="940"/>
      <c r="J25" s="940"/>
      <c r="K25" s="757">
        <f t="shared" si="4"/>
        <v>0</v>
      </c>
      <c r="L25" s="941" t="e">
        <f t="shared" si="5"/>
        <v>#DIV/0!</v>
      </c>
      <c r="N25" s="4">
        <v>2</v>
      </c>
      <c r="O25" s="757" t="s">
        <v>845</v>
      </c>
      <c r="P25" s="936"/>
      <c r="Q25" s="928"/>
      <c r="R25" s="928"/>
      <c r="S25" s="649">
        <f t="shared" si="6"/>
        <v>0</v>
      </c>
      <c r="T25" s="928"/>
      <c r="Z25" s="1065" t="s">
        <v>1096</v>
      </c>
      <c r="AA25" s="1182">
        <f>'Pilotaje Cleaner Alto Flujo '!G54</f>
        <v>84.376281394866425</v>
      </c>
      <c r="AB25" s="1186"/>
      <c r="AC25" s="1065" t="s">
        <v>1096</v>
      </c>
      <c r="AD25" s="1182">
        <f>+AD26*AD27</f>
        <v>79.069061003879455</v>
      </c>
    </row>
    <row r="26" spans="1:30">
      <c r="A26" s="4">
        <v>3</v>
      </c>
      <c r="B26" s="757" t="s">
        <v>846</v>
      </c>
      <c r="C26" s="757"/>
      <c r="D26" s="757"/>
      <c r="E26" s="757" t="s">
        <v>1177</v>
      </c>
      <c r="F26" s="757"/>
      <c r="G26" s="757"/>
      <c r="H26" s="940"/>
      <c r="I26" s="940"/>
      <c r="J26" s="940"/>
      <c r="K26" s="757">
        <f t="shared" si="4"/>
        <v>0</v>
      </c>
      <c r="L26" s="941" t="e">
        <f t="shared" si="5"/>
        <v>#DIV/0!</v>
      </c>
      <c r="N26" s="4">
        <v>3</v>
      </c>
      <c r="O26" s="757" t="s">
        <v>846</v>
      </c>
      <c r="P26" s="936"/>
      <c r="Q26" s="928"/>
      <c r="R26" s="928"/>
      <c r="S26" s="649">
        <f t="shared" si="6"/>
        <v>0</v>
      </c>
      <c r="T26" s="928"/>
      <c r="Z26" s="1065" t="s">
        <v>1178</v>
      </c>
      <c r="AA26" s="1182">
        <f>'Pilotaje Cleaner Alto Flujo '!G55</f>
        <v>17.853086720207671</v>
      </c>
      <c r="AB26" s="1186"/>
      <c r="AC26" s="1065" t="s">
        <v>1178</v>
      </c>
      <c r="AD26" s="1182">
        <f>P35/P30*100</f>
        <v>10.82623007924758</v>
      </c>
    </row>
    <row r="27" spans="1:30">
      <c r="A27" s="4">
        <v>4</v>
      </c>
      <c r="B27" s="757" t="s">
        <v>830</v>
      </c>
      <c r="C27" s="757">
        <v>2131.1999999999998</v>
      </c>
      <c r="D27" s="757">
        <v>390</v>
      </c>
      <c r="E27" s="757">
        <f>C27-D27</f>
        <v>1741.1999999999998</v>
      </c>
      <c r="F27" s="757"/>
      <c r="G27" s="757"/>
      <c r="H27" s="1085">
        <f>+D27/C27*100</f>
        <v>18.29954954954955</v>
      </c>
      <c r="I27" s="1087">
        <v>0</v>
      </c>
      <c r="J27" s="1087">
        <v>55</v>
      </c>
      <c r="K27" s="757">
        <f>+I27*60+J27</f>
        <v>55</v>
      </c>
      <c r="L27" s="941">
        <f t="shared" si="5"/>
        <v>25.527272727272727</v>
      </c>
      <c r="N27" s="4">
        <v>4</v>
      </c>
      <c r="O27" s="757" t="s">
        <v>830</v>
      </c>
      <c r="P27" s="945">
        <v>41.969842857142844</v>
      </c>
      <c r="Q27" s="779">
        <v>3.8332110556253172</v>
      </c>
      <c r="R27" s="779">
        <v>5.9230305017972915</v>
      </c>
      <c r="S27" s="649">
        <f>+P27*Q27/100</f>
        <v>1.6087926564285722</v>
      </c>
      <c r="T27" s="649">
        <f>+P27*R27/100</f>
        <v>2.4858865939849624</v>
      </c>
      <c r="V27" s="4" t="s">
        <v>761</v>
      </c>
      <c r="W27" s="117">
        <f>+(S28+S32+S35)/S27*100</f>
        <v>98.526305301806943</v>
      </c>
      <c r="Z27" s="1065" t="s">
        <v>753</v>
      </c>
      <c r="AA27" s="1182">
        <f>'Pilotaje Cleaner Alto Flujo '!G56</f>
        <v>4.7136701201063547</v>
      </c>
      <c r="AB27" s="1186"/>
      <c r="AC27" s="1065" t="s">
        <v>753</v>
      </c>
      <c r="AD27" s="1182">
        <f>Q35/Q30</f>
        <v>7.3034713307492112</v>
      </c>
    </row>
    <row r="28" spans="1:30">
      <c r="A28" s="4">
        <v>5</v>
      </c>
      <c r="B28" s="757" t="s">
        <v>831</v>
      </c>
      <c r="C28" s="757">
        <v>756.4</v>
      </c>
      <c r="D28" s="757">
        <v>200.3</v>
      </c>
      <c r="E28" s="757">
        <f t="shared" ref="E28:E36" si="7">C28-D28</f>
        <v>556.09999999999991</v>
      </c>
      <c r="F28" s="757"/>
      <c r="G28" s="757"/>
      <c r="H28" s="1085">
        <f t="shared" ref="H28:H36" si="8">+D28/C28*100</f>
        <v>26.480698043363304</v>
      </c>
      <c r="I28" s="1088">
        <v>6</v>
      </c>
      <c r="J28" s="1088">
        <v>0</v>
      </c>
      <c r="K28" s="757">
        <f>+I28*60+J28</f>
        <v>360</v>
      </c>
      <c r="L28" s="941">
        <f t="shared" si="5"/>
        <v>2.0030000000000001</v>
      </c>
      <c r="N28" s="4">
        <v>5</v>
      </c>
      <c r="O28" s="757" t="s">
        <v>831</v>
      </c>
      <c r="P28" s="945">
        <v>3.4051</v>
      </c>
      <c r="Q28" s="779">
        <v>26.146999999999998</v>
      </c>
      <c r="R28" s="779">
        <v>21</v>
      </c>
      <c r="S28" s="649">
        <f t="shared" ref="S28:S36" si="9">+P28*Q28/100</f>
        <v>0.89033149699999992</v>
      </c>
      <c r="T28" s="649">
        <f>+P28*R28/100</f>
        <v>0.7150709999999999</v>
      </c>
      <c r="V28" s="4" t="s">
        <v>883</v>
      </c>
      <c r="W28" s="117">
        <f>+(P28+P32+P35)/P27*100</f>
        <v>32.509165953047109</v>
      </c>
      <c r="X28" s="117">
        <f>+P35/P30*100</f>
        <v>10.82623007924758</v>
      </c>
      <c r="Z28" s="1186"/>
      <c r="AA28" s="1186"/>
      <c r="AB28" s="1186"/>
      <c r="AC28" s="1001"/>
      <c r="AD28" s="1001"/>
    </row>
    <row r="29" spans="1:30">
      <c r="A29" s="4">
        <v>6</v>
      </c>
      <c r="B29" s="757" t="s">
        <v>832</v>
      </c>
      <c r="C29" s="757">
        <v>2532.3000000000002</v>
      </c>
      <c r="D29" s="757">
        <v>441.1</v>
      </c>
      <c r="E29" s="757">
        <f t="shared" si="7"/>
        <v>2091.2000000000003</v>
      </c>
      <c r="F29" s="757"/>
      <c r="G29" s="757"/>
      <c r="H29" s="1085">
        <f t="shared" si="8"/>
        <v>17.418947202148242</v>
      </c>
      <c r="I29" s="1088">
        <v>1</v>
      </c>
      <c r="J29" s="1088">
        <v>10</v>
      </c>
      <c r="K29" s="757">
        <f t="shared" ref="K29:K36" si="10">+I29*60+J29</f>
        <v>70</v>
      </c>
      <c r="L29" s="941">
        <f t="shared" si="5"/>
        <v>22.685142857142861</v>
      </c>
      <c r="N29" s="4">
        <v>6</v>
      </c>
      <c r="O29" s="757" t="s">
        <v>832</v>
      </c>
      <c r="P29" s="945">
        <v>38.564742857142861</v>
      </c>
      <c r="Q29" s="779">
        <v>1.863</v>
      </c>
      <c r="R29" s="779">
        <v>4.59179930369217</v>
      </c>
      <c r="S29" s="649">
        <f t="shared" si="9"/>
        <v>0.71846115942857158</v>
      </c>
      <c r="T29" s="649">
        <f t="shared" ref="T29:T36" si="11">+P29*R29/100</f>
        <v>1.7708155939849619</v>
      </c>
      <c r="V29" s="4" t="s">
        <v>753</v>
      </c>
      <c r="W29" s="117">
        <f>+W27/W28</f>
        <v>3.0307238716646312</v>
      </c>
      <c r="Z29" s="1447" t="s">
        <v>1180</v>
      </c>
      <c r="AA29" s="1448"/>
      <c r="AB29" s="1186"/>
      <c r="AC29" s="1447" t="s">
        <v>1196</v>
      </c>
      <c r="AD29" s="1448"/>
    </row>
    <row r="30" spans="1:30">
      <c r="A30" s="4">
        <v>7</v>
      </c>
      <c r="B30" s="757" t="s">
        <v>833</v>
      </c>
      <c r="C30" s="757">
        <v>4387.8999999999996</v>
      </c>
      <c r="D30" s="757">
        <v>684.4</v>
      </c>
      <c r="E30" s="757">
        <f t="shared" si="7"/>
        <v>3703.4999999999995</v>
      </c>
      <c r="F30" s="757"/>
      <c r="G30" s="757"/>
      <c r="H30" s="1085">
        <f t="shared" si="8"/>
        <v>15.597438410173432</v>
      </c>
      <c r="I30" s="1088">
        <v>1</v>
      </c>
      <c r="J30" s="1088">
        <v>0</v>
      </c>
      <c r="K30" s="757">
        <f t="shared" si="10"/>
        <v>60</v>
      </c>
      <c r="L30" s="941">
        <f t="shared" si="5"/>
        <v>41.064</v>
      </c>
      <c r="N30" s="4">
        <v>7</v>
      </c>
      <c r="O30" s="757" t="s">
        <v>833</v>
      </c>
      <c r="P30" s="945">
        <v>67.108441558441584</v>
      </c>
      <c r="Q30" s="779">
        <v>1.2054222644183397</v>
      </c>
      <c r="R30" s="779">
        <v>4.1040232052568921</v>
      </c>
      <c r="S30" s="649">
        <f t="shared" si="9"/>
        <v>0.80894009584962456</v>
      </c>
      <c r="T30" s="649">
        <f t="shared" si="11"/>
        <v>2.7541460142447027</v>
      </c>
      <c r="V30" s="4" t="s">
        <v>884</v>
      </c>
      <c r="W30" s="117">
        <f>+SUM(S28,S32,S35)/SUM(P28,P32,P35)*100</f>
        <v>11.617404251412431</v>
      </c>
      <c r="Z30" s="1065" t="s">
        <v>1056</v>
      </c>
      <c r="AA30" s="1182">
        <f>Q28</f>
        <v>26.146999999999998</v>
      </c>
      <c r="AB30" s="1186"/>
      <c r="AC30" s="1065" t="s">
        <v>1056</v>
      </c>
      <c r="AD30" s="1182">
        <f>Q31</f>
        <v>0.46199999999999997</v>
      </c>
    </row>
    <row r="31" spans="1:30">
      <c r="A31" s="4">
        <v>8</v>
      </c>
      <c r="B31" s="757" t="s">
        <v>834</v>
      </c>
      <c r="C31" s="757">
        <v>2768.1</v>
      </c>
      <c r="D31" s="757">
        <v>410.2</v>
      </c>
      <c r="E31" s="757">
        <f t="shared" si="7"/>
        <v>2357.9</v>
      </c>
      <c r="F31" s="757"/>
      <c r="G31" s="757"/>
      <c r="H31" s="1085">
        <f t="shared" si="8"/>
        <v>14.81882879953759</v>
      </c>
      <c r="I31" s="1088">
        <v>1</v>
      </c>
      <c r="J31" s="1088">
        <v>0</v>
      </c>
      <c r="K31" s="757">
        <f t="shared" si="10"/>
        <v>60</v>
      </c>
      <c r="L31" s="941">
        <f t="shared" si="5"/>
        <v>24.612000000000002</v>
      </c>
      <c r="N31" s="4">
        <v>8</v>
      </c>
      <c r="O31" s="757" t="s">
        <v>834</v>
      </c>
      <c r="P31" s="945">
        <v>31.517330280246082</v>
      </c>
      <c r="Q31" s="779">
        <v>0.46199999999999997</v>
      </c>
      <c r="R31" s="779">
        <v>3.5693049322524204</v>
      </c>
      <c r="S31" s="649">
        <f t="shared" si="9"/>
        <v>0.14561006589473688</v>
      </c>
      <c r="T31" s="649">
        <f t="shared" si="11"/>
        <v>1.1249496242071091</v>
      </c>
      <c r="V31" s="4" t="s">
        <v>753</v>
      </c>
      <c r="W31" s="117">
        <f>+W30/Q27</f>
        <v>3.0307238716646316</v>
      </c>
      <c r="Z31" s="1065" t="s">
        <v>1096</v>
      </c>
      <c r="AA31" s="1182">
        <f>+AA32*AA33</f>
        <v>55.341593799693563</v>
      </c>
      <c r="AB31" s="1186"/>
      <c r="AC31" s="1065" t="s">
        <v>1096</v>
      </c>
      <c r="AD31" s="1182">
        <f>AD32*AD33</f>
        <v>85.997598632358716</v>
      </c>
    </row>
    <row r="32" spans="1:30">
      <c r="A32" s="4">
        <v>9</v>
      </c>
      <c r="B32" s="757" t="s">
        <v>835</v>
      </c>
      <c r="C32" s="757">
        <v>895.8</v>
      </c>
      <c r="D32" s="757">
        <v>254.5</v>
      </c>
      <c r="E32" s="757">
        <f t="shared" si="7"/>
        <v>641.29999999999995</v>
      </c>
      <c r="F32" s="757"/>
      <c r="G32" s="757"/>
      <c r="H32" s="1085">
        <f t="shared" si="8"/>
        <v>28.410359455235547</v>
      </c>
      <c r="I32" s="1088">
        <v>9</v>
      </c>
      <c r="J32" s="1088">
        <v>30</v>
      </c>
      <c r="K32" s="757">
        <f t="shared" si="10"/>
        <v>570</v>
      </c>
      <c r="L32" s="941">
        <f t="shared" si="5"/>
        <v>1.6073684210526318</v>
      </c>
      <c r="N32" s="4">
        <v>9</v>
      </c>
      <c r="O32" s="757" t="s">
        <v>835</v>
      </c>
      <c r="P32" s="945">
        <v>2.9736315789473688</v>
      </c>
      <c r="Q32" s="779">
        <v>1.8540000000000001</v>
      </c>
      <c r="R32" s="779">
        <v>4.7625000000000002</v>
      </c>
      <c r="S32" s="649">
        <f t="shared" si="9"/>
        <v>5.5131129473684225E-2</v>
      </c>
      <c r="T32" s="649">
        <f t="shared" si="11"/>
        <v>0.14161920394736843</v>
      </c>
      <c r="Z32" s="1065" t="s">
        <v>1178</v>
      </c>
      <c r="AA32" s="1182">
        <f>P28/(P27)*100</f>
        <v>8.1132064553834429</v>
      </c>
      <c r="AB32" s="1186"/>
      <c r="AC32" s="1065" t="s">
        <v>1178</v>
      </c>
      <c r="AD32" s="1182">
        <f>P31/P36*100</f>
        <v>52.666582975535256</v>
      </c>
    </row>
    <row r="33" spans="1:30">
      <c r="A33" s="4">
        <v>10</v>
      </c>
      <c r="B33" s="757" t="s">
        <v>836</v>
      </c>
      <c r="C33" s="757">
        <v>5443.9</v>
      </c>
      <c r="D33" s="757">
        <v>455.8</v>
      </c>
      <c r="E33" s="757">
        <f t="shared" si="7"/>
        <v>4988.0999999999995</v>
      </c>
      <c r="F33" s="757"/>
      <c r="G33" s="757"/>
      <c r="H33" s="1085">
        <f t="shared" si="8"/>
        <v>8.3726740020940884</v>
      </c>
      <c r="I33" s="1088">
        <v>1</v>
      </c>
      <c r="J33" s="1088">
        <v>30</v>
      </c>
      <c r="K33" s="757">
        <f t="shared" si="10"/>
        <v>90</v>
      </c>
      <c r="L33" s="941">
        <f t="shared" si="5"/>
        <v>18.231999999999999</v>
      </c>
      <c r="N33" s="4">
        <v>10</v>
      </c>
      <c r="O33" s="757" t="s">
        <v>836</v>
      </c>
      <c r="P33" s="945">
        <v>28.543698701298712</v>
      </c>
      <c r="Q33" s="779">
        <v>0.31698392478104459</v>
      </c>
      <c r="R33" s="779">
        <v>3.4449999999999998</v>
      </c>
      <c r="S33" s="649">
        <f t="shared" si="9"/>
        <v>9.0478936421052703E-2</v>
      </c>
      <c r="T33" s="649">
        <f t="shared" si="11"/>
        <v>0.98333042025974071</v>
      </c>
      <c r="V33" s="4" t="s">
        <v>804</v>
      </c>
      <c r="W33" s="4">
        <f>+S35/S30*100</f>
        <v>79.069061003879469</v>
      </c>
      <c r="Z33" s="1065" t="s">
        <v>753</v>
      </c>
      <c r="AA33" s="1182">
        <f>Q28/Q27</f>
        <v>6.8211741071832535</v>
      </c>
      <c r="AB33" s="1186"/>
      <c r="AC33" s="1065" t="s">
        <v>753</v>
      </c>
      <c r="AD33" s="1182">
        <f>Q31/Q36</f>
        <v>1.6328683915625668</v>
      </c>
    </row>
    <row r="34" spans="1:30">
      <c r="A34" s="4">
        <v>11</v>
      </c>
      <c r="B34" s="757" t="s">
        <v>837</v>
      </c>
      <c r="C34" s="757">
        <v>5711.8</v>
      </c>
      <c r="D34" s="757">
        <v>660</v>
      </c>
      <c r="E34" s="757">
        <f t="shared" si="7"/>
        <v>5051.8</v>
      </c>
      <c r="F34" s="757"/>
      <c r="G34" s="757"/>
      <c r="H34" s="1085">
        <f t="shared" si="8"/>
        <v>11.555026436499876</v>
      </c>
      <c r="I34" s="1088">
        <v>2</v>
      </c>
      <c r="J34" s="1088">
        <v>10</v>
      </c>
      <c r="K34" s="757">
        <f t="shared" si="10"/>
        <v>130</v>
      </c>
      <c r="L34" s="941">
        <f t="shared" si="5"/>
        <v>18.276923076923079</v>
      </c>
      <c r="N34" s="4">
        <v>11</v>
      </c>
      <c r="O34" s="757" t="s">
        <v>837</v>
      </c>
      <c r="P34" s="945">
        <v>28.325796992481191</v>
      </c>
      <c r="Q34" s="779">
        <v>8.3699999999999997E-2</v>
      </c>
      <c r="R34" s="779">
        <v>2.1505000000000005</v>
      </c>
      <c r="S34" s="649">
        <f t="shared" si="9"/>
        <v>2.3708692082706758E-2</v>
      </c>
      <c r="T34" s="649">
        <f t="shared" si="11"/>
        <v>0.6091462643233081</v>
      </c>
      <c r="V34" s="4" t="s">
        <v>943</v>
      </c>
      <c r="W34" s="4">
        <f>+S28/S27*100</f>
        <v>55.341593799693555</v>
      </c>
      <c r="Z34" s="1186"/>
      <c r="AA34" s="1186"/>
      <c r="AB34" s="1186"/>
      <c r="AC34" s="1186"/>
      <c r="AD34" s="1186"/>
    </row>
    <row r="35" spans="1:30">
      <c r="A35" s="4">
        <v>12</v>
      </c>
      <c r="B35" s="942" t="s">
        <v>838</v>
      </c>
      <c r="C35" s="757">
        <v>1329.1</v>
      </c>
      <c r="D35" s="757">
        <v>249.3</v>
      </c>
      <c r="E35" s="757">
        <f t="shared" si="7"/>
        <v>1079.8</v>
      </c>
      <c r="F35" s="757"/>
      <c r="G35" s="757"/>
      <c r="H35" s="1085">
        <f t="shared" si="8"/>
        <v>18.757053645323907</v>
      </c>
      <c r="I35" s="1089">
        <v>3</v>
      </c>
      <c r="J35" s="1089">
        <v>30</v>
      </c>
      <c r="K35" s="757">
        <f t="shared" si="10"/>
        <v>210</v>
      </c>
      <c r="L35" s="941">
        <f t="shared" si="5"/>
        <v>4.273714285714286</v>
      </c>
      <c r="N35" s="4">
        <v>12</v>
      </c>
      <c r="O35" s="757" t="s">
        <v>838</v>
      </c>
      <c r="P35" s="945">
        <v>7.2653142857142861</v>
      </c>
      <c r="Q35" s="779">
        <v>8.803766949626139</v>
      </c>
      <c r="R35" s="779">
        <v>14.039999999999997</v>
      </c>
      <c r="S35" s="649">
        <f t="shared" si="9"/>
        <v>0.63962133787218067</v>
      </c>
      <c r="T35" s="649">
        <f t="shared" si="11"/>
        <v>1.0200501257142855</v>
      </c>
      <c r="V35" s="4" t="s">
        <v>951</v>
      </c>
      <c r="W35" s="4">
        <f>+S31/S36*100</f>
        <v>85.997598632358731</v>
      </c>
      <c r="Z35" s="1447" t="s">
        <v>1183</v>
      </c>
      <c r="AA35" s="1448"/>
      <c r="AB35" s="1186"/>
      <c r="AC35" s="1447" t="s">
        <v>1197</v>
      </c>
      <c r="AD35" s="1448"/>
    </row>
    <row r="36" spans="1:30">
      <c r="A36" s="4">
        <v>13</v>
      </c>
      <c r="B36" s="942" t="s">
        <v>839</v>
      </c>
      <c r="C36" s="757">
        <v>2992.1</v>
      </c>
      <c r="D36" s="757">
        <v>494.2</v>
      </c>
      <c r="E36" s="757">
        <f t="shared" si="7"/>
        <v>2497.9</v>
      </c>
      <c r="F36" s="757"/>
      <c r="G36" s="757"/>
      <c r="H36" s="1085">
        <f t="shared" si="8"/>
        <v>16.516827646134821</v>
      </c>
      <c r="I36" s="1088">
        <v>0</v>
      </c>
      <c r="J36" s="1088">
        <v>55</v>
      </c>
      <c r="K36" s="757">
        <f t="shared" si="10"/>
        <v>55</v>
      </c>
      <c r="L36" s="941">
        <f t="shared" si="5"/>
        <v>32.347636363636362</v>
      </c>
      <c r="N36" s="4">
        <v>13</v>
      </c>
      <c r="O36" s="757" t="s">
        <v>839</v>
      </c>
      <c r="P36" s="945">
        <v>59.843127272727273</v>
      </c>
      <c r="Q36" s="779">
        <v>0.28293768339644992</v>
      </c>
      <c r="R36" s="779">
        <v>2.8977360769057086</v>
      </c>
      <c r="S36" s="649">
        <f t="shared" si="9"/>
        <v>0.16931875797744367</v>
      </c>
      <c r="T36" s="649">
        <f t="shared" si="11"/>
        <v>1.7340958885304176</v>
      </c>
      <c r="V36" s="4" t="s">
        <v>941</v>
      </c>
      <c r="W36" s="4">
        <f>+S32/S31*100</f>
        <v>37.862169167301332</v>
      </c>
      <c r="Z36" s="1065" t="s">
        <v>1056</v>
      </c>
      <c r="AA36" s="1182">
        <f>W30</f>
        <v>11.617404251412431</v>
      </c>
      <c r="AB36" s="1186"/>
      <c r="AC36" s="1065" t="s">
        <v>1056</v>
      </c>
      <c r="AD36" s="1182">
        <f>Q32</f>
        <v>1.8540000000000001</v>
      </c>
    </row>
    <row r="37" spans="1:30">
      <c r="A37" s="4" t="s">
        <v>1217</v>
      </c>
      <c r="B37" s="68"/>
      <c r="C37" s="68"/>
      <c r="D37" s="68"/>
      <c r="E37" s="68"/>
      <c r="F37" s="68"/>
      <c r="G37" s="68"/>
      <c r="H37" s="1160"/>
      <c r="I37" s="1161"/>
      <c r="J37" s="1161"/>
      <c r="K37" s="68"/>
      <c r="L37" s="133"/>
      <c r="O37" s="68"/>
      <c r="P37" s="1162"/>
      <c r="Q37" s="292"/>
      <c r="R37" s="292"/>
      <c r="S37" s="117"/>
      <c r="T37" s="117"/>
      <c r="Z37" s="1065" t="s">
        <v>1096</v>
      </c>
      <c r="AA37" s="1182">
        <f>AA38*AA39</f>
        <v>98.526305301806943</v>
      </c>
      <c r="AB37" s="1186"/>
      <c r="AC37" s="1065" t="s">
        <v>1096</v>
      </c>
      <c r="AD37" s="1182">
        <f>+AD38*AD39</f>
        <v>37.862169167301332</v>
      </c>
    </row>
    <row r="38" spans="1:30">
      <c r="C38" s="4" t="s">
        <v>867</v>
      </c>
      <c r="D38" s="4" t="s">
        <v>868</v>
      </c>
      <c r="E38" s="4" t="s">
        <v>1172</v>
      </c>
      <c r="F38" s="4" t="s">
        <v>1175</v>
      </c>
      <c r="G38" s="4" t="s">
        <v>1176</v>
      </c>
      <c r="H38" s="4" t="s">
        <v>310</v>
      </c>
      <c r="I38" s="4" t="s">
        <v>882</v>
      </c>
      <c r="J38" s="4" t="s">
        <v>865</v>
      </c>
      <c r="K38" s="4" t="s">
        <v>865</v>
      </c>
      <c r="L38" s="4" t="s">
        <v>866</v>
      </c>
      <c r="Z38" s="1065" t="s">
        <v>1178</v>
      </c>
      <c r="AA38" s="1182">
        <f>W28</f>
        <v>32.509165953047109</v>
      </c>
      <c r="AB38" s="1186"/>
      <c r="AC38" s="1065" t="s">
        <v>1178</v>
      </c>
      <c r="AD38" s="1182">
        <f>P32/P31*100</f>
        <v>9.4349094688744408</v>
      </c>
    </row>
    <row r="39" spans="1:30">
      <c r="A39" s="4">
        <v>1</v>
      </c>
      <c r="B39" s="757" t="s">
        <v>844</v>
      </c>
      <c r="C39" s="757"/>
      <c r="D39" s="757"/>
      <c r="E39" s="757"/>
      <c r="F39" s="757"/>
      <c r="G39" s="757"/>
      <c r="H39" s="940"/>
      <c r="I39" s="940"/>
      <c r="J39" s="940"/>
      <c r="K39" s="757">
        <f t="shared" ref="K39:K41" si="12">+I39*60+J39</f>
        <v>0</v>
      </c>
      <c r="L39" s="941" t="e">
        <f t="shared" ref="L39:L51" si="13">+(D39/1000)/(K39/3600)</f>
        <v>#DIV/0!</v>
      </c>
      <c r="V39" s="4" t="s">
        <v>1117</v>
      </c>
      <c r="W39" s="4">
        <f>(P35/(P29+P33))*100</f>
        <v>10.826230079247583</v>
      </c>
      <c r="Z39" s="1065" t="s">
        <v>753</v>
      </c>
      <c r="AA39" s="1182">
        <f>W29</f>
        <v>3.0307238716646312</v>
      </c>
      <c r="AB39" s="1186"/>
      <c r="AC39" s="1065" t="s">
        <v>753</v>
      </c>
      <c r="AD39" s="1182">
        <f>+Q32/Q31</f>
        <v>4.0129870129870131</v>
      </c>
    </row>
    <row r="40" spans="1:30">
      <c r="A40" s="4">
        <v>2</v>
      </c>
      <c r="B40" s="757" t="s">
        <v>845</v>
      </c>
      <c r="C40" s="757"/>
      <c r="D40" s="757"/>
      <c r="E40" s="757"/>
      <c r="F40" s="757"/>
      <c r="G40" s="757"/>
      <c r="H40" s="940"/>
      <c r="I40" s="940"/>
      <c r="J40" s="940"/>
      <c r="K40" s="757">
        <f t="shared" si="12"/>
        <v>0</v>
      </c>
      <c r="L40" s="941" t="e">
        <f t="shared" si="13"/>
        <v>#DIV/0!</v>
      </c>
      <c r="N40" s="4" t="s">
        <v>872</v>
      </c>
    </row>
    <row r="41" spans="1:30">
      <c r="A41" s="4">
        <v>3</v>
      </c>
      <c r="B41" s="757" t="s">
        <v>846</v>
      </c>
      <c r="C41" s="757"/>
      <c r="D41" s="757"/>
      <c r="E41" s="757"/>
      <c r="F41" s="757"/>
      <c r="G41" s="757"/>
      <c r="H41" s="940"/>
      <c r="I41" s="940"/>
      <c r="J41" s="940"/>
      <c r="K41" s="757">
        <f t="shared" si="12"/>
        <v>0</v>
      </c>
      <c r="L41" s="941" t="e">
        <f t="shared" si="13"/>
        <v>#DIV/0!</v>
      </c>
      <c r="O41" s="928"/>
      <c r="P41" s="928" t="s">
        <v>876</v>
      </c>
      <c r="Q41" s="928" t="s">
        <v>874</v>
      </c>
      <c r="R41" s="928" t="s">
        <v>873</v>
      </c>
    </row>
    <row r="42" spans="1:30">
      <c r="A42" s="4">
        <v>4</v>
      </c>
      <c r="B42" s="757" t="s">
        <v>830</v>
      </c>
      <c r="C42" s="757">
        <v>2131.1999999999998</v>
      </c>
      <c r="D42" s="757">
        <v>390</v>
      </c>
      <c r="E42" s="941">
        <f>(M42*1000*K42)/3600</f>
        <v>641.20593253968229</v>
      </c>
      <c r="F42" s="941">
        <f>E42+E27</f>
        <v>2382.405932539682</v>
      </c>
      <c r="G42" s="1163">
        <f>(E42/F42)*100</f>
        <v>26.914218260703652</v>
      </c>
      <c r="H42" s="1085">
        <f>+D42/C42*100</f>
        <v>18.29954954954955</v>
      </c>
      <c r="I42" s="1087">
        <v>0</v>
      </c>
      <c r="J42" s="1087">
        <v>55</v>
      </c>
      <c r="K42" s="757">
        <f>+I42*60+J42</f>
        <v>55</v>
      </c>
      <c r="L42" s="941">
        <f t="shared" si="13"/>
        <v>25.527272727272727</v>
      </c>
      <c r="M42" s="4">
        <v>41.969842857142844</v>
      </c>
      <c r="N42" s="4">
        <v>1</v>
      </c>
      <c r="O42" s="757" t="s">
        <v>844</v>
      </c>
      <c r="P42" s="928" t="e">
        <f>+(P6-P24)/P6*100</f>
        <v>#DIV/0!</v>
      </c>
      <c r="Q42" s="928" t="e">
        <f t="shared" ref="Q42:R42" si="14">+(Q6-Q24)/Q6*100</f>
        <v>#DIV/0!</v>
      </c>
      <c r="R42" s="928" t="e">
        <f t="shared" si="14"/>
        <v>#DIV/0!</v>
      </c>
    </row>
    <row r="43" spans="1:30">
      <c r="A43" s="4">
        <v>5</v>
      </c>
      <c r="B43" s="757" t="s">
        <v>831</v>
      </c>
      <c r="C43" s="757">
        <v>756.4</v>
      </c>
      <c r="D43" s="757">
        <v>200.3</v>
      </c>
      <c r="E43" s="941">
        <f t="shared" ref="E43:E51" si="15">(M43*1000*K43)/3600</f>
        <v>340.51</v>
      </c>
      <c r="F43" s="941">
        <f t="shared" ref="F43:F51" si="16">E43+E28</f>
        <v>896.6099999999999</v>
      </c>
      <c r="G43" s="1163">
        <f t="shared" ref="G43:G51" si="17">(E43/F43)*100</f>
        <v>37.977493001416448</v>
      </c>
      <c r="H43" s="1085">
        <f t="shared" ref="H43:H51" si="18">+D43/C43*100</f>
        <v>26.480698043363304</v>
      </c>
      <c r="I43" s="1088">
        <v>6</v>
      </c>
      <c r="J43" s="1088">
        <v>0</v>
      </c>
      <c r="K43" s="757">
        <f>+I43*60+J43</f>
        <v>360</v>
      </c>
      <c r="L43" s="941">
        <f t="shared" si="13"/>
        <v>2.0030000000000001</v>
      </c>
      <c r="M43" s="4">
        <v>3.4051</v>
      </c>
      <c r="N43" s="4">
        <v>2</v>
      </c>
      <c r="O43" s="757" t="s">
        <v>845</v>
      </c>
      <c r="P43" s="928" t="e">
        <f t="shared" ref="P43:R44" si="19">+(P7-P25)/P7*100</f>
        <v>#DIV/0!</v>
      </c>
      <c r="Q43" s="928" t="e">
        <f t="shared" si="19"/>
        <v>#DIV/0!</v>
      </c>
      <c r="R43" s="928" t="e">
        <f t="shared" si="19"/>
        <v>#DIV/0!</v>
      </c>
    </row>
    <row r="44" spans="1:30">
      <c r="A44" s="4">
        <v>6</v>
      </c>
      <c r="B44" s="757" t="s">
        <v>832</v>
      </c>
      <c r="C44" s="757">
        <v>2532.3000000000002</v>
      </c>
      <c r="D44" s="757">
        <v>441.1</v>
      </c>
      <c r="E44" s="941">
        <f t="shared" si="15"/>
        <v>749.87000000000012</v>
      </c>
      <c r="F44" s="941">
        <f t="shared" si="16"/>
        <v>2841.0700000000006</v>
      </c>
      <c r="G44" s="1163">
        <f t="shared" si="17"/>
        <v>26.393929047858727</v>
      </c>
      <c r="H44" s="1085">
        <f t="shared" si="18"/>
        <v>17.418947202148242</v>
      </c>
      <c r="I44" s="1088">
        <v>1</v>
      </c>
      <c r="J44" s="1088">
        <v>10</v>
      </c>
      <c r="K44" s="757">
        <f t="shared" ref="K44:K51" si="20">+I44*60+J44</f>
        <v>70</v>
      </c>
      <c r="L44" s="941">
        <f t="shared" si="13"/>
        <v>22.685142857142861</v>
      </c>
      <c r="M44" s="4">
        <v>38.564742857142861</v>
      </c>
      <c r="N44" s="4">
        <v>3</v>
      </c>
      <c r="O44" s="757" t="s">
        <v>846</v>
      </c>
      <c r="P44" s="928" t="e">
        <f t="shared" si="19"/>
        <v>#DIV/0!</v>
      </c>
      <c r="Q44" s="928" t="e">
        <f t="shared" si="19"/>
        <v>#DIV/0!</v>
      </c>
      <c r="R44" s="928" t="e">
        <f t="shared" si="19"/>
        <v>#DIV/0!</v>
      </c>
    </row>
    <row r="45" spans="1:30">
      <c r="A45" s="4">
        <v>7</v>
      </c>
      <c r="B45" s="757" t="s">
        <v>833</v>
      </c>
      <c r="C45" s="757">
        <v>4387.8999999999996</v>
      </c>
      <c r="D45" s="757">
        <v>684.4</v>
      </c>
      <c r="E45" s="941">
        <f t="shared" si="15"/>
        <v>1118.4740259740263</v>
      </c>
      <c r="F45" s="941">
        <f t="shared" si="16"/>
        <v>4821.9740259740256</v>
      </c>
      <c r="G45" s="1163">
        <f t="shared" si="17"/>
        <v>23.195355676933527</v>
      </c>
      <c r="H45" s="1085">
        <f t="shared" si="18"/>
        <v>15.597438410173432</v>
      </c>
      <c r="I45" s="1088">
        <v>1</v>
      </c>
      <c r="J45" s="1088">
        <v>0</v>
      </c>
      <c r="K45" s="757">
        <f t="shared" si="20"/>
        <v>60</v>
      </c>
      <c r="L45" s="941">
        <f t="shared" si="13"/>
        <v>41.064</v>
      </c>
      <c r="M45" s="4">
        <v>67.108441558441584</v>
      </c>
      <c r="N45" s="4">
        <v>4</v>
      </c>
      <c r="O45" s="757" t="s">
        <v>830</v>
      </c>
      <c r="P45" s="948">
        <f>ABS((P9-P27)/P9*100)</f>
        <v>64.411777574277522</v>
      </c>
      <c r="Q45" s="948">
        <f>ABS((Q9-Q27)/Q9*100)</f>
        <v>3.6002988006842429</v>
      </c>
      <c r="R45" s="948">
        <f>ABS((R9-R27)/R9*100)</f>
        <v>56.125699986686726</v>
      </c>
    </row>
    <row r="46" spans="1:30">
      <c r="A46" s="4">
        <v>8</v>
      </c>
      <c r="B46" s="757" t="s">
        <v>834</v>
      </c>
      <c r="C46" s="757">
        <v>2768.1</v>
      </c>
      <c r="D46" s="757">
        <v>410.2</v>
      </c>
      <c r="E46" s="941">
        <f t="shared" si="15"/>
        <v>525.28883800410131</v>
      </c>
      <c r="F46" s="941">
        <f t="shared" si="16"/>
        <v>2883.1888380041014</v>
      </c>
      <c r="G46" s="1163">
        <f t="shared" si="17"/>
        <v>18.219023016464455</v>
      </c>
      <c r="H46" s="1085">
        <f t="shared" si="18"/>
        <v>14.81882879953759</v>
      </c>
      <c r="I46" s="1088">
        <v>1</v>
      </c>
      <c r="J46" s="1088">
        <v>0</v>
      </c>
      <c r="K46" s="757">
        <f t="shared" si="20"/>
        <v>60</v>
      </c>
      <c r="L46" s="941">
        <f t="shared" si="13"/>
        <v>24.612000000000002</v>
      </c>
      <c r="M46" s="4">
        <v>31.517330280246082</v>
      </c>
      <c r="N46" s="4">
        <v>5</v>
      </c>
      <c r="O46" s="757" t="s">
        <v>831</v>
      </c>
      <c r="P46" s="948">
        <f t="shared" ref="P46:R49" si="21">ABS((P10-P28)/P10*100)</f>
        <v>70</v>
      </c>
      <c r="Q46" s="948">
        <f t="shared" si="21"/>
        <v>9.9999999999999947</v>
      </c>
      <c r="R46" s="948">
        <f t="shared" si="21"/>
        <v>24.999999999999993</v>
      </c>
    </row>
    <row r="47" spans="1:30">
      <c r="A47" s="4">
        <v>9</v>
      </c>
      <c r="B47" s="757" t="s">
        <v>835</v>
      </c>
      <c r="C47" s="757">
        <v>895.8</v>
      </c>
      <c r="D47" s="757">
        <v>254.5</v>
      </c>
      <c r="E47" s="941">
        <f t="shared" si="15"/>
        <v>470.82500000000005</v>
      </c>
      <c r="F47" s="941">
        <f t="shared" si="16"/>
        <v>1112.125</v>
      </c>
      <c r="G47" s="1163">
        <f t="shared" si="17"/>
        <v>42.335618747892553</v>
      </c>
      <c r="H47" s="1085">
        <f t="shared" si="18"/>
        <v>28.410359455235547</v>
      </c>
      <c r="I47" s="1088">
        <v>9</v>
      </c>
      <c r="J47" s="1088">
        <v>30</v>
      </c>
      <c r="K47" s="757">
        <f t="shared" si="20"/>
        <v>570</v>
      </c>
      <c r="L47" s="941">
        <f t="shared" si="13"/>
        <v>1.6073684210526318</v>
      </c>
      <c r="M47" s="4">
        <v>2.9736315789473688</v>
      </c>
      <c r="N47" s="4">
        <v>6</v>
      </c>
      <c r="O47" s="757" t="s">
        <v>832</v>
      </c>
      <c r="P47" s="948">
        <f t="shared" si="21"/>
        <v>69.999999999999986</v>
      </c>
      <c r="Q47" s="948">
        <f t="shared" si="21"/>
        <v>14.999999999999991</v>
      </c>
      <c r="R47" s="948">
        <f t="shared" si="21"/>
        <v>6.0461732954311769</v>
      </c>
    </row>
    <row r="48" spans="1:30">
      <c r="A48" s="4">
        <v>10</v>
      </c>
      <c r="B48" s="757" t="s">
        <v>836</v>
      </c>
      <c r="C48" s="757">
        <v>5443.9</v>
      </c>
      <c r="D48" s="757">
        <v>455.8</v>
      </c>
      <c r="E48" s="941">
        <f t="shared" si="15"/>
        <v>713.59246753246782</v>
      </c>
      <c r="F48" s="941">
        <f t="shared" si="16"/>
        <v>5701.6924675324672</v>
      </c>
      <c r="G48" s="1163">
        <f t="shared" si="17"/>
        <v>12.515449957989238</v>
      </c>
      <c r="H48" s="1085">
        <f t="shared" si="18"/>
        <v>8.3726740020940884</v>
      </c>
      <c r="I48" s="1088">
        <v>1</v>
      </c>
      <c r="J48" s="1088">
        <v>30</v>
      </c>
      <c r="K48" s="757">
        <f t="shared" si="20"/>
        <v>90</v>
      </c>
      <c r="L48" s="941">
        <f t="shared" si="13"/>
        <v>18.231999999999999</v>
      </c>
      <c r="M48" s="4">
        <v>28.543698701298712</v>
      </c>
      <c r="N48" s="4">
        <v>7</v>
      </c>
      <c r="O48" s="757" t="s">
        <v>833</v>
      </c>
      <c r="P48" s="948">
        <f t="shared" si="21"/>
        <v>63.424024835480189</v>
      </c>
      <c r="Q48" s="948">
        <f t="shared" si="21"/>
        <v>11.613172631327739</v>
      </c>
      <c r="R48" s="948">
        <f t="shared" si="21"/>
        <v>16.415006002914623</v>
      </c>
    </row>
    <row r="49" spans="1:18">
      <c r="A49" s="4">
        <v>11</v>
      </c>
      <c r="B49" s="757" t="s">
        <v>837</v>
      </c>
      <c r="C49" s="757">
        <v>5711.8</v>
      </c>
      <c r="D49" s="757">
        <v>660</v>
      </c>
      <c r="E49" s="941">
        <f t="shared" si="15"/>
        <v>1022.8760025062653</v>
      </c>
      <c r="F49" s="941">
        <f t="shared" si="16"/>
        <v>6074.6760025062658</v>
      </c>
      <c r="G49" s="1163">
        <f t="shared" si="17"/>
        <v>16.838363100916844</v>
      </c>
      <c r="H49" s="1085">
        <f t="shared" si="18"/>
        <v>11.555026436499876</v>
      </c>
      <c r="I49" s="1088">
        <v>2</v>
      </c>
      <c r="J49" s="1088">
        <v>10</v>
      </c>
      <c r="K49" s="757">
        <f t="shared" si="20"/>
        <v>130</v>
      </c>
      <c r="L49" s="941">
        <f t="shared" si="13"/>
        <v>18.276923076923079</v>
      </c>
      <c r="M49" s="4">
        <v>28.325796992481191</v>
      </c>
      <c r="N49" s="4">
        <v>8</v>
      </c>
      <c r="O49" s="757" t="s">
        <v>834</v>
      </c>
      <c r="P49" s="948">
        <f t="shared" si="21"/>
        <v>28.056762068284087</v>
      </c>
      <c r="Q49" s="948">
        <f t="shared" si="21"/>
        <v>9.9999999999999964</v>
      </c>
      <c r="R49" s="948">
        <f t="shared" si="21"/>
        <v>21.207396639019422</v>
      </c>
    </row>
    <row r="50" spans="1:18">
      <c r="A50" s="4">
        <v>12</v>
      </c>
      <c r="B50" s="942" t="s">
        <v>838</v>
      </c>
      <c r="C50" s="757">
        <v>1329.1</v>
      </c>
      <c r="D50" s="757">
        <v>249.3</v>
      </c>
      <c r="E50" s="941">
        <f t="shared" si="15"/>
        <v>423.81</v>
      </c>
      <c r="F50" s="941">
        <f t="shared" si="16"/>
        <v>1503.61</v>
      </c>
      <c r="G50" s="1163">
        <f t="shared" si="17"/>
        <v>28.186165295522116</v>
      </c>
      <c r="H50" s="1085">
        <f t="shared" si="18"/>
        <v>18.757053645323907</v>
      </c>
      <c r="I50" s="1089">
        <v>3</v>
      </c>
      <c r="J50" s="1089">
        <v>30</v>
      </c>
      <c r="K50" s="757">
        <f t="shared" si="20"/>
        <v>210</v>
      </c>
      <c r="L50" s="941">
        <f t="shared" si="13"/>
        <v>4.273714285714286</v>
      </c>
      <c r="M50" s="4">
        <v>7.2653142857142861</v>
      </c>
      <c r="N50" s="4">
        <v>9</v>
      </c>
      <c r="O50" s="757" t="s">
        <v>835</v>
      </c>
      <c r="P50" s="948">
        <f t="shared" ref="P50:R54" si="22">ABS((P14-P32)/P14*100)</f>
        <v>85.000000000000014</v>
      </c>
      <c r="Q50" s="948">
        <f t="shared" si="22"/>
        <v>9.9999999999999982</v>
      </c>
      <c r="R50" s="948">
        <f t="shared" si="22"/>
        <v>25.000000000000007</v>
      </c>
    </row>
    <row r="51" spans="1:18">
      <c r="A51" s="4">
        <v>13</v>
      </c>
      <c r="B51" s="942" t="s">
        <v>839</v>
      </c>
      <c r="C51" s="757">
        <v>2992.1</v>
      </c>
      <c r="D51" s="757">
        <v>494.2</v>
      </c>
      <c r="E51" s="941">
        <f t="shared" si="15"/>
        <v>914.27</v>
      </c>
      <c r="F51" s="941">
        <f t="shared" si="16"/>
        <v>3412.17</v>
      </c>
      <c r="G51" s="1163">
        <f t="shared" si="17"/>
        <v>26.794385977252013</v>
      </c>
      <c r="H51" s="1085">
        <f t="shared" si="18"/>
        <v>16.516827646134821</v>
      </c>
      <c r="I51" s="1088">
        <v>0</v>
      </c>
      <c r="J51" s="1088">
        <v>55</v>
      </c>
      <c r="K51" s="757">
        <f t="shared" si="20"/>
        <v>55</v>
      </c>
      <c r="L51" s="941">
        <f t="shared" si="13"/>
        <v>32.347636363636362</v>
      </c>
      <c r="M51" s="4">
        <v>59.843127272727273</v>
      </c>
      <c r="N51" s="4">
        <v>10</v>
      </c>
      <c r="O51" s="757" t="s">
        <v>836</v>
      </c>
      <c r="P51" s="948">
        <f t="shared" si="22"/>
        <v>56.558242108922293</v>
      </c>
      <c r="Q51" s="948">
        <f t="shared" si="22"/>
        <v>13.208544564658773</v>
      </c>
      <c r="R51" s="948">
        <f t="shared" si="22"/>
        <v>30</v>
      </c>
    </row>
    <row r="52" spans="1:18">
      <c r="N52" s="4">
        <v>11</v>
      </c>
      <c r="O52" s="757" t="s">
        <v>837</v>
      </c>
      <c r="P52" s="948">
        <f t="shared" si="22"/>
        <v>54.981212500949248</v>
      </c>
      <c r="Q52" s="948">
        <f t="shared" si="22"/>
        <v>10.000000000000004</v>
      </c>
      <c r="R52" s="948">
        <f t="shared" si="22"/>
        <v>15.000000000000021</v>
      </c>
    </row>
    <row r="53" spans="1:18">
      <c r="N53" s="4">
        <v>12</v>
      </c>
      <c r="O53" s="757" t="s">
        <v>838</v>
      </c>
      <c r="P53" s="948">
        <f t="shared" si="22"/>
        <v>70</v>
      </c>
      <c r="Q53" s="948">
        <f t="shared" si="22"/>
        <v>2.4885558745767073</v>
      </c>
      <c r="R53" s="948">
        <f t="shared" si="22"/>
        <v>19.999999999999986</v>
      </c>
    </row>
    <row r="54" spans="1:18">
      <c r="N54" s="4">
        <v>13</v>
      </c>
      <c r="O54" s="757" t="s">
        <v>839</v>
      </c>
      <c r="P54" s="948">
        <f t="shared" si="22"/>
        <v>85.000000000000014</v>
      </c>
      <c r="Q54" s="948">
        <f t="shared" si="22"/>
        <v>5.6874388678500223</v>
      </c>
      <c r="R54" s="948">
        <f t="shared" si="22"/>
        <v>31.495601018777581</v>
      </c>
    </row>
    <row r="57" spans="1:18">
      <c r="N57" s="4" t="s">
        <v>877</v>
      </c>
    </row>
    <row r="58" spans="1:18">
      <c r="O58" s="928"/>
      <c r="P58" s="928" t="s">
        <v>876</v>
      </c>
      <c r="Q58" s="928" t="s">
        <v>874</v>
      </c>
      <c r="R58" s="928" t="s">
        <v>873</v>
      </c>
    </row>
    <row r="59" spans="1:18">
      <c r="N59" s="127">
        <v>1</v>
      </c>
      <c r="O59" s="952" t="s">
        <v>844</v>
      </c>
      <c r="P59" s="953">
        <v>30</v>
      </c>
      <c r="Q59" s="953">
        <v>5</v>
      </c>
      <c r="R59" s="953">
        <v>10</v>
      </c>
    </row>
    <row r="60" spans="1:18">
      <c r="N60" s="127">
        <v>2</v>
      </c>
      <c r="O60" s="952" t="s">
        <v>845</v>
      </c>
      <c r="P60" s="953">
        <v>30</v>
      </c>
      <c r="Q60" s="953">
        <v>5</v>
      </c>
      <c r="R60" s="953">
        <v>10</v>
      </c>
    </row>
    <row r="61" spans="1:18">
      <c r="N61" s="127">
        <v>3</v>
      </c>
      <c r="O61" s="954" t="s">
        <v>846</v>
      </c>
      <c r="P61" s="953">
        <v>30</v>
      </c>
      <c r="Q61" s="953">
        <v>5</v>
      </c>
      <c r="R61" s="953">
        <v>10</v>
      </c>
    </row>
    <row r="62" spans="1:18">
      <c r="N62" s="4">
        <v>4</v>
      </c>
      <c r="O62" s="757" t="s">
        <v>830</v>
      </c>
      <c r="P62" s="928">
        <v>70</v>
      </c>
      <c r="Q62" s="928">
        <v>10</v>
      </c>
      <c r="R62" s="928">
        <v>35</v>
      </c>
    </row>
    <row r="63" spans="1:18">
      <c r="C63" s="1065" t="s">
        <v>945</v>
      </c>
      <c r="D63" s="1066" t="s">
        <v>949</v>
      </c>
      <c r="E63" s="1066"/>
      <c r="F63" s="1066"/>
      <c r="G63" s="1066"/>
      <c r="H63" s="1066" t="s">
        <v>950</v>
      </c>
      <c r="I63" s="1065" t="s">
        <v>947</v>
      </c>
      <c r="N63" s="4">
        <v>5</v>
      </c>
      <c r="O63" s="944" t="s">
        <v>831</v>
      </c>
      <c r="P63" s="928">
        <v>70</v>
      </c>
      <c r="Q63" s="928">
        <v>10</v>
      </c>
      <c r="R63" s="928">
        <v>25</v>
      </c>
    </row>
    <row r="64" spans="1:18">
      <c r="B64" s="1065" t="s">
        <v>942</v>
      </c>
      <c r="C64" s="649">
        <f>(L28/1000)/(PI()*(4*0.0254/2)^2)</f>
        <v>0.24706069115650878</v>
      </c>
      <c r="D64" s="649">
        <f>((L27/(H27*0.01))-L27)+L27/4.2</f>
        <v>120.04737662337662</v>
      </c>
      <c r="E64" s="649"/>
      <c r="F64" s="649"/>
      <c r="G64" s="649"/>
      <c r="H64" s="649">
        <f>((L29/(H29*0.01))-L29)+L29/4.2</f>
        <v>112.9486530612245</v>
      </c>
      <c r="I64" s="649">
        <f>((H64-D64)*1000/3600)/(PI()*(4*2.54/2)^2)</f>
        <v>-2.4322066200619847E-2</v>
      </c>
      <c r="N64" s="4">
        <v>6</v>
      </c>
      <c r="O64" s="757" t="s">
        <v>832</v>
      </c>
      <c r="P64" s="928">
        <v>70</v>
      </c>
      <c r="Q64" s="928">
        <v>15</v>
      </c>
      <c r="R64" s="928">
        <v>25</v>
      </c>
    </row>
    <row r="65" spans="2:18">
      <c r="B65" s="1065" t="s">
        <v>946</v>
      </c>
      <c r="C65" s="649">
        <f>(L32/1000)/(PI()*(3*0.0254/2)^2)</f>
        <v>0.35246468346228166</v>
      </c>
      <c r="D65" s="649">
        <f>((L31/(H31*0.01))-L31)+L31/4.2</f>
        <v>147.33400000000003</v>
      </c>
      <c r="E65" s="649"/>
      <c r="F65" s="649"/>
      <c r="G65" s="649"/>
      <c r="H65" s="649">
        <f>((L33/(H33*0.01))-L33)+L33/4.2</f>
        <v>203.86495238095236</v>
      </c>
      <c r="I65" s="649">
        <f>((H65-D65)*1000/3600)/(PI()*(3*2.54/2)^2)</f>
        <v>0.34433722667785399</v>
      </c>
      <c r="N65" s="949">
        <v>7</v>
      </c>
      <c r="O65" s="950" t="s">
        <v>833</v>
      </c>
      <c r="P65" s="951">
        <v>85</v>
      </c>
      <c r="Q65" s="951">
        <v>30</v>
      </c>
      <c r="R65" s="951">
        <v>30</v>
      </c>
    </row>
    <row r="66" spans="2:18">
      <c r="N66" s="4">
        <v>8</v>
      </c>
      <c r="O66" s="757" t="s">
        <v>834</v>
      </c>
      <c r="P66" s="928">
        <v>70</v>
      </c>
      <c r="Q66" s="928">
        <v>10</v>
      </c>
      <c r="R66" s="928">
        <v>25</v>
      </c>
    </row>
    <row r="67" spans="2:18">
      <c r="N67" s="4">
        <v>9</v>
      </c>
      <c r="O67" s="944" t="s">
        <v>835</v>
      </c>
      <c r="P67" s="928">
        <v>85</v>
      </c>
      <c r="Q67" s="928">
        <v>10</v>
      </c>
      <c r="R67" s="928">
        <v>25</v>
      </c>
    </row>
    <row r="68" spans="2:18">
      <c r="N68" s="949">
        <v>10</v>
      </c>
      <c r="O68" s="950" t="s">
        <v>836</v>
      </c>
      <c r="P68" s="951">
        <v>85</v>
      </c>
      <c r="Q68" s="951">
        <v>20</v>
      </c>
      <c r="R68" s="951">
        <v>30</v>
      </c>
    </row>
    <row r="69" spans="2:18">
      <c r="N69" s="4">
        <v>11</v>
      </c>
      <c r="O69" s="943" t="s">
        <v>837</v>
      </c>
      <c r="P69" s="928">
        <v>70</v>
      </c>
      <c r="Q69" s="928">
        <v>10</v>
      </c>
      <c r="R69" s="928">
        <v>15</v>
      </c>
    </row>
    <row r="70" spans="2:18">
      <c r="N70" s="4">
        <v>12</v>
      </c>
      <c r="O70" s="944" t="s">
        <v>838</v>
      </c>
      <c r="P70" s="928">
        <v>70</v>
      </c>
      <c r="Q70" s="928">
        <v>10</v>
      </c>
      <c r="R70" s="928">
        <v>20</v>
      </c>
    </row>
    <row r="71" spans="2:18">
      <c r="N71" s="949">
        <v>13</v>
      </c>
      <c r="O71" s="950" t="s">
        <v>839</v>
      </c>
      <c r="P71" s="951">
        <v>85</v>
      </c>
      <c r="Q71" s="951">
        <v>20</v>
      </c>
      <c r="R71" s="951">
        <v>30</v>
      </c>
    </row>
    <row r="73" spans="2:18">
      <c r="O73" s="935" t="s">
        <v>879</v>
      </c>
    </row>
    <row r="74" spans="2:18">
      <c r="O74" s="104" t="s">
        <v>878</v>
      </c>
    </row>
  </sheetData>
  <mergeCells count="8">
    <mergeCell ref="Z35:AA35"/>
    <mergeCell ref="AC29:AD29"/>
    <mergeCell ref="AC35:AD35"/>
    <mergeCell ref="AC23:AD23"/>
    <mergeCell ref="O4:T4"/>
    <mergeCell ref="O22:T22"/>
    <mergeCell ref="Z23:AA23"/>
    <mergeCell ref="Z29:AA29"/>
  </mergeCell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222F4-65D9-429D-9300-054CCDF4656D}">
  <dimension ref="A2:BE114"/>
  <sheetViews>
    <sheetView tabSelected="1" topLeftCell="U56" zoomScale="70" zoomScaleNormal="70" workbookViewId="0">
      <selection activeCell="AA24" sqref="AA24"/>
    </sheetView>
  </sheetViews>
  <sheetFormatPr baseColWidth="10" defaultColWidth="10.7265625" defaultRowHeight="14.5"/>
  <cols>
    <col min="1" max="1" width="10.81640625" style="4" bestFit="1" customWidth="1"/>
    <col min="2" max="2" width="25.453125" style="4" bestFit="1" customWidth="1"/>
    <col min="3" max="3" width="12.54296875" style="4" bestFit="1" customWidth="1"/>
    <col min="4" max="13" width="10.81640625" style="4" bestFit="1" customWidth="1"/>
    <col min="14" max="14" width="7" style="4" customWidth="1"/>
    <col min="15" max="15" width="25.453125" style="4" bestFit="1" customWidth="1"/>
    <col min="16" max="17" width="10.81640625" style="4" bestFit="1" customWidth="1"/>
    <col min="18" max="18" width="11.81640625" style="4" bestFit="1" customWidth="1"/>
    <col min="19" max="20" width="10.81640625" style="4" bestFit="1" customWidth="1"/>
    <col min="21" max="21" width="10.7265625" style="4"/>
    <col min="22" max="22" width="12.7265625" style="4" bestFit="1" customWidth="1"/>
    <col min="23" max="23" width="10.81640625" style="4" bestFit="1" customWidth="1"/>
    <col min="24" max="24" width="14.26953125" style="4" bestFit="1" customWidth="1"/>
    <col min="25" max="25" width="16.453125" style="4" bestFit="1" customWidth="1"/>
    <col min="26" max="26" width="12.81640625" style="4" bestFit="1" customWidth="1"/>
    <col min="27" max="27" width="12.54296875" style="4" bestFit="1" customWidth="1"/>
    <col min="28" max="28" width="11.54296875" style="4" bestFit="1" customWidth="1"/>
    <col min="29" max="31" width="15.26953125" style="4" bestFit="1" customWidth="1"/>
    <col min="32" max="32" width="11.54296875" style="4" bestFit="1" customWidth="1"/>
    <col min="33" max="33" width="12.54296875" style="4" bestFit="1" customWidth="1"/>
    <col min="34" max="34" width="12.81640625" style="4" bestFit="1" customWidth="1"/>
    <col min="35" max="35" width="10.81640625" style="4" bestFit="1" customWidth="1"/>
    <col min="36" max="44" width="10.26953125" style="4" customWidth="1"/>
    <col min="45" max="45" width="29.54296875" style="4" bestFit="1" customWidth="1"/>
    <col min="46" max="48" width="10.26953125" style="4" customWidth="1"/>
    <col min="49" max="49" width="9.453125" style="4" customWidth="1"/>
    <col min="50" max="50" width="12.54296875" style="4" bestFit="1" customWidth="1"/>
    <col min="51" max="51" width="10.81640625" style="68" bestFit="1" customWidth="1"/>
    <col min="52" max="52" width="12.81640625" style="4" bestFit="1" customWidth="1"/>
    <col min="53" max="53" width="10.81640625" style="4" bestFit="1" customWidth="1"/>
    <col min="54" max="54" width="11.54296875" style="4" bestFit="1" customWidth="1"/>
    <col min="55" max="56" width="10.7265625" style="4"/>
    <col min="57" max="57" width="11.54296875" style="4" bestFit="1" customWidth="1"/>
    <col min="58" max="16384" width="10.7265625" style="4"/>
  </cols>
  <sheetData>
    <row r="2" spans="12:57">
      <c r="L2" s="4" t="s">
        <v>1364</v>
      </c>
      <c r="U2" s="4" t="s">
        <v>880</v>
      </c>
      <c r="V2" s="4">
        <f>+SUMX2MY2(S9:T18,S27:T36)</f>
        <v>-6.7572674730214528</v>
      </c>
    </row>
    <row r="3" spans="12:57" ht="21" customHeight="1"/>
    <row r="4" spans="12:57" ht="69.75" customHeight="1">
      <c r="N4" s="4" t="s">
        <v>870</v>
      </c>
      <c r="O4" s="1439" t="s">
        <v>870</v>
      </c>
      <c r="P4" s="1439"/>
      <c r="Q4" s="1439"/>
      <c r="R4" s="1439"/>
      <c r="S4" s="1439"/>
      <c r="T4" s="1439"/>
      <c r="AI4" s="1217" t="s">
        <v>809</v>
      </c>
      <c r="AJ4" s="1217" t="s">
        <v>1170</v>
      </c>
      <c r="AK4" s="1217" t="s">
        <v>1157</v>
      </c>
      <c r="AL4" s="1217" t="s">
        <v>1158</v>
      </c>
      <c r="AM4" s="1217" t="s">
        <v>1159</v>
      </c>
      <c r="AN4" s="1217" t="s">
        <v>1160</v>
      </c>
      <c r="AO4" s="1217" t="s">
        <v>1161</v>
      </c>
      <c r="AP4" s="1217" t="s">
        <v>1162</v>
      </c>
      <c r="AQ4" s="1217" t="s">
        <v>1365</v>
      </c>
      <c r="AR4" s="1217" t="s">
        <v>1366</v>
      </c>
      <c r="AS4" s="1217" t="s">
        <v>1367</v>
      </c>
      <c r="AT4" s="1217" t="s">
        <v>1368</v>
      </c>
      <c r="AU4" s="1217" t="s">
        <v>1167</v>
      </c>
      <c r="AV4" s="1217" t="s">
        <v>1369</v>
      </c>
      <c r="AW4" s="1217" t="s">
        <v>1370</v>
      </c>
      <c r="AX4" s="1001"/>
    </row>
    <row r="5" spans="12:57">
      <c r="O5" s="928"/>
      <c r="P5" s="928" t="s">
        <v>863</v>
      </c>
      <c r="Q5" s="928" t="s">
        <v>874</v>
      </c>
      <c r="R5" s="928" t="s">
        <v>873</v>
      </c>
      <c r="S5" s="928" t="s">
        <v>869</v>
      </c>
      <c r="T5" s="928" t="s">
        <v>875</v>
      </c>
      <c r="AI5" s="1218" t="s">
        <v>1154</v>
      </c>
      <c r="AJ5" s="1219" t="s">
        <v>1155</v>
      </c>
      <c r="AK5" s="1220">
        <f>'[7]24. Balance Pre-Cl-SCV'!AN6</f>
        <v>0</v>
      </c>
      <c r="AL5" s="1220">
        <f>'[7]24. Balance Pre-Cl-SCV'!AO6</f>
        <v>0</v>
      </c>
      <c r="AM5" s="1220">
        <f>'[7]24. Balance Pre-Cl-SCV'!AP6</f>
        <v>0</v>
      </c>
      <c r="AN5" s="1220">
        <v>24.514707308447399</v>
      </c>
      <c r="AO5" s="1220">
        <v>2.1036419678129779</v>
      </c>
      <c r="AP5" s="1220">
        <v>22.41106534063751</v>
      </c>
      <c r="AQ5" s="1220">
        <v>41.35851493890965</v>
      </c>
      <c r="AR5" s="1220">
        <v>3.9947667473017825</v>
      </c>
      <c r="AS5" s="1220">
        <v>37.363748191599441</v>
      </c>
      <c r="AT5" s="1220">
        <v>20.622494729175539</v>
      </c>
      <c r="AU5" s="1220">
        <v>16.741253462404018</v>
      </c>
      <c r="AV5" s="1220">
        <v>1.6750451309314403</v>
      </c>
      <c r="AW5" s="1220">
        <v>18.947449598243612</v>
      </c>
      <c r="AX5" s="1001"/>
      <c r="BA5" s="1465" t="s">
        <v>1179</v>
      </c>
      <c r="BB5" s="1465"/>
      <c r="BC5" s="1186"/>
      <c r="BD5" s="1466" t="s">
        <v>1195</v>
      </c>
      <c r="BE5" s="1467"/>
    </row>
    <row r="6" spans="12:57">
      <c r="N6" s="4">
        <v>1</v>
      </c>
      <c r="O6" s="757" t="s">
        <v>844</v>
      </c>
      <c r="P6" s="928" t="e">
        <f t="shared" ref="P6:P18" si="0">+L24</f>
        <v>#DIV/0!</v>
      </c>
      <c r="Q6" s="928"/>
      <c r="R6" s="928"/>
      <c r="S6" s="649" t="e">
        <f t="shared" ref="S6:S8" si="1">+P6*Q6</f>
        <v>#DIV/0!</v>
      </c>
      <c r="T6" s="928"/>
      <c r="AI6" s="1218" t="s">
        <v>1</v>
      </c>
      <c r="AJ6" s="1219" t="s">
        <v>31</v>
      </c>
      <c r="AK6" s="1220">
        <f>'[7]24. Balance Pre-Cl-SCV'!AN7</f>
        <v>0.68168749999999989</v>
      </c>
      <c r="AL6" s="1220">
        <f>'[7]24. Balance Pre-Cl-SCV'!AO7</f>
        <v>3.2132499999999999</v>
      </c>
      <c r="AM6" s="1220">
        <f>'[7]24. Balance Pre-Cl-SCV'!AP7</f>
        <v>0.13150000000000001</v>
      </c>
      <c r="AN6" s="1220">
        <v>3.6262310235775002</v>
      </c>
      <c r="AO6" s="1220">
        <v>24.031194975963839</v>
      </c>
      <c r="AP6" s="1220">
        <v>1.7108942114887591</v>
      </c>
      <c r="AQ6" s="1220">
        <v>1.0577774365170702</v>
      </c>
      <c r="AR6" s="1220">
        <v>8.3350202402881255</v>
      </c>
      <c r="AS6" s="1220">
        <v>0.27972681568638913</v>
      </c>
      <c r="AT6" s="1220">
        <v>0.43070393489197173</v>
      </c>
      <c r="AU6" s="1220">
        <v>9.3747620986823085E-2</v>
      </c>
      <c r="AV6" s="1220">
        <v>2.0757934361072112</v>
      </c>
      <c r="AW6" s="1220">
        <v>0.2852701575962055</v>
      </c>
      <c r="AX6" s="1001"/>
      <c r="BA6" s="1221" t="s">
        <v>1056</v>
      </c>
      <c r="BB6" s="1182">
        <v>3.2132499999999999</v>
      </c>
      <c r="BC6" s="1186"/>
      <c r="BD6" s="1221" t="s">
        <v>1056</v>
      </c>
      <c r="BE6" s="1182">
        <f>AR6</f>
        <v>8.3350202402881255</v>
      </c>
    </row>
    <row r="7" spans="12:57">
      <c r="N7" s="4">
        <v>2</v>
      </c>
      <c r="O7" s="757" t="s">
        <v>845</v>
      </c>
      <c r="P7" s="928" t="e">
        <f t="shared" si="0"/>
        <v>#DIV/0!</v>
      </c>
      <c r="Q7" s="928"/>
      <c r="R7" s="928"/>
      <c r="S7" s="649" t="e">
        <f t="shared" si="1"/>
        <v>#DIV/0!</v>
      </c>
      <c r="T7" s="928"/>
      <c r="W7" s="4" t="s">
        <v>490</v>
      </c>
      <c r="X7" s="4" t="s">
        <v>863</v>
      </c>
      <c r="Y7" s="4" t="s">
        <v>869</v>
      </c>
      <c r="Z7" s="4" t="s">
        <v>875</v>
      </c>
      <c r="AC7" s="4" t="s">
        <v>490</v>
      </c>
      <c r="AD7" s="4" t="s">
        <v>863</v>
      </c>
      <c r="AE7" s="4" t="s">
        <v>869</v>
      </c>
      <c r="AF7" s="4" t="s">
        <v>875</v>
      </c>
      <c r="AI7" s="1218" t="s">
        <v>17</v>
      </c>
      <c r="AJ7" s="1219" t="s">
        <v>31</v>
      </c>
      <c r="AK7" s="1220">
        <f>'[7]24. Balance Pre-Cl-SCV'!AN8</f>
        <v>2.3562500000000002</v>
      </c>
      <c r="AL7" s="1220">
        <f>'[7]24. Balance Pre-Cl-SCV'!AO8</f>
        <v>9.6237499999999976</v>
      </c>
      <c r="AM7" s="1220">
        <f>'[7]24. Balance Pre-Cl-SCV'!AP8</f>
        <v>1.0168749999999998</v>
      </c>
      <c r="AN7" s="1220">
        <v>5.4508649271745648</v>
      </c>
      <c r="AO7" s="1220">
        <v>17.869980494991562</v>
      </c>
      <c r="AP7" s="1220">
        <v>4.2851295183051619</v>
      </c>
      <c r="AQ7" s="1220">
        <v>3.8790000195706651</v>
      </c>
      <c r="AR7" s="1220">
        <v>13.308662210936482</v>
      </c>
      <c r="AS7" s="1220">
        <v>2.8708222356122954</v>
      </c>
      <c r="AT7" s="1220">
        <v>3.4469239175785131</v>
      </c>
      <c r="AU7" s="1220">
        <v>2.1611589078142766</v>
      </c>
      <c r="AV7" s="1220">
        <v>3.9932103462177801</v>
      </c>
      <c r="AW7" s="1220">
        <v>3.3986295853524169</v>
      </c>
      <c r="AX7" s="1001"/>
      <c r="BA7" s="1221" t="s">
        <v>1096</v>
      </c>
      <c r="BB7" s="1182">
        <v>84.376281394866425</v>
      </c>
      <c r="BC7" s="1186"/>
      <c r="BD7" s="1221" t="s">
        <v>1096</v>
      </c>
      <c r="BE7" s="1182">
        <f>+BE8*BE9</f>
        <v>76.10949668198576</v>
      </c>
    </row>
    <row r="8" spans="12:57" ht="15" thickBot="1">
      <c r="N8" s="4">
        <v>3</v>
      </c>
      <c r="O8" s="757" t="s">
        <v>846</v>
      </c>
      <c r="P8" s="928" t="e">
        <f t="shared" si="0"/>
        <v>#DIV/0!</v>
      </c>
      <c r="Q8" s="1147"/>
      <c r="R8" s="1147"/>
      <c r="S8" s="649" t="e">
        <f t="shared" si="1"/>
        <v>#DIV/0!</v>
      </c>
      <c r="T8" s="928"/>
      <c r="V8" s="127" t="s">
        <v>847</v>
      </c>
      <c r="W8" s="127" t="s">
        <v>848</v>
      </c>
      <c r="X8" s="946">
        <f>+P25+P26-P24</f>
        <v>0</v>
      </c>
      <c r="Y8" s="946">
        <f>+S25+S26-S24</f>
        <v>0</v>
      </c>
      <c r="Z8" s="946">
        <f>+T25+T26-T24</f>
        <v>0</v>
      </c>
      <c r="AB8" s="127" t="s">
        <v>847</v>
      </c>
      <c r="AC8" s="127"/>
      <c r="AD8" s="946"/>
      <c r="AE8" s="946"/>
      <c r="AF8" s="946"/>
      <c r="AI8" s="1218" t="s">
        <v>519</v>
      </c>
      <c r="AJ8" s="1219" t="s">
        <v>31</v>
      </c>
      <c r="AK8" s="1220">
        <f>'[7]24. Balance Pre-Cl-SCV'!AN9</f>
        <v>30</v>
      </c>
      <c r="AL8" s="1220">
        <f>'[7]24. Balance Pre-Cl-SCV'!AO9</f>
        <v>0</v>
      </c>
      <c r="AM8" s="1220">
        <f>'[7]24. Balance Pre-Cl-SCV'!AP9</f>
        <v>0</v>
      </c>
      <c r="AN8" s="1220">
        <v>17.702174010562988</v>
      </c>
      <c r="AO8" s="1220">
        <v>27.446056536587704</v>
      </c>
      <c r="AP8" s="1220">
        <v>17.24478690542653</v>
      </c>
      <c r="AQ8" s="1220">
        <v>15.691750946996001</v>
      </c>
      <c r="AR8" s="1220">
        <v>17.750082231884186</v>
      </c>
      <c r="AS8" s="1220">
        <v>18.601639895188793</v>
      </c>
      <c r="AT8" s="1220">
        <v>12.722356990896561</v>
      </c>
      <c r="AU8" s="1220">
        <v>10.687913055384517</v>
      </c>
      <c r="AV8" s="1220">
        <v>29.256585815605053</v>
      </c>
      <c r="AW8" s="1220">
        <v>8.6727348736353793</v>
      </c>
      <c r="AX8" s="1001"/>
      <c r="BA8" s="1221" t="s">
        <v>1178</v>
      </c>
      <c r="BB8" s="1182">
        <v>17.853086720207671</v>
      </c>
      <c r="BC8" s="1186"/>
      <c r="BD8" s="1221" t="s">
        <v>1178</v>
      </c>
      <c r="BE8" s="1182">
        <f>AR5/AQ5*100</f>
        <v>9.6588737608263315</v>
      </c>
    </row>
    <row r="9" spans="12:57">
      <c r="M9" s="4">
        <v>1</v>
      </c>
      <c r="N9" s="4">
        <v>4</v>
      </c>
      <c r="O9" s="757" t="s">
        <v>830</v>
      </c>
      <c r="P9" s="1146">
        <f>+L27</f>
        <v>25.527272727272727</v>
      </c>
      <c r="Q9" s="1148">
        <v>3.7</v>
      </c>
      <c r="R9" s="1149">
        <v>13.5</v>
      </c>
      <c r="S9" s="873">
        <f>+P9*Q9/100</f>
        <v>0.94450909090909096</v>
      </c>
      <c r="T9" s="649">
        <f>+P9*R9/100</f>
        <v>3.4461818181818185</v>
      </c>
      <c r="V9" s="127" t="s">
        <v>849</v>
      </c>
      <c r="W9" s="947" t="s">
        <v>850</v>
      </c>
      <c r="X9" s="946">
        <f>+P27-P25</f>
        <v>41.969842857142844</v>
      </c>
      <c r="Y9" s="946">
        <f>+S27-S25</f>
        <v>1.6087926564285722</v>
      </c>
      <c r="Z9" s="946">
        <f>+T27-T25</f>
        <v>2.4858865939849624</v>
      </c>
      <c r="AB9" s="127" t="s">
        <v>849</v>
      </c>
      <c r="AC9" s="947"/>
      <c r="AD9" s="946"/>
      <c r="AE9" s="946"/>
      <c r="AF9" s="946"/>
      <c r="AX9" s="1001"/>
      <c r="BA9" s="1221" t="s">
        <v>753</v>
      </c>
      <c r="BB9" s="1182">
        <v>4.7136701201063547</v>
      </c>
      <c r="BC9" s="1186"/>
      <c r="BD9" s="1221" t="s">
        <v>753</v>
      </c>
      <c r="BE9" s="1182">
        <f>AR6/AQ6</f>
        <v>7.879748567650239</v>
      </c>
    </row>
    <row r="10" spans="12:57">
      <c r="M10" s="4">
        <v>2</v>
      </c>
      <c r="N10" s="4">
        <v>5</v>
      </c>
      <c r="O10" s="757" t="s">
        <v>831</v>
      </c>
      <c r="P10" s="1146">
        <f t="shared" si="0"/>
        <v>2.0030000000000001</v>
      </c>
      <c r="Q10" s="1150">
        <v>23.77</v>
      </c>
      <c r="R10" s="1151">
        <v>16.8</v>
      </c>
      <c r="S10" s="873">
        <f t="shared" ref="S10:S18" si="2">+P10*Q10/100</f>
        <v>0.47611310000000001</v>
      </c>
      <c r="T10" s="649">
        <f t="shared" ref="T10:T18" si="3">+P10*R10/100</f>
        <v>0.33650400000000003</v>
      </c>
      <c r="V10" s="4" t="s">
        <v>851</v>
      </c>
      <c r="W10" s="4" t="s">
        <v>852</v>
      </c>
      <c r="X10" s="97">
        <f>+P28+P29-P27</f>
        <v>0</v>
      </c>
      <c r="Y10" s="97">
        <f>+S28+S29-S27</f>
        <v>0</v>
      </c>
      <c r="Z10" s="97">
        <f>+T28+T29-T27</f>
        <v>0</v>
      </c>
      <c r="AB10" s="4" t="s">
        <v>851</v>
      </c>
      <c r="AC10" s="4" t="s">
        <v>886</v>
      </c>
      <c r="AD10" s="97" t="e">
        <f>+V35+V36-X34</f>
        <v>#VALUE!</v>
      </c>
      <c r="AE10" s="97">
        <f>+Y35+Y36-Y27</f>
        <v>0</v>
      </c>
      <c r="AF10" s="97" t="e">
        <f>+Z35+Z36-Z27</f>
        <v>#VALUE!</v>
      </c>
      <c r="AN10" s="4">
        <f>+AO6*(AN6-AP6)/(AN6*(AO6-AP6))*100</f>
        <v>56.867614577437742</v>
      </c>
      <c r="AX10" s="1001"/>
      <c r="BA10" s="1186"/>
      <c r="BB10" s="1186"/>
      <c r="BC10" s="1186"/>
      <c r="BD10" s="1001"/>
      <c r="BE10" s="1001"/>
    </row>
    <row r="11" spans="12:57" ht="15" thickBot="1">
      <c r="M11" s="4">
        <v>3</v>
      </c>
      <c r="N11" s="4">
        <v>6</v>
      </c>
      <c r="O11" s="757" t="s">
        <v>832</v>
      </c>
      <c r="P11" s="1146">
        <f>+L29</f>
        <v>22.685142857142861</v>
      </c>
      <c r="Q11" s="1222">
        <v>1.62</v>
      </c>
      <c r="R11" s="1152">
        <v>4.33</v>
      </c>
      <c r="S11" s="873">
        <f t="shared" si="2"/>
        <v>0.36749931428571436</v>
      </c>
      <c r="T11" s="649">
        <f t="shared" si="3"/>
        <v>0.98226668571428588</v>
      </c>
      <c r="V11" s="4" t="s">
        <v>853</v>
      </c>
      <c r="W11" s="933" t="s">
        <v>857</v>
      </c>
      <c r="X11" s="97">
        <f>+P30-P29-P33</f>
        <v>0</v>
      </c>
      <c r="Y11" s="97">
        <f>+S30-S29-S33</f>
        <v>2.7755575615628914E-16</v>
      </c>
      <c r="Z11" s="97">
        <f>+T30-T29-T33</f>
        <v>0</v>
      </c>
      <c r="AB11" s="4" t="s">
        <v>853</v>
      </c>
      <c r="AC11" s="933" t="s">
        <v>887</v>
      </c>
      <c r="AD11" s="97" t="e">
        <f>+V28+V29-V36</f>
        <v>#VALUE!</v>
      </c>
      <c r="AE11" s="97">
        <f>+Y28+Y29-Y36</f>
        <v>0</v>
      </c>
      <c r="AF11" s="97" t="e">
        <f>+Z28+Z29-Z36</f>
        <v>#VALUE!</v>
      </c>
      <c r="BA11" s="1466" t="s">
        <v>1180</v>
      </c>
      <c r="BB11" s="1467"/>
      <c r="BC11" s="1186"/>
      <c r="BD11" s="1466" t="s">
        <v>1196</v>
      </c>
      <c r="BE11" s="1467"/>
    </row>
    <row r="12" spans="12:57">
      <c r="M12" s="4">
        <v>4</v>
      </c>
      <c r="N12" s="4">
        <v>7</v>
      </c>
      <c r="O12" s="757" t="s">
        <v>833</v>
      </c>
      <c r="P12" s="649">
        <f t="shared" si="0"/>
        <v>41.064</v>
      </c>
      <c r="Q12" s="981">
        <v>1.08</v>
      </c>
      <c r="R12" s="981">
        <v>4.91</v>
      </c>
      <c r="S12" s="649">
        <f t="shared" si="2"/>
        <v>0.44349120000000009</v>
      </c>
      <c r="T12" s="649">
        <f t="shared" si="3"/>
        <v>2.0162424000000003</v>
      </c>
      <c r="V12" s="4" t="s">
        <v>854</v>
      </c>
      <c r="W12" s="934" t="s">
        <v>858</v>
      </c>
      <c r="X12" s="97">
        <f>+P36+P35-P30</f>
        <v>0</v>
      </c>
      <c r="Y12" s="97">
        <f>+S36+S35-S30</f>
        <v>0</v>
      </c>
      <c r="Z12" s="97">
        <f>+T36+T35-T30</f>
        <v>0</v>
      </c>
      <c r="AB12" s="4" t="s">
        <v>854</v>
      </c>
      <c r="AC12" s="934" t="s">
        <v>889</v>
      </c>
      <c r="AD12" s="97" t="e">
        <f>+V30-V33-V29</f>
        <v>#VALUE!</v>
      </c>
      <c r="AE12" s="97">
        <f>+Y30-Y33-Y29</f>
        <v>0</v>
      </c>
      <c r="AF12" s="97" t="e">
        <f>+Z30-Z33-Z29</f>
        <v>#VALUE!</v>
      </c>
      <c r="BA12" s="1221" t="s">
        <v>1056</v>
      </c>
      <c r="BB12" s="1182">
        <f>AO6</f>
        <v>24.031194975963839</v>
      </c>
      <c r="BC12" s="1186"/>
      <c r="BD12" s="1221" t="s">
        <v>1056</v>
      </c>
      <c r="BE12" s="1182">
        <f>AT6</f>
        <v>0.43070393489197173</v>
      </c>
    </row>
    <row r="13" spans="12:57">
      <c r="M13" s="4">
        <v>5</v>
      </c>
      <c r="N13" s="4">
        <v>8</v>
      </c>
      <c r="O13" s="757" t="s">
        <v>834</v>
      </c>
      <c r="P13" s="649">
        <f t="shared" si="0"/>
        <v>24.612000000000002</v>
      </c>
      <c r="Q13" s="779">
        <v>0.42</v>
      </c>
      <c r="R13" s="779">
        <v>4.53</v>
      </c>
      <c r="S13" s="649">
        <f t="shared" si="2"/>
        <v>0.1033704</v>
      </c>
      <c r="T13" s="649">
        <f t="shared" si="3"/>
        <v>1.1149236000000002</v>
      </c>
      <c r="V13" s="4" t="s">
        <v>855</v>
      </c>
      <c r="W13" s="4" t="s">
        <v>859</v>
      </c>
      <c r="X13" s="97">
        <f>+P31+P34-P36</f>
        <v>0</v>
      </c>
      <c r="Y13" s="97">
        <f>+S31+S34-S36</f>
        <v>0</v>
      </c>
      <c r="Z13" s="97">
        <f>+T31+T34-T36</f>
        <v>0</v>
      </c>
      <c r="AB13" s="4" t="s">
        <v>855</v>
      </c>
      <c r="AC13" s="4" t="s">
        <v>888</v>
      </c>
      <c r="AD13" s="97" t="e">
        <f>+V31+V34-V30</f>
        <v>#VALUE!</v>
      </c>
      <c r="AE13" s="97">
        <f>+Y31+Y34-Y30</f>
        <v>0</v>
      </c>
      <c r="AF13" s="97" t="e">
        <f>+Z31+Z34-Z30</f>
        <v>#VALUE!</v>
      </c>
      <c r="BA13" s="1221" t="s">
        <v>1096</v>
      </c>
      <c r="BB13" s="1182">
        <f>+BB14*BB15</f>
        <v>56.867614670583421</v>
      </c>
      <c r="BC13" s="1186"/>
      <c r="BD13" s="1221" t="s">
        <v>1096</v>
      </c>
      <c r="BE13" s="1182">
        <f>BE14*BE15</f>
        <v>84.983674039082828</v>
      </c>
    </row>
    <row r="14" spans="12:57">
      <c r="M14" s="4">
        <v>6</v>
      </c>
      <c r="N14" s="4">
        <v>9</v>
      </c>
      <c r="O14" s="757" t="s">
        <v>835</v>
      </c>
      <c r="P14" s="649">
        <f t="shared" si="0"/>
        <v>1.6073684210526318</v>
      </c>
      <c r="Q14" s="779">
        <v>2.06</v>
      </c>
      <c r="R14" s="779">
        <v>3.81</v>
      </c>
      <c r="S14" s="649">
        <f t="shared" si="2"/>
        <v>3.3111789473684212E-2</v>
      </c>
      <c r="T14" s="649">
        <f t="shared" si="3"/>
        <v>6.1240736842105271E-2</v>
      </c>
      <c r="V14" s="4" t="s">
        <v>856</v>
      </c>
      <c r="W14" s="4" t="s">
        <v>860</v>
      </c>
      <c r="X14" s="97">
        <f>+P32+P33-P31</f>
        <v>0</v>
      </c>
      <c r="Y14" s="97">
        <f>+S32+S33-S31</f>
        <v>0</v>
      </c>
      <c r="Z14" s="97">
        <f>+T32+T33-T31</f>
        <v>0</v>
      </c>
      <c r="AB14" s="4" t="s">
        <v>856</v>
      </c>
      <c r="AC14" s="4" t="s">
        <v>860</v>
      </c>
      <c r="AD14" s="97" t="e">
        <f>+V32+V33-V31</f>
        <v>#VALUE!</v>
      </c>
      <c r="AE14" s="97">
        <f>+Y32+Y33-Y31</f>
        <v>0</v>
      </c>
      <c r="AF14" s="97" t="e">
        <f>+Z32+Z33-Z31</f>
        <v>#VALUE!</v>
      </c>
      <c r="BA14" s="1221" t="s">
        <v>1178</v>
      </c>
      <c r="BB14" s="1182">
        <f>AO5/(AN5)*100</f>
        <v>8.5811425008859654</v>
      </c>
      <c r="BC14" s="1186"/>
      <c r="BD14" s="1221" t="s">
        <v>1178</v>
      </c>
      <c r="BE14" s="1182">
        <f>AT5/AS5*100</f>
        <v>55.193859629457975</v>
      </c>
    </row>
    <row r="15" spans="12:57">
      <c r="M15" s="4">
        <v>7</v>
      </c>
      <c r="N15" s="4">
        <v>10</v>
      </c>
      <c r="O15" s="757" t="s">
        <v>836</v>
      </c>
      <c r="P15" s="649">
        <f t="shared" si="0"/>
        <v>18.231999999999999</v>
      </c>
      <c r="Q15" s="779">
        <v>0.28000000000000003</v>
      </c>
      <c r="R15" s="779">
        <v>2.65</v>
      </c>
      <c r="S15" s="649">
        <f t="shared" si="2"/>
        <v>5.1049600000000001E-2</v>
      </c>
      <c r="T15" s="649">
        <f t="shared" si="3"/>
        <v>0.48314799999999997</v>
      </c>
      <c r="V15" s="4" t="s">
        <v>861</v>
      </c>
      <c r="W15" s="4" t="s">
        <v>862</v>
      </c>
      <c r="X15" s="97">
        <f>+P28+P35+P32+P34-P27</f>
        <v>0</v>
      </c>
      <c r="Y15" s="97">
        <f>+S28+S35+S32+S34-S27</f>
        <v>0</v>
      </c>
      <c r="Z15" s="97">
        <f>+T28+T35+T32+T34-T27</f>
        <v>0</v>
      </c>
      <c r="AB15" s="4" t="s">
        <v>861</v>
      </c>
      <c r="AC15" s="4" t="s">
        <v>862</v>
      </c>
      <c r="AD15" s="97">
        <f>(P10+P17+P14+P16-P9)/P9*100</f>
        <v>2.4825725144551187</v>
      </c>
      <c r="AE15" s="97">
        <f>(S10+S17+S14+S16-S9)/S9*100</f>
        <v>-5.4181168104751078</v>
      </c>
      <c r="AF15" s="97">
        <f>(T10+T17+T14+T16-T9)/T9*100</f>
        <v>-64.031271847893535</v>
      </c>
      <c r="BA15" s="1221" t="s">
        <v>753</v>
      </c>
      <c r="BB15" s="1182">
        <f>AO6/AN6</f>
        <v>6.6270446697175913</v>
      </c>
      <c r="BC15" s="1186"/>
      <c r="BD15" s="1221" t="s">
        <v>753</v>
      </c>
      <c r="BE15" s="1182">
        <f>AT6/AS6</f>
        <v>1.5397305897724443</v>
      </c>
    </row>
    <row r="16" spans="12:57">
      <c r="M16" s="4">
        <v>8</v>
      </c>
      <c r="N16" s="4">
        <v>11</v>
      </c>
      <c r="O16" s="757" t="s">
        <v>837</v>
      </c>
      <c r="P16" s="649">
        <f t="shared" si="0"/>
        <v>18.276923076923079</v>
      </c>
      <c r="Q16" s="779">
        <v>9.2999999999999999E-2</v>
      </c>
      <c r="R16" s="779">
        <v>1.87</v>
      </c>
      <c r="S16" s="649">
        <f t="shared" si="2"/>
        <v>1.6997538461538463E-2</v>
      </c>
      <c r="T16" s="649">
        <f t="shared" si="3"/>
        <v>0.34177846153846159</v>
      </c>
      <c r="BA16" s="1186"/>
      <c r="BB16" s="1186"/>
      <c r="BC16" s="1186"/>
      <c r="BD16" s="1186"/>
      <c r="BE16" s="1186"/>
    </row>
    <row r="17" spans="1:57">
      <c r="M17" s="4">
        <v>9</v>
      </c>
      <c r="N17" s="4">
        <v>12</v>
      </c>
      <c r="O17" s="757" t="s">
        <v>838</v>
      </c>
      <c r="P17" s="649">
        <f t="shared" si="0"/>
        <v>4.273714285714286</v>
      </c>
      <c r="Q17" s="779">
        <v>8.59</v>
      </c>
      <c r="R17" s="779">
        <v>11.7</v>
      </c>
      <c r="S17" s="649">
        <f t="shared" si="2"/>
        <v>0.36711205714285716</v>
      </c>
      <c r="T17" s="649">
        <f t="shared" si="3"/>
        <v>0.50002457142857148</v>
      </c>
      <c r="BA17" s="1466" t="s">
        <v>1183</v>
      </c>
      <c r="BB17" s="1467"/>
      <c r="BC17" s="1186"/>
      <c r="BD17" s="1466" t="s">
        <v>1197</v>
      </c>
      <c r="BE17" s="1467"/>
    </row>
    <row r="18" spans="1:57">
      <c r="M18" s="4">
        <v>10</v>
      </c>
      <c r="N18" s="4">
        <v>13</v>
      </c>
      <c r="O18" s="757" t="s">
        <v>839</v>
      </c>
      <c r="P18" s="649">
        <f t="shared" si="0"/>
        <v>32.347636363636362</v>
      </c>
      <c r="Q18" s="779">
        <v>0.3</v>
      </c>
      <c r="R18" s="779">
        <v>4.2300000000000004</v>
      </c>
      <c r="S18" s="649">
        <f t="shared" si="2"/>
        <v>9.7042909090909082E-2</v>
      </c>
      <c r="T18" s="649">
        <f t="shared" si="3"/>
        <v>1.3683050181818184</v>
      </c>
      <c r="AI18" s="4" t="s">
        <v>1371</v>
      </c>
      <c r="BA18" s="1221" t="s">
        <v>1056</v>
      </c>
      <c r="BB18" s="1182">
        <f>BA69</f>
        <v>10.757026028354382</v>
      </c>
      <c r="BC18" s="1186"/>
      <c r="BD18" s="1221" t="s">
        <v>1056</v>
      </c>
      <c r="BE18" s="1182">
        <f>AV6</f>
        <v>2.0757934361072112</v>
      </c>
    </row>
    <row r="19" spans="1:57">
      <c r="P19" s="1153"/>
      <c r="Q19" s="1154"/>
      <c r="R19" s="1154"/>
      <c r="BA19" s="1221" t="s">
        <v>1372</v>
      </c>
      <c r="BB19" s="1182">
        <f>BB20*BB21</f>
        <v>98.320058330986086</v>
      </c>
      <c r="BC19" s="1186"/>
      <c r="BD19" s="1221" t="s">
        <v>1096</v>
      </c>
      <c r="BE19" s="1182">
        <f>+BE20*BE21</f>
        <v>39.146289754326183</v>
      </c>
    </row>
    <row r="20" spans="1:57">
      <c r="P20" s="1153"/>
      <c r="Q20" s="1154"/>
      <c r="R20" s="1154"/>
      <c r="BA20" s="1221" t="s">
        <v>1178</v>
      </c>
      <c r="BB20" s="1182">
        <f>BA67</f>
        <v>33.699497187338437</v>
      </c>
      <c r="BC20" s="1186"/>
      <c r="BD20" s="1221" t="s">
        <v>1178</v>
      </c>
      <c r="BE20" s="1182">
        <f>AV5/AT5*100</f>
        <v>8.1224175490353314</v>
      </c>
    </row>
    <row r="21" spans="1:57">
      <c r="P21" s="1153"/>
      <c r="Q21" s="1154"/>
      <c r="R21" s="1154"/>
      <c r="BA21" s="1221" t="s">
        <v>753</v>
      </c>
      <c r="BB21" s="1182">
        <f>BA68</f>
        <v>2.9175526799232738</v>
      </c>
      <c r="BC21" s="1186"/>
      <c r="BD21" s="1221" t="s">
        <v>753</v>
      </c>
      <c r="BE21" s="1182">
        <f>+AV6/AT6</f>
        <v>4.8195367349682039</v>
      </c>
    </row>
    <row r="22" spans="1:57">
      <c r="N22" s="4" t="s">
        <v>871</v>
      </c>
      <c r="O22" s="1439" t="s">
        <v>871</v>
      </c>
      <c r="P22" s="1439"/>
      <c r="Q22" s="1439"/>
      <c r="R22" s="1439"/>
      <c r="S22" s="1439"/>
      <c r="T22" s="1439"/>
      <c r="BA22" s="1221" t="s">
        <v>755</v>
      </c>
      <c r="BB22" s="1182">
        <f>BB19*BB7/100</f>
        <v>82.958809084949621</v>
      </c>
      <c r="BC22" s="1001"/>
      <c r="BD22" s="1001"/>
      <c r="BE22" s="1001"/>
    </row>
    <row r="23" spans="1:57">
      <c r="C23" s="4" t="s">
        <v>867</v>
      </c>
      <c r="D23" s="4" t="s">
        <v>868</v>
      </c>
      <c r="H23" s="4" t="s">
        <v>310</v>
      </c>
      <c r="I23" s="4" t="s">
        <v>882</v>
      </c>
      <c r="J23" s="4" t="s">
        <v>865</v>
      </c>
      <c r="K23" s="4" t="s">
        <v>865</v>
      </c>
      <c r="L23" s="4" t="s">
        <v>866</v>
      </c>
      <c r="O23" s="928"/>
      <c r="P23" s="757" t="s">
        <v>863</v>
      </c>
      <c r="Q23" s="757" t="s">
        <v>864</v>
      </c>
      <c r="R23" s="757" t="s">
        <v>873</v>
      </c>
      <c r="S23" s="757" t="s">
        <v>869</v>
      </c>
      <c r="T23" s="757" t="s">
        <v>875</v>
      </c>
      <c r="Z23" s="1446" t="s">
        <v>1179</v>
      </c>
      <c r="AA23" s="1446"/>
      <c r="AB23" s="1186"/>
      <c r="AC23" s="1447" t="s">
        <v>1195</v>
      </c>
      <c r="AD23" s="1448"/>
    </row>
    <row r="24" spans="1:57">
      <c r="A24" s="4">
        <v>1</v>
      </c>
      <c r="B24" s="757" t="s">
        <v>844</v>
      </c>
      <c r="C24" s="757"/>
      <c r="D24" s="757"/>
      <c r="E24" s="757"/>
      <c r="F24" s="757"/>
      <c r="G24" s="757"/>
      <c r="H24" s="940"/>
      <c r="I24" s="940"/>
      <c r="J24" s="940"/>
      <c r="K24" s="757">
        <f t="shared" ref="K24:K26" si="4">+I24*60+J24</f>
        <v>0</v>
      </c>
      <c r="L24" s="941" t="e">
        <f t="shared" ref="L24:L36" si="5">+(D24/1000)/(K24/3600)</f>
        <v>#DIV/0!</v>
      </c>
      <c r="N24" s="4">
        <v>1</v>
      </c>
      <c r="O24" s="757" t="s">
        <v>844</v>
      </c>
      <c r="P24" s="936"/>
      <c r="Q24" s="928"/>
      <c r="R24" s="928"/>
      <c r="S24" s="649">
        <f t="shared" ref="S24:S26" si="6">+P24*Q24</f>
        <v>0</v>
      </c>
      <c r="T24" s="928"/>
      <c r="Z24" s="1065" t="s">
        <v>1056</v>
      </c>
      <c r="AA24" s="1182">
        <f>'[7]Pilotaje Cleaner Alto Flujo '!G53</f>
        <v>3.2132499999999999</v>
      </c>
      <c r="AB24" s="1186"/>
      <c r="AC24" s="1065" t="s">
        <v>1056</v>
      </c>
      <c r="AD24" s="1182">
        <f>Q35</f>
        <v>8.803766949626139</v>
      </c>
    </row>
    <row r="25" spans="1:57">
      <c r="A25" s="4">
        <v>2</v>
      </c>
      <c r="B25" s="757" t="s">
        <v>845</v>
      </c>
      <c r="C25" s="757"/>
      <c r="D25" s="757"/>
      <c r="E25" s="757"/>
      <c r="F25" s="757"/>
      <c r="G25" s="757"/>
      <c r="H25" s="940"/>
      <c r="I25" s="940"/>
      <c r="J25" s="940"/>
      <c r="K25" s="757">
        <f t="shared" si="4"/>
        <v>0</v>
      </c>
      <c r="L25" s="941" t="e">
        <f t="shared" si="5"/>
        <v>#DIV/0!</v>
      </c>
      <c r="N25" s="4">
        <v>2</v>
      </c>
      <c r="O25" s="757" t="s">
        <v>845</v>
      </c>
      <c r="P25" s="936"/>
      <c r="Q25" s="928"/>
      <c r="R25" s="928"/>
      <c r="S25" s="649">
        <f t="shared" si="6"/>
        <v>0</v>
      </c>
      <c r="T25" s="928"/>
      <c r="Z25" s="1065" t="s">
        <v>1096</v>
      </c>
      <c r="AA25" s="1182">
        <f>'[7]Pilotaje Cleaner Alto Flujo '!G54</f>
        <v>84.376281394866425</v>
      </c>
      <c r="AB25" s="1186"/>
      <c r="AC25" s="1065" t="s">
        <v>1096</v>
      </c>
      <c r="AD25" s="1182">
        <f>+AD26*AD27</f>
        <v>79.069061003879455</v>
      </c>
    </row>
    <row r="26" spans="1:57">
      <c r="A26" s="4">
        <v>3</v>
      </c>
      <c r="B26" s="757" t="s">
        <v>846</v>
      </c>
      <c r="C26" s="757"/>
      <c r="D26" s="757"/>
      <c r="E26" s="757" t="s">
        <v>1177</v>
      </c>
      <c r="F26" s="757"/>
      <c r="G26" s="757"/>
      <c r="H26" s="940"/>
      <c r="I26" s="940"/>
      <c r="J26" s="940"/>
      <c r="K26" s="757">
        <f t="shared" si="4"/>
        <v>0</v>
      </c>
      <c r="L26" s="941" t="e">
        <f t="shared" si="5"/>
        <v>#DIV/0!</v>
      </c>
      <c r="N26" s="4">
        <v>3</v>
      </c>
      <c r="O26" s="757" t="s">
        <v>846</v>
      </c>
      <c r="P26" s="936"/>
      <c r="Q26" s="928"/>
      <c r="R26" s="928"/>
      <c r="S26" s="649">
        <f t="shared" si="6"/>
        <v>0</v>
      </c>
      <c r="T26" s="928"/>
      <c r="Z26" s="1065" t="s">
        <v>1178</v>
      </c>
      <c r="AA26" s="1182">
        <f>'[7]Pilotaje Cleaner Alto Flujo '!G55</f>
        <v>17.853086720207671</v>
      </c>
      <c r="AB26" s="1186"/>
      <c r="AC26" s="1065" t="s">
        <v>1178</v>
      </c>
      <c r="AD26" s="1182">
        <f>P35/P30*100</f>
        <v>10.82623007924758</v>
      </c>
    </row>
    <row r="27" spans="1:57">
      <c r="A27" s="4">
        <v>4</v>
      </c>
      <c r="B27" s="757" t="s">
        <v>830</v>
      </c>
      <c r="C27" s="757">
        <v>2131.1999999999998</v>
      </c>
      <c r="D27" s="757">
        <v>390</v>
      </c>
      <c r="E27" s="757">
        <f>C27-D27</f>
        <v>1741.1999999999998</v>
      </c>
      <c r="F27" s="757"/>
      <c r="G27" s="757"/>
      <c r="H27" s="1085">
        <f>+D27/C27*100</f>
        <v>18.29954954954955</v>
      </c>
      <c r="I27" s="1087">
        <v>0</v>
      </c>
      <c r="J27" s="1087">
        <v>55</v>
      </c>
      <c r="K27" s="757">
        <f>+I27*60+J27</f>
        <v>55</v>
      </c>
      <c r="L27" s="941">
        <f t="shared" si="5"/>
        <v>25.527272727272727</v>
      </c>
      <c r="N27" s="4">
        <v>4</v>
      </c>
      <c r="O27" s="757" t="s">
        <v>830</v>
      </c>
      <c r="P27" s="945">
        <v>41.969842857142844</v>
      </c>
      <c r="Q27" s="779">
        <v>3.8332110556253172</v>
      </c>
      <c r="R27" s="779">
        <v>5.9230305017972915</v>
      </c>
      <c r="S27" s="649">
        <f>+P27*Q27/100</f>
        <v>1.6087926564285722</v>
      </c>
      <c r="T27" s="649">
        <f>+P27*R27/100</f>
        <v>2.4858865939849624</v>
      </c>
      <c r="V27" s="4" t="s">
        <v>761</v>
      </c>
      <c r="W27" s="117">
        <f>+(S28+S32+S35)/S27*100</f>
        <v>98.526305301806943</v>
      </c>
      <c r="Z27" s="1065" t="s">
        <v>753</v>
      </c>
      <c r="AA27" s="1182">
        <f>'[7]Pilotaje Cleaner Alto Flujo '!G56</f>
        <v>4.7136701201063547</v>
      </c>
      <c r="AB27" s="1186"/>
      <c r="AC27" s="1065" t="s">
        <v>753</v>
      </c>
      <c r="AD27" s="1182">
        <f>Q35/Q30</f>
        <v>7.3034713307492112</v>
      </c>
    </row>
    <row r="28" spans="1:57">
      <c r="A28" s="4">
        <v>5</v>
      </c>
      <c r="B28" s="757" t="s">
        <v>831</v>
      </c>
      <c r="C28" s="757">
        <v>756.4</v>
      </c>
      <c r="D28" s="757">
        <v>200.3</v>
      </c>
      <c r="E28" s="757">
        <f t="shared" ref="E28:E36" si="7">C28-D28</f>
        <v>556.09999999999991</v>
      </c>
      <c r="F28" s="757"/>
      <c r="G28" s="757"/>
      <c r="H28" s="1085">
        <f t="shared" ref="H28:H36" si="8">+D28/C28*100</f>
        <v>26.480698043363304</v>
      </c>
      <c r="I28" s="1088">
        <v>6</v>
      </c>
      <c r="J28" s="1088">
        <v>0</v>
      </c>
      <c r="K28" s="757">
        <f>+I28*60+J28</f>
        <v>360</v>
      </c>
      <c r="L28" s="941">
        <f t="shared" si="5"/>
        <v>2.0030000000000001</v>
      </c>
      <c r="N28" s="4">
        <v>5</v>
      </c>
      <c r="O28" s="757" t="s">
        <v>831</v>
      </c>
      <c r="P28" s="945">
        <v>3.4051</v>
      </c>
      <c r="Q28" s="779">
        <v>26.146999999999998</v>
      </c>
      <c r="R28" s="779">
        <v>21</v>
      </c>
      <c r="S28" s="649">
        <f t="shared" ref="S28:S36" si="9">+P28*Q28/100</f>
        <v>0.89033149699999992</v>
      </c>
      <c r="T28" s="649">
        <f>+P28*R28/100</f>
        <v>0.7150709999999999</v>
      </c>
      <c r="V28" s="4" t="s">
        <v>883</v>
      </c>
      <c r="W28" s="117">
        <f>+(P28+P32+P35)/P27*100</f>
        <v>32.509165953047109</v>
      </c>
      <c r="X28" s="117">
        <f>+P35/P30*100</f>
        <v>10.82623007924758</v>
      </c>
      <c r="Z28" s="1186"/>
      <c r="AA28" s="1186"/>
      <c r="AB28" s="1186"/>
      <c r="AC28" s="1001"/>
      <c r="AD28" s="1001"/>
    </row>
    <row r="29" spans="1:57">
      <c r="A29" s="4">
        <v>6</v>
      </c>
      <c r="B29" s="757" t="s">
        <v>832</v>
      </c>
      <c r="C29" s="757">
        <v>2532.3000000000002</v>
      </c>
      <c r="D29" s="757">
        <v>441.1</v>
      </c>
      <c r="E29" s="757">
        <f t="shared" si="7"/>
        <v>2091.2000000000003</v>
      </c>
      <c r="F29" s="757"/>
      <c r="G29" s="757"/>
      <c r="H29" s="1085">
        <f t="shared" si="8"/>
        <v>17.418947202148242</v>
      </c>
      <c r="I29" s="1088">
        <v>1</v>
      </c>
      <c r="J29" s="1088">
        <v>10</v>
      </c>
      <c r="K29" s="757">
        <f t="shared" ref="K29:K36" si="10">+I29*60+J29</f>
        <v>70</v>
      </c>
      <c r="L29" s="941">
        <f t="shared" si="5"/>
        <v>22.685142857142861</v>
      </c>
      <c r="N29" s="4">
        <v>6</v>
      </c>
      <c r="O29" s="757" t="s">
        <v>832</v>
      </c>
      <c r="P29" s="945">
        <v>38.564742857142861</v>
      </c>
      <c r="Q29" s="779">
        <v>1.863</v>
      </c>
      <c r="R29" s="779">
        <v>4.59179930369217</v>
      </c>
      <c r="S29" s="649">
        <f t="shared" si="9"/>
        <v>0.71846115942857158</v>
      </c>
      <c r="T29" s="649">
        <f t="shared" ref="T29:T36" si="11">+P29*R29/100</f>
        <v>1.7708155939849619</v>
      </c>
      <c r="V29" s="4" t="s">
        <v>753</v>
      </c>
      <c r="W29" s="117">
        <f>+W27/W28</f>
        <v>3.0307238716646312</v>
      </c>
      <c r="Z29" s="1447" t="s">
        <v>1180</v>
      </c>
      <c r="AA29" s="1448"/>
      <c r="AB29" s="1186"/>
      <c r="AC29" s="1447" t="s">
        <v>1196</v>
      </c>
      <c r="AD29" s="1448"/>
    </row>
    <row r="30" spans="1:57">
      <c r="A30" s="4">
        <v>7</v>
      </c>
      <c r="B30" s="757" t="s">
        <v>833</v>
      </c>
      <c r="C30" s="757">
        <v>4387.8999999999996</v>
      </c>
      <c r="D30" s="757">
        <v>684.4</v>
      </c>
      <c r="E30" s="757">
        <f t="shared" si="7"/>
        <v>3703.4999999999995</v>
      </c>
      <c r="F30" s="757"/>
      <c r="G30" s="757"/>
      <c r="H30" s="1085">
        <f t="shared" si="8"/>
        <v>15.597438410173432</v>
      </c>
      <c r="I30" s="1088">
        <v>1</v>
      </c>
      <c r="J30" s="1088">
        <v>0</v>
      </c>
      <c r="K30" s="757">
        <f t="shared" si="10"/>
        <v>60</v>
      </c>
      <c r="L30" s="941">
        <f t="shared" si="5"/>
        <v>41.064</v>
      </c>
      <c r="N30" s="4">
        <v>7</v>
      </c>
      <c r="O30" s="757" t="s">
        <v>833</v>
      </c>
      <c r="P30" s="945">
        <v>67.108441558441584</v>
      </c>
      <c r="Q30" s="779">
        <v>1.2054222644183397</v>
      </c>
      <c r="R30" s="779">
        <v>4.1040232052568921</v>
      </c>
      <c r="S30" s="649">
        <f t="shared" si="9"/>
        <v>0.80894009584962456</v>
      </c>
      <c r="T30" s="649">
        <f t="shared" si="11"/>
        <v>2.7541460142447027</v>
      </c>
      <c r="V30" s="4" t="s">
        <v>884</v>
      </c>
      <c r="W30" s="117">
        <f>+SUM(S28,S32,S35)/SUM(P28,P32,P35)*100</f>
        <v>11.617404251412431</v>
      </c>
      <c r="Z30" s="1065" t="s">
        <v>1056</v>
      </c>
      <c r="AA30" s="1182">
        <f>Q28</f>
        <v>26.146999999999998</v>
      </c>
      <c r="AB30" s="1186"/>
      <c r="AC30" s="1065" t="s">
        <v>1056</v>
      </c>
      <c r="AD30" s="1182">
        <f>Q31</f>
        <v>0.46199999999999997</v>
      </c>
    </row>
    <row r="31" spans="1:57">
      <c r="A31" s="4">
        <v>8</v>
      </c>
      <c r="B31" s="757" t="s">
        <v>834</v>
      </c>
      <c r="C31" s="757">
        <v>2768.1</v>
      </c>
      <c r="D31" s="757">
        <v>410.2</v>
      </c>
      <c r="E31" s="757">
        <f t="shared" si="7"/>
        <v>2357.9</v>
      </c>
      <c r="F31" s="757"/>
      <c r="G31" s="757"/>
      <c r="H31" s="1085">
        <f t="shared" si="8"/>
        <v>14.81882879953759</v>
      </c>
      <c r="I31" s="1088">
        <v>1</v>
      </c>
      <c r="J31" s="1088">
        <v>0</v>
      </c>
      <c r="K31" s="757">
        <f t="shared" si="10"/>
        <v>60</v>
      </c>
      <c r="L31" s="941">
        <f t="shared" si="5"/>
        <v>24.612000000000002</v>
      </c>
      <c r="N31" s="4">
        <v>8</v>
      </c>
      <c r="O31" s="757" t="s">
        <v>834</v>
      </c>
      <c r="P31" s="945">
        <v>31.517330280246082</v>
      </c>
      <c r="Q31" s="779">
        <v>0.46199999999999997</v>
      </c>
      <c r="R31" s="779">
        <v>3.5693049322524204</v>
      </c>
      <c r="S31" s="649">
        <f t="shared" si="9"/>
        <v>0.14561006589473688</v>
      </c>
      <c r="T31" s="649">
        <f t="shared" si="11"/>
        <v>1.1249496242071091</v>
      </c>
      <c r="V31" s="4" t="s">
        <v>753</v>
      </c>
      <c r="W31" s="117">
        <f>+W30/Q27</f>
        <v>3.0307238716646316</v>
      </c>
      <c r="Z31" s="1065" t="s">
        <v>1096</v>
      </c>
      <c r="AA31" s="1182">
        <f>+AA32*AA33</f>
        <v>55.341593799693563</v>
      </c>
      <c r="AB31" s="1186"/>
      <c r="AC31" s="1065" t="s">
        <v>1096</v>
      </c>
      <c r="AD31" s="1182">
        <f>AD32*AD33</f>
        <v>85.997598632358716</v>
      </c>
    </row>
    <row r="32" spans="1:57">
      <c r="A32" s="4">
        <v>9</v>
      </c>
      <c r="B32" s="757" t="s">
        <v>835</v>
      </c>
      <c r="C32" s="757">
        <v>895.8</v>
      </c>
      <c r="D32" s="757">
        <v>254.5</v>
      </c>
      <c r="E32" s="757">
        <f t="shared" si="7"/>
        <v>641.29999999999995</v>
      </c>
      <c r="F32" s="757"/>
      <c r="G32" s="757"/>
      <c r="H32" s="1085">
        <f t="shared" si="8"/>
        <v>28.410359455235547</v>
      </c>
      <c r="I32" s="1088">
        <v>9</v>
      </c>
      <c r="J32" s="1088">
        <v>30</v>
      </c>
      <c r="K32" s="757">
        <f t="shared" si="10"/>
        <v>570</v>
      </c>
      <c r="L32" s="941">
        <f t="shared" si="5"/>
        <v>1.6073684210526318</v>
      </c>
      <c r="N32" s="4">
        <v>9</v>
      </c>
      <c r="O32" s="757" t="s">
        <v>835</v>
      </c>
      <c r="P32" s="945">
        <v>2.9736315789473688</v>
      </c>
      <c r="Q32" s="779">
        <v>1.8540000000000001</v>
      </c>
      <c r="R32" s="779">
        <v>4.7625000000000002</v>
      </c>
      <c r="S32" s="649">
        <f t="shared" si="9"/>
        <v>5.5131129473684225E-2</v>
      </c>
      <c r="T32" s="649">
        <f t="shared" si="11"/>
        <v>0.14161920394736843</v>
      </c>
      <c r="Z32" s="1065" t="s">
        <v>1178</v>
      </c>
      <c r="AA32" s="1182">
        <f>P28/(P27)*100</f>
        <v>8.1132064553834429</v>
      </c>
      <c r="AB32" s="1186"/>
      <c r="AC32" s="1065" t="s">
        <v>1178</v>
      </c>
      <c r="AD32" s="1182">
        <f>P31/P36*100</f>
        <v>52.666582975535256</v>
      </c>
    </row>
    <row r="33" spans="1:36">
      <c r="A33" s="4">
        <v>10</v>
      </c>
      <c r="B33" s="757" t="s">
        <v>836</v>
      </c>
      <c r="C33" s="757">
        <v>5443.9</v>
      </c>
      <c r="D33" s="757">
        <v>455.8</v>
      </c>
      <c r="E33" s="757">
        <f t="shared" si="7"/>
        <v>4988.0999999999995</v>
      </c>
      <c r="F33" s="757"/>
      <c r="G33" s="757"/>
      <c r="H33" s="1085">
        <f t="shared" si="8"/>
        <v>8.3726740020940884</v>
      </c>
      <c r="I33" s="1088">
        <v>1</v>
      </c>
      <c r="J33" s="1088">
        <v>30</v>
      </c>
      <c r="K33" s="757">
        <f t="shared" si="10"/>
        <v>90</v>
      </c>
      <c r="L33" s="941">
        <f t="shared" si="5"/>
        <v>18.231999999999999</v>
      </c>
      <c r="N33" s="4">
        <v>10</v>
      </c>
      <c r="O33" s="757" t="s">
        <v>836</v>
      </c>
      <c r="P33" s="945">
        <v>28.543698701298712</v>
      </c>
      <c r="Q33" s="779">
        <v>0.31698392478104459</v>
      </c>
      <c r="R33" s="779">
        <v>3.4449999999999998</v>
      </c>
      <c r="S33" s="649">
        <f t="shared" si="9"/>
        <v>9.0478936421052703E-2</v>
      </c>
      <c r="T33" s="649">
        <f t="shared" si="11"/>
        <v>0.98333042025974071</v>
      </c>
      <c r="V33" s="4" t="s">
        <v>804</v>
      </c>
      <c r="W33" s="4">
        <f>+S35/S30*100</f>
        <v>79.069061003879469</v>
      </c>
      <c r="Z33" s="1065" t="s">
        <v>753</v>
      </c>
      <c r="AA33" s="1182">
        <f>Q28/Q27</f>
        <v>6.8211741071832535</v>
      </c>
      <c r="AB33" s="1186"/>
      <c r="AC33" s="1065" t="s">
        <v>753</v>
      </c>
      <c r="AD33" s="1182">
        <f>Q31/Q36</f>
        <v>1.6328683915625668</v>
      </c>
    </row>
    <row r="34" spans="1:36">
      <c r="A34" s="4">
        <v>11</v>
      </c>
      <c r="B34" s="757" t="s">
        <v>837</v>
      </c>
      <c r="C34" s="757">
        <v>5711.8</v>
      </c>
      <c r="D34" s="757">
        <v>660</v>
      </c>
      <c r="E34" s="757">
        <f t="shared" si="7"/>
        <v>5051.8</v>
      </c>
      <c r="F34" s="757"/>
      <c r="G34" s="757"/>
      <c r="H34" s="1085">
        <f t="shared" si="8"/>
        <v>11.555026436499876</v>
      </c>
      <c r="I34" s="1088">
        <v>2</v>
      </c>
      <c r="J34" s="1088">
        <v>10</v>
      </c>
      <c r="K34" s="757">
        <f t="shared" si="10"/>
        <v>130</v>
      </c>
      <c r="L34" s="941">
        <f t="shared" si="5"/>
        <v>18.276923076923079</v>
      </c>
      <c r="N34" s="4">
        <v>11</v>
      </c>
      <c r="O34" s="757" t="s">
        <v>837</v>
      </c>
      <c r="P34" s="945">
        <v>28.325796992481191</v>
      </c>
      <c r="Q34" s="779">
        <v>8.3699999999999997E-2</v>
      </c>
      <c r="R34" s="779">
        <v>2.1505000000000005</v>
      </c>
      <c r="S34" s="649">
        <f t="shared" si="9"/>
        <v>2.3708692082706758E-2</v>
      </c>
      <c r="T34" s="649">
        <f t="shared" si="11"/>
        <v>0.6091462643233081</v>
      </c>
      <c r="V34" s="4" t="s">
        <v>943</v>
      </c>
      <c r="W34" s="4">
        <f>+S28/S27*100</f>
        <v>55.341593799693555</v>
      </c>
      <c r="Z34" s="1186"/>
      <c r="AA34" s="1186"/>
      <c r="AB34" s="1186"/>
      <c r="AC34" s="1186"/>
      <c r="AD34" s="1186"/>
    </row>
    <row r="35" spans="1:36">
      <c r="A35" s="4">
        <v>12</v>
      </c>
      <c r="B35" s="942" t="s">
        <v>838</v>
      </c>
      <c r="C35" s="757">
        <v>1329.1</v>
      </c>
      <c r="D35" s="757">
        <v>249.3</v>
      </c>
      <c r="E35" s="757">
        <f t="shared" si="7"/>
        <v>1079.8</v>
      </c>
      <c r="F35" s="757"/>
      <c r="G35" s="757"/>
      <c r="H35" s="1085">
        <f t="shared" si="8"/>
        <v>18.757053645323907</v>
      </c>
      <c r="I35" s="1089">
        <v>3</v>
      </c>
      <c r="J35" s="1089">
        <v>30</v>
      </c>
      <c r="K35" s="757">
        <f t="shared" si="10"/>
        <v>210</v>
      </c>
      <c r="L35" s="941">
        <f t="shared" si="5"/>
        <v>4.273714285714286</v>
      </c>
      <c r="N35" s="4">
        <v>12</v>
      </c>
      <c r="O35" s="757" t="s">
        <v>838</v>
      </c>
      <c r="P35" s="945">
        <v>7.2653142857142861</v>
      </c>
      <c r="Q35" s="779">
        <v>8.803766949626139</v>
      </c>
      <c r="R35" s="779">
        <v>14.039999999999997</v>
      </c>
      <c r="S35" s="649">
        <f t="shared" si="9"/>
        <v>0.63962133787218067</v>
      </c>
      <c r="T35" s="649">
        <f t="shared" si="11"/>
        <v>1.0200501257142855</v>
      </c>
      <c r="V35" s="4" t="s">
        <v>951</v>
      </c>
      <c r="W35" s="4">
        <f>+S31/S36*100</f>
        <v>85.997598632358731</v>
      </c>
      <c r="Z35" s="1447" t="s">
        <v>1183</v>
      </c>
      <c r="AA35" s="1448"/>
      <c r="AB35" s="1186"/>
      <c r="AC35" s="1447" t="s">
        <v>1197</v>
      </c>
      <c r="AD35" s="1448"/>
      <c r="AI35" s="4" t="s">
        <v>1373</v>
      </c>
      <c r="AJ35" s="4" t="s">
        <v>1374</v>
      </c>
    </row>
    <row r="36" spans="1:36">
      <c r="A36" s="4">
        <v>13</v>
      </c>
      <c r="B36" s="942" t="s">
        <v>839</v>
      </c>
      <c r="C36" s="757">
        <v>2992.1</v>
      </c>
      <c r="D36" s="757">
        <v>494.2</v>
      </c>
      <c r="E36" s="757">
        <f t="shared" si="7"/>
        <v>2497.9</v>
      </c>
      <c r="F36" s="757"/>
      <c r="G36" s="757"/>
      <c r="H36" s="1085">
        <f t="shared" si="8"/>
        <v>16.516827646134821</v>
      </c>
      <c r="I36" s="1088">
        <v>0</v>
      </c>
      <c r="J36" s="1088">
        <v>55</v>
      </c>
      <c r="K36" s="757">
        <f t="shared" si="10"/>
        <v>55</v>
      </c>
      <c r="L36" s="941">
        <f t="shared" si="5"/>
        <v>32.347636363636362</v>
      </c>
      <c r="N36" s="4">
        <v>13</v>
      </c>
      <c r="O36" s="757" t="s">
        <v>839</v>
      </c>
      <c r="P36" s="945">
        <v>59.843127272727273</v>
      </c>
      <c r="Q36" s="779">
        <v>0.28293768339644992</v>
      </c>
      <c r="R36" s="779">
        <v>2.8977360769057086</v>
      </c>
      <c r="S36" s="649">
        <f t="shared" si="9"/>
        <v>0.16931875797744367</v>
      </c>
      <c r="T36" s="649">
        <f t="shared" si="11"/>
        <v>1.7340958885304176</v>
      </c>
      <c r="V36" s="4" t="s">
        <v>941</v>
      </c>
      <c r="W36" s="4">
        <f>+S32/S31*100</f>
        <v>37.862169167301332</v>
      </c>
      <c r="Z36" s="1065" t="s">
        <v>1056</v>
      </c>
      <c r="AA36" s="1182">
        <f>W30</f>
        <v>11.617404251412431</v>
      </c>
      <c r="AB36" s="1186"/>
      <c r="AC36" s="1065" t="s">
        <v>1056</v>
      </c>
      <c r="AD36" s="1182">
        <f>Q32</f>
        <v>1.8540000000000001</v>
      </c>
      <c r="AH36" s="4" t="s">
        <v>851</v>
      </c>
      <c r="AI36" s="4">
        <v>56.867614670583386</v>
      </c>
      <c r="AJ36" s="4">
        <v>8.5811425008859619</v>
      </c>
    </row>
    <row r="37" spans="1:36">
      <c r="A37" s="4" t="s">
        <v>1217</v>
      </c>
      <c r="B37" s="68"/>
      <c r="C37" s="68"/>
      <c r="D37" s="68"/>
      <c r="E37" s="68"/>
      <c r="F37" s="68"/>
      <c r="G37" s="68"/>
      <c r="H37" s="1160"/>
      <c r="I37" s="1161"/>
      <c r="J37" s="1161"/>
      <c r="K37" s="68"/>
      <c r="L37" s="133"/>
      <c r="O37" s="68"/>
      <c r="P37" s="1162"/>
      <c r="Q37" s="292"/>
      <c r="R37" s="292"/>
      <c r="S37" s="117"/>
      <c r="T37" s="117"/>
      <c r="Z37" s="1065" t="s">
        <v>1096</v>
      </c>
      <c r="AA37" s="1182">
        <f>AA38*AA39</f>
        <v>98.526305301806943</v>
      </c>
      <c r="AB37" s="1186"/>
      <c r="AC37" s="1065" t="s">
        <v>1096</v>
      </c>
      <c r="AD37" s="1182">
        <f>+AD38*AD39</f>
        <v>37.862169167301332</v>
      </c>
      <c r="AH37" s="4" t="s">
        <v>853</v>
      </c>
    </row>
    <row r="38" spans="1:36">
      <c r="C38" s="4" t="s">
        <v>867</v>
      </c>
      <c r="D38" s="4" t="s">
        <v>868</v>
      </c>
      <c r="E38" s="4" t="s">
        <v>1172</v>
      </c>
      <c r="F38" s="4" t="s">
        <v>1175</v>
      </c>
      <c r="G38" s="4" t="s">
        <v>1176</v>
      </c>
      <c r="H38" s="4" t="s">
        <v>310</v>
      </c>
      <c r="I38" s="4" t="s">
        <v>882</v>
      </c>
      <c r="J38" s="4" t="s">
        <v>865</v>
      </c>
      <c r="K38" s="4" t="s">
        <v>865</v>
      </c>
      <c r="L38" s="4" t="s">
        <v>866</v>
      </c>
      <c r="Z38" s="1065" t="s">
        <v>1178</v>
      </c>
      <c r="AA38" s="1182">
        <f>W28</f>
        <v>32.509165953047109</v>
      </c>
      <c r="AB38" s="1186"/>
      <c r="AC38" s="1065" t="s">
        <v>1178</v>
      </c>
      <c r="AD38" s="1182">
        <f>P32/P31*100</f>
        <v>9.4349094688744408</v>
      </c>
      <c r="AH38" s="4" t="s">
        <v>854</v>
      </c>
      <c r="AI38" s="4">
        <v>76.10949668198576</v>
      </c>
      <c r="AJ38" s="4">
        <v>9.6588737608263315</v>
      </c>
    </row>
    <row r="39" spans="1:36">
      <c r="A39" s="4">
        <v>1</v>
      </c>
      <c r="B39" s="757" t="s">
        <v>844</v>
      </c>
      <c r="C39" s="757"/>
      <c r="D39" s="757"/>
      <c r="E39" s="757"/>
      <c r="F39" s="757"/>
      <c r="G39" s="757"/>
      <c r="H39" s="940"/>
      <c r="I39" s="940"/>
      <c r="J39" s="940"/>
      <c r="K39" s="757">
        <f t="shared" ref="K39:K41" si="12">+I39*60+J39</f>
        <v>0</v>
      </c>
      <c r="L39" s="941" t="e">
        <f t="shared" ref="L39:L51" si="13">+(D39/1000)/(K39/3600)</f>
        <v>#DIV/0!</v>
      </c>
      <c r="V39" s="4" t="s">
        <v>1117</v>
      </c>
      <c r="W39" s="4">
        <f>(P35/(P29+P33))*100</f>
        <v>10.826230079247583</v>
      </c>
      <c r="Z39" s="1065" t="s">
        <v>753</v>
      </c>
      <c r="AA39" s="1182">
        <f>W29</f>
        <v>3.0307238716646312</v>
      </c>
      <c r="AB39" s="1186"/>
      <c r="AC39" s="1065" t="s">
        <v>753</v>
      </c>
      <c r="AD39" s="1182">
        <f>+Q32/Q31</f>
        <v>4.0129870129870131</v>
      </c>
      <c r="AH39" s="4" t="s">
        <v>855</v>
      </c>
      <c r="AI39" s="4">
        <v>84.983674039082828</v>
      </c>
      <c r="AJ39" s="4">
        <v>55.193859629457975</v>
      </c>
    </row>
    <row r="40" spans="1:36">
      <c r="A40" s="4">
        <v>2</v>
      </c>
      <c r="B40" s="757" t="s">
        <v>845</v>
      </c>
      <c r="C40" s="757"/>
      <c r="D40" s="757"/>
      <c r="E40" s="757"/>
      <c r="F40" s="757"/>
      <c r="G40" s="757"/>
      <c r="H40" s="940"/>
      <c r="I40" s="940"/>
      <c r="J40" s="940"/>
      <c r="K40" s="757">
        <f t="shared" si="12"/>
        <v>0</v>
      </c>
      <c r="L40" s="941" t="e">
        <f t="shared" si="13"/>
        <v>#DIV/0!</v>
      </c>
      <c r="N40" s="4" t="s">
        <v>872</v>
      </c>
      <c r="AA40" s="4">
        <f>AA37*AA25/100</f>
        <v>83.132832609417818</v>
      </c>
      <c r="AH40" s="4" t="s">
        <v>856</v>
      </c>
      <c r="AI40" s="4">
        <v>39.146289754326183</v>
      </c>
      <c r="AJ40" s="4">
        <v>8.1224175490353314</v>
      </c>
    </row>
    <row r="41" spans="1:36">
      <c r="A41" s="4">
        <v>3</v>
      </c>
      <c r="B41" s="757" t="s">
        <v>846</v>
      </c>
      <c r="C41" s="757"/>
      <c r="D41" s="757"/>
      <c r="E41" s="757"/>
      <c r="F41" s="757"/>
      <c r="G41" s="757"/>
      <c r="H41" s="940"/>
      <c r="I41" s="940"/>
      <c r="J41" s="940"/>
      <c r="K41" s="757">
        <f t="shared" si="12"/>
        <v>0</v>
      </c>
      <c r="L41" s="941" t="e">
        <f t="shared" si="13"/>
        <v>#DIV/0!</v>
      </c>
      <c r="O41" s="928"/>
      <c r="P41" s="928" t="s">
        <v>876</v>
      </c>
      <c r="Q41" s="928" t="s">
        <v>874</v>
      </c>
      <c r="R41" s="928" t="s">
        <v>873</v>
      </c>
    </row>
    <row r="42" spans="1:36">
      <c r="A42" s="4">
        <v>4</v>
      </c>
      <c r="B42" s="757" t="s">
        <v>830</v>
      </c>
      <c r="C42" s="757">
        <v>2131.1999999999998</v>
      </c>
      <c r="D42" s="757">
        <v>390</v>
      </c>
      <c r="E42" s="941">
        <f>(M42*1000*K42)/3600</f>
        <v>374.53025054572436</v>
      </c>
      <c r="F42" s="941">
        <f>E42+E27</f>
        <v>2115.7302505457242</v>
      </c>
      <c r="G42" s="1163">
        <f>(E42/F42)*100</f>
        <v>17.702174010562988</v>
      </c>
      <c r="H42" s="1085">
        <f>+D42/C42*100</f>
        <v>18.29954954954955</v>
      </c>
      <c r="I42" s="1087">
        <v>0</v>
      </c>
      <c r="J42" s="1087">
        <v>55</v>
      </c>
      <c r="K42" s="757">
        <f>+I42*60+J42</f>
        <v>55</v>
      </c>
      <c r="L42" s="941">
        <f t="shared" si="13"/>
        <v>25.527272727272727</v>
      </c>
      <c r="M42" s="4">
        <v>24.514707308447409</v>
      </c>
      <c r="N42" s="4">
        <v>1</v>
      </c>
      <c r="O42" s="757" t="s">
        <v>844</v>
      </c>
      <c r="P42" s="928" t="e">
        <f>+(P6-P24)/P6*100</f>
        <v>#DIV/0!</v>
      </c>
      <c r="Q42" s="928" t="e">
        <f t="shared" ref="Q42:R42" si="14">+(Q6-Q24)/Q6*100</f>
        <v>#DIV/0!</v>
      </c>
      <c r="R42" s="928" t="e">
        <f t="shared" si="14"/>
        <v>#DIV/0!</v>
      </c>
    </row>
    <row r="43" spans="1:36">
      <c r="A43" s="4">
        <v>5</v>
      </c>
      <c r="B43" s="757" t="s">
        <v>831</v>
      </c>
      <c r="C43" s="757">
        <v>756.4</v>
      </c>
      <c r="D43" s="757">
        <v>200.3</v>
      </c>
      <c r="E43" s="941">
        <f t="shared" ref="E43:E51" si="15">(M43*1000*K43)/3600</f>
        <v>210.36419678129778</v>
      </c>
      <c r="F43" s="941">
        <f t="shared" ref="F43:F51" si="16">E43+E28</f>
        <v>766.46419678129769</v>
      </c>
      <c r="G43" s="1163">
        <f t="shared" ref="G43:G51" si="17">(E43/F43)*100</f>
        <v>27.446056536587704</v>
      </c>
      <c r="H43" s="1085">
        <f t="shared" ref="H43:H51" si="18">+D43/C43*100</f>
        <v>26.480698043363304</v>
      </c>
      <c r="I43" s="1088">
        <v>6</v>
      </c>
      <c r="J43" s="1088">
        <v>0</v>
      </c>
      <c r="K43" s="757">
        <f>+I43*60+J43</f>
        <v>360</v>
      </c>
      <c r="L43" s="941">
        <f>+(D43/1000)/(K43/3600)</f>
        <v>2.0030000000000001</v>
      </c>
      <c r="M43" s="4">
        <v>2.1036419678129779</v>
      </c>
      <c r="N43" s="4">
        <v>2</v>
      </c>
      <c r="O43" s="757" t="s">
        <v>845</v>
      </c>
      <c r="P43" s="928" t="e">
        <f t="shared" ref="P43:R44" si="19">+(P7-P25)/P7*100</f>
        <v>#DIV/0!</v>
      </c>
      <c r="Q43" s="928" t="e">
        <f t="shared" si="19"/>
        <v>#DIV/0!</v>
      </c>
      <c r="R43" s="928" t="e">
        <f t="shared" si="19"/>
        <v>#DIV/0!</v>
      </c>
    </row>
    <row r="44" spans="1:36" ht="16">
      <c r="A44" s="4">
        <v>6</v>
      </c>
      <c r="B44" s="757" t="s">
        <v>832</v>
      </c>
      <c r="C44" s="757">
        <v>2532.3000000000002</v>
      </c>
      <c r="D44" s="757">
        <v>441.1</v>
      </c>
      <c r="E44" s="941">
        <f t="shared" si="15"/>
        <v>435.77071495684044</v>
      </c>
      <c r="F44" s="941">
        <f t="shared" si="16"/>
        <v>2526.9707149568408</v>
      </c>
      <c r="G44" s="1163">
        <f t="shared" si="17"/>
        <v>17.24478690542653</v>
      </c>
      <c r="H44" s="1085">
        <f t="shared" si="18"/>
        <v>17.418947202148242</v>
      </c>
      <c r="I44" s="1088">
        <v>1</v>
      </c>
      <c r="J44" s="1088">
        <v>10</v>
      </c>
      <c r="K44" s="757">
        <f t="shared" ref="K44:K51" si="20">+I44*60+J44</f>
        <v>70</v>
      </c>
      <c r="L44" s="941">
        <f t="shared" si="13"/>
        <v>22.685142857142861</v>
      </c>
      <c r="M44" s="4">
        <v>22.41106534063751</v>
      </c>
      <c r="N44" s="4">
        <v>3</v>
      </c>
      <c r="O44" s="757" t="s">
        <v>846</v>
      </c>
      <c r="P44" s="928" t="e">
        <f t="shared" si="19"/>
        <v>#DIV/0!</v>
      </c>
      <c r="Q44" s="928" t="e">
        <f t="shared" si="19"/>
        <v>#DIV/0!</v>
      </c>
      <c r="R44" s="928" t="e">
        <f t="shared" si="19"/>
        <v>#DIV/0!</v>
      </c>
      <c r="Y44" s="1223">
        <v>1</v>
      </c>
      <c r="Z44" s="1223">
        <v>2</v>
      </c>
      <c r="AA44" s="1223">
        <v>3</v>
      </c>
      <c r="AB44" s="1223">
        <v>4</v>
      </c>
      <c r="AC44" s="1223">
        <v>5</v>
      </c>
      <c r="AD44" s="1223">
        <v>6</v>
      </c>
      <c r="AE44" s="1223">
        <v>7</v>
      </c>
      <c r="AF44" s="1223">
        <v>8</v>
      </c>
      <c r="AG44" s="1223">
        <v>9</v>
      </c>
      <c r="AH44" s="1223">
        <v>10</v>
      </c>
      <c r="AI44" s="4">
        <v>11</v>
      </c>
    </row>
    <row r="45" spans="1:36" ht="16.5" thickBot="1">
      <c r="A45" s="4">
        <v>7</v>
      </c>
      <c r="B45" s="757" t="s">
        <v>833</v>
      </c>
      <c r="C45" s="757">
        <v>4387.8999999999996</v>
      </c>
      <c r="D45" s="757">
        <v>684.4</v>
      </c>
      <c r="E45" s="941">
        <f t="shared" si="15"/>
        <v>689.30858231516072</v>
      </c>
      <c r="F45" s="941">
        <f t="shared" si="16"/>
        <v>4392.8085823151605</v>
      </c>
      <c r="G45" s="1163">
        <f t="shared" si="17"/>
        <v>15.691750946996001</v>
      </c>
      <c r="H45" s="1085">
        <f t="shared" si="18"/>
        <v>15.597438410173432</v>
      </c>
      <c r="I45" s="1088">
        <v>1</v>
      </c>
      <c r="J45" s="1088">
        <v>0</v>
      </c>
      <c r="K45" s="757">
        <f t="shared" si="20"/>
        <v>60</v>
      </c>
      <c r="L45" s="941">
        <f t="shared" si="13"/>
        <v>41.064</v>
      </c>
      <c r="M45" s="4">
        <v>41.35851493890965</v>
      </c>
      <c r="N45" s="4">
        <v>4</v>
      </c>
      <c r="O45" s="757" t="s">
        <v>830</v>
      </c>
      <c r="P45" s="948">
        <f>ABS((P9-P27)/P9*100)</f>
        <v>64.411777574277522</v>
      </c>
      <c r="Q45" s="948">
        <f>ABS((Q9-Q27)/Q9*100)</f>
        <v>3.6002988006842429</v>
      </c>
      <c r="R45" s="948">
        <f>ABS((R9-R27)/R9*100)</f>
        <v>56.125699986686726</v>
      </c>
      <c r="X45" s="68"/>
      <c r="Y45" s="1223">
        <v>4</v>
      </c>
      <c r="Z45" s="1223">
        <v>5</v>
      </c>
      <c r="AA45" s="1223">
        <v>6</v>
      </c>
      <c r="AB45" s="1223">
        <v>7</v>
      </c>
      <c r="AC45" s="1223">
        <v>8</v>
      </c>
      <c r="AD45" s="1223">
        <v>9</v>
      </c>
      <c r="AE45" s="1223">
        <v>10</v>
      </c>
      <c r="AF45" s="1223">
        <v>11</v>
      </c>
      <c r="AG45" s="1223">
        <v>12</v>
      </c>
      <c r="AH45" s="1223">
        <v>13</v>
      </c>
    </row>
    <row r="46" spans="1:36">
      <c r="A46" s="4">
        <v>8</v>
      </c>
      <c r="B46" s="757" t="s">
        <v>834</v>
      </c>
      <c r="C46" s="757">
        <v>2768.1</v>
      </c>
      <c r="D46" s="757">
        <v>410.2</v>
      </c>
      <c r="E46" s="941">
        <f t="shared" si="15"/>
        <v>343.70824548625899</v>
      </c>
      <c r="F46" s="941">
        <f t="shared" si="16"/>
        <v>2701.608245486259</v>
      </c>
      <c r="G46" s="1163">
        <f t="shared" si="17"/>
        <v>12.722356990896561</v>
      </c>
      <c r="H46" s="1085">
        <f t="shared" si="18"/>
        <v>14.81882879953759</v>
      </c>
      <c r="I46" s="1088">
        <v>1</v>
      </c>
      <c r="J46" s="1088">
        <v>0</v>
      </c>
      <c r="K46" s="757">
        <f t="shared" si="20"/>
        <v>60</v>
      </c>
      <c r="L46" s="941">
        <f t="shared" si="13"/>
        <v>24.612000000000002</v>
      </c>
      <c r="M46" s="4">
        <v>20.622494729175539</v>
      </c>
      <c r="N46" s="4">
        <v>5</v>
      </c>
      <c r="O46" s="757" t="s">
        <v>831</v>
      </c>
      <c r="P46" s="948">
        <f>ABS((P10-P28)/P10*100)</f>
        <v>70</v>
      </c>
      <c r="Q46" s="948">
        <f t="shared" ref="P46:R54" si="21">ABS((Q10-Q28)/Q10*100)</f>
        <v>9.9999999999999947</v>
      </c>
      <c r="R46" s="948">
        <f t="shared" si="21"/>
        <v>24.999999999999993</v>
      </c>
      <c r="X46" s="264" t="s">
        <v>851</v>
      </c>
      <c r="Y46" s="1224">
        <v>1</v>
      </c>
      <c r="Z46" s="1225">
        <v>-1</v>
      </c>
      <c r="AA46" s="1225">
        <v>-1</v>
      </c>
      <c r="AB46" s="1225">
        <v>0</v>
      </c>
      <c r="AC46" s="1225">
        <v>0</v>
      </c>
      <c r="AD46" s="1225">
        <v>0</v>
      </c>
      <c r="AE46" s="1225">
        <v>0</v>
      </c>
      <c r="AF46" s="1225">
        <v>0</v>
      </c>
      <c r="AG46" s="1225">
        <v>0</v>
      </c>
      <c r="AH46" s="1226">
        <v>0</v>
      </c>
    </row>
    <row r="47" spans="1:36">
      <c r="A47" s="4">
        <v>9</v>
      </c>
      <c r="B47" s="757" t="s">
        <v>835</v>
      </c>
      <c r="C47" s="757">
        <v>895.8</v>
      </c>
      <c r="D47" s="757">
        <v>254.5</v>
      </c>
      <c r="E47" s="941">
        <f t="shared" si="15"/>
        <v>265.21547906414474</v>
      </c>
      <c r="F47" s="941">
        <f t="shared" si="16"/>
        <v>906.51547906414476</v>
      </c>
      <c r="G47" s="1163">
        <f t="shared" si="17"/>
        <v>29.256585815605053</v>
      </c>
      <c r="H47" s="1085">
        <f t="shared" si="18"/>
        <v>28.410359455235547</v>
      </c>
      <c r="I47" s="1088">
        <v>9</v>
      </c>
      <c r="J47" s="1088">
        <v>30</v>
      </c>
      <c r="K47" s="757">
        <f t="shared" si="20"/>
        <v>570</v>
      </c>
      <c r="L47" s="941">
        <f t="shared" si="13"/>
        <v>1.6073684210526318</v>
      </c>
      <c r="M47" s="4">
        <v>1.6750451309314403</v>
      </c>
      <c r="N47" s="4">
        <v>6</v>
      </c>
      <c r="O47" s="757" t="s">
        <v>832</v>
      </c>
      <c r="P47" s="948">
        <f t="shared" si="21"/>
        <v>69.999999999999986</v>
      </c>
      <c r="Q47" s="948">
        <f>ABS((Q11-Q29)/Q11*100)</f>
        <v>14.999999999999991</v>
      </c>
      <c r="R47" s="948">
        <f t="shared" si="21"/>
        <v>6.0461732954311769</v>
      </c>
      <c r="X47" s="264" t="s">
        <v>853</v>
      </c>
      <c r="Y47" s="1227">
        <v>0</v>
      </c>
      <c r="Z47" s="68">
        <v>0</v>
      </c>
      <c r="AA47" s="68">
        <v>1</v>
      </c>
      <c r="AB47" s="68">
        <v>-1</v>
      </c>
      <c r="AC47" s="68">
        <v>0</v>
      </c>
      <c r="AD47" s="68">
        <v>0</v>
      </c>
      <c r="AE47" s="68">
        <v>1</v>
      </c>
      <c r="AF47" s="68">
        <v>0</v>
      </c>
      <c r="AG47" s="68">
        <v>0</v>
      </c>
      <c r="AH47" s="1228">
        <v>0</v>
      </c>
    </row>
    <row r="48" spans="1:36">
      <c r="A48" s="4">
        <v>10</v>
      </c>
      <c r="B48" s="757" t="s">
        <v>836</v>
      </c>
      <c r="C48" s="757">
        <v>5443.9</v>
      </c>
      <c r="D48" s="757">
        <v>455.8</v>
      </c>
      <c r="E48" s="941">
        <f t="shared" si="15"/>
        <v>473.68623995609033</v>
      </c>
      <c r="F48" s="941">
        <f t="shared" si="16"/>
        <v>5461.78623995609</v>
      </c>
      <c r="G48" s="1163">
        <f t="shared" si="17"/>
        <v>8.6727348736353793</v>
      </c>
      <c r="H48" s="1085">
        <f t="shared" si="18"/>
        <v>8.3726740020940884</v>
      </c>
      <c r="I48" s="1088">
        <v>1</v>
      </c>
      <c r="J48" s="1088">
        <v>30</v>
      </c>
      <c r="K48" s="757">
        <f t="shared" si="20"/>
        <v>90</v>
      </c>
      <c r="L48" s="941">
        <f t="shared" si="13"/>
        <v>18.231999999999999</v>
      </c>
      <c r="M48" s="4">
        <v>18.947449598243612</v>
      </c>
      <c r="N48" s="4">
        <v>7</v>
      </c>
      <c r="O48" s="757" t="s">
        <v>833</v>
      </c>
      <c r="P48" s="948">
        <f t="shared" si="21"/>
        <v>63.424024835480189</v>
      </c>
      <c r="Q48" s="948">
        <f t="shared" si="21"/>
        <v>11.613172631327739</v>
      </c>
      <c r="R48" s="948">
        <f t="shared" si="21"/>
        <v>16.415006002914623</v>
      </c>
      <c r="X48" s="264" t="s">
        <v>854</v>
      </c>
      <c r="Y48" s="1227">
        <v>0</v>
      </c>
      <c r="Z48" s="68">
        <v>0</v>
      </c>
      <c r="AA48" s="68">
        <v>0</v>
      </c>
      <c r="AB48" s="68">
        <v>1</v>
      </c>
      <c r="AC48" s="68">
        <v>0</v>
      </c>
      <c r="AD48" s="68">
        <v>0</v>
      </c>
      <c r="AE48" s="68">
        <v>0</v>
      </c>
      <c r="AF48" s="68">
        <v>0</v>
      </c>
      <c r="AG48" s="68">
        <v>-1</v>
      </c>
      <c r="AH48" s="1228">
        <v>-1</v>
      </c>
    </row>
    <row r="49" spans="1:52">
      <c r="A49" s="4">
        <v>11</v>
      </c>
      <c r="B49" s="757" t="s">
        <v>837</v>
      </c>
      <c r="C49" s="757">
        <v>5711.8</v>
      </c>
      <c r="D49" s="757">
        <v>660</v>
      </c>
      <c r="E49" s="941">
        <f t="shared" si="15"/>
        <v>604.54526392014498</v>
      </c>
      <c r="F49" s="941">
        <f t="shared" si="16"/>
        <v>5656.345263920145</v>
      </c>
      <c r="G49" s="1163">
        <f t="shared" si="17"/>
        <v>10.687913055384517</v>
      </c>
      <c r="H49" s="1085">
        <f t="shared" si="18"/>
        <v>11.555026436499876</v>
      </c>
      <c r="I49" s="1088">
        <v>2</v>
      </c>
      <c r="J49" s="1088">
        <v>10</v>
      </c>
      <c r="K49" s="757">
        <f t="shared" si="20"/>
        <v>130</v>
      </c>
      <c r="L49" s="941">
        <f t="shared" si="13"/>
        <v>18.276923076923079</v>
      </c>
      <c r="M49" s="4">
        <v>16.741253462404018</v>
      </c>
      <c r="N49" s="4">
        <v>8</v>
      </c>
      <c r="O49" s="757" t="s">
        <v>834</v>
      </c>
      <c r="P49" s="948">
        <f t="shared" si="21"/>
        <v>28.056762068284087</v>
      </c>
      <c r="Q49" s="948">
        <f t="shared" si="21"/>
        <v>9.9999999999999964</v>
      </c>
      <c r="R49" s="948">
        <f t="shared" si="21"/>
        <v>21.207396639019422</v>
      </c>
      <c r="X49" s="264" t="s">
        <v>855</v>
      </c>
      <c r="Y49" s="1227">
        <v>0</v>
      </c>
      <c r="Z49" s="68">
        <v>0</v>
      </c>
      <c r="AA49" s="68">
        <v>0</v>
      </c>
      <c r="AB49" s="68">
        <v>0</v>
      </c>
      <c r="AC49" s="68">
        <v>-1</v>
      </c>
      <c r="AD49" s="68">
        <v>0</v>
      </c>
      <c r="AE49" s="68">
        <v>0</v>
      </c>
      <c r="AF49" s="68">
        <v>-1</v>
      </c>
      <c r="AG49" s="68">
        <v>0</v>
      </c>
      <c r="AH49" s="1228">
        <v>1</v>
      </c>
    </row>
    <row r="50" spans="1:52" ht="15" thickBot="1">
      <c r="A50" s="4">
        <v>12</v>
      </c>
      <c r="B50" s="942" t="s">
        <v>838</v>
      </c>
      <c r="C50" s="757">
        <v>1329.1</v>
      </c>
      <c r="D50" s="757">
        <v>249.3</v>
      </c>
      <c r="E50" s="941">
        <f t="shared" si="15"/>
        <v>233.02806025927063</v>
      </c>
      <c r="F50" s="941">
        <f t="shared" si="16"/>
        <v>1312.8280602592706</v>
      </c>
      <c r="G50" s="1163">
        <f t="shared" si="17"/>
        <v>17.750082231884186</v>
      </c>
      <c r="H50" s="1085">
        <f t="shared" si="18"/>
        <v>18.757053645323907</v>
      </c>
      <c r="I50" s="1089">
        <v>3</v>
      </c>
      <c r="J50" s="1089">
        <v>30</v>
      </c>
      <c r="K50" s="757">
        <f t="shared" si="20"/>
        <v>210</v>
      </c>
      <c r="L50" s="941">
        <f t="shared" si="13"/>
        <v>4.273714285714286</v>
      </c>
      <c r="M50" s="4">
        <v>3.9947667473017825</v>
      </c>
      <c r="N50" s="4">
        <v>9</v>
      </c>
      <c r="O50" s="757" t="s">
        <v>835</v>
      </c>
      <c r="P50" s="948">
        <f t="shared" si="21"/>
        <v>85.000000000000014</v>
      </c>
      <c r="Q50" s="948">
        <f t="shared" si="21"/>
        <v>9.9999999999999982</v>
      </c>
      <c r="R50" s="948">
        <f t="shared" si="21"/>
        <v>25.000000000000007</v>
      </c>
      <c r="X50" s="264" t="s">
        <v>856</v>
      </c>
      <c r="Y50" s="1229">
        <v>0</v>
      </c>
      <c r="Z50" s="1230">
        <v>0</v>
      </c>
      <c r="AA50" s="1230">
        <v>0</v>
      </c>
      <c r="AB50" s="1230">
        <v>0</v>
      </c>
      <c r="AC50" s="1230">
        <v>1</v>
      </c>
      <c r="AD50" s="1230">
        <v>-1</v>
      </c>
      <c r="AE50" s="1230">
        <v>-1</v>
      </c>
      <c r="AF50" s="1230">
        <v>0</v>
      </c>
      <c r="AG50" s="1230">
        <v>0</v>
      </c>
      <c r="AH50" s="1231">
        <v>0</v>
      </c>
    </row>
    <row r="51" spans="1:52">
      <c r="A51" s="4">
        <v>13</v>
      </c>
      <c r="B51" s="942" t="s">
        <v>839</v>
      </c>
      <c r="C51" s="757">
        <v>2992.1</v>
      </c>
      <c r="D51" s="757">
        <v>494.2</v>
      </c>
      <c r="E51" s="941">
        <f t="shared" si="15"/>
        <v>570.8350418161026</v>
      </c>
      <c r="F51" s="941">
        <f t="shared" si="16"/>
        <v>3068.7350418161027</v>
      </c>
      <c r="G51" s="1163">
        <f t="shared" si="17"/>
        <v>18.601639895188793</v>
      </c>
      <c r="H51" s="1085">
        <f t="shared" si="18"/>
        <v>16.516827646134821</v>
      </c>
      <c r="I51" s="1088">
        <v>0</v>
      </c>
      <c r="J51" s="1088">
        <v>55</v>
      </c>
      <c r="K51" s="757">
        <f t="shared" si="20"/>
        <v>55</v>
      </c>
      <c r="L51" s="941">
        <f t="shared" si="13"/>
        <v>32.347636363636362</v>
      </c>
      <c r="M51" s="4">
        <v>37.363748191599441</v>
      </c>
      <c r="N51" s="4">
        <v>10</v>
      </c>
      <c r="O51" s="757" t="s">
        <v>836</v>
      </c>
      <c r="P51" s="948">
        <f t="shared" si="21"/>
        <v>56.558242108922293</v>
      </c>
      <c r="Q51" s="948">
        <f t="shared" si="21"/>
        <v>13.208544564658773</v>
      </c>
      <c r="R51" s="948">
        <f t="shared" si="21"/>
        <v>30</v>
      </c>
      <c r="X51" s="68" t="s">
        <v>861</v>
      </c>
      <c r="Y51" s="68"/>
      <c r="Z51" s="68"/>
      <c r="AA51" s="68"/>
      <c r="AB51" s="68"/>
      <c r="AC51" s="68"/>
      <c r="AD51" s="68"/>
      <c r="AE51" s="68"/>
      <c r="AF51" s="68"/>
      <c r="AG51" s="68"/>
      <c r="AH51" s="68"/>
    </row>
    <row r="52" spans="1:52">
      <c r="N52" s="4">
        <v>11</v>
      </c>
      <c r="O52" s="757" t="s">
        <v>837</v>
      </c>
      <c r="P52" s="948">
        <f t="shared" si="21"/>
        <v>54.981212500949248</v>
      </c>
      <c r="Q52" s="948">
        <f t="shared" si="21"/>
        <v>10.000000000000004</v>
      </c>
      <c r="R52" s="948">
        <f t="shared" si="21"/>
        <v>15.000000000000021</v>
      </c>
      <c r="Y52" s="4">
        <f t="shared" ref="Y52:AH52" si="22">SUM(Y46:Y51)</f>
        <v>1</v>
      </c>
      <c r="Z52" s="4">
        <f t="shared" si="22"/>
        <v>-1</v>
      </c>
      <c r="AA52" s="4">
        <f t="shared" si="22"/>
        <v>0</v>
      </c>
      <c r="AB52" s="4">
        <f t="shared" si="22"/>
        <v>0</v>
      </c>
      <c r="AC52" s="4">
        <f t="shared" si="22"/>
        <v>0</v>
      </c>
      <c r="AD52" s="4">
        <f t="shared" si="22"/>
        <v>-1</v>
      </c>
      <c r="AE52" s="4">
        <f t="shared" si="22"/>
        <v>0</v>
      </c>
      <c r="AF52" s="4">
        <f t="shared" si="22"/>
        <v>-1</v>
      </c>
      <c r="AG52" s="4">
        <f t="shared" si="22"/>
        <v>-1</v>
      </c>
      <c r="AH52" s="4">
        <f t="shared" si="22"/>
        <v>0</v>
      </c>
    </row>
    <row r="53" spans="1:52">
      <c r="N53" s="4">
        <v>12</v>
      </c>
      <c r="O53" s="757" t="s">
        <v>838</v>
      </c>
      <c r="P53" s="948">
        <f t="shared" si="21"/>
        <v>70</v>
      </c>
      <c r="Q53" s="948">
        <f t="shared" si="21"/>
        <v>2.4885558745767073</v>
      </c>
      <c r="R53" s="948">
        <f t="shared" si="21"/>
        <v>19.999999999999986</v>
      </c>
    </row>
    <row r="54" spans="1:52">
      <c r="N54" s="4">
        <v>13</v>
      </c>
      <c r="O54" s="757" t="s">
        <v>839</v>
      </c>
      <c r="P54" s="948">
        <f t="shared" si="21"/>
        <v>85.000000000000014</v>
      </c>
      <c r="Q54" s="948">
        <f t="shared" si="21"/>
        <v>5.6874388678500223</v>
      </c>
      <c r="R54" s="948">
        <f t="shared" si="21"/>
        <v>31.495601018777581</v>
      </c>
    </row>
    <row r="55" spans="1:52">
      <c r="X55" s="734" t="s">
        <v>1375</v>
      </c>
      <c r="Y55" s="1232">
        <f>SUMPRODUCT(Y76:AH76,Y52:AH52)/Y76*100</f>
        <v>-2.4825725144551116</v>
      </c>
    </row>
    <row r="56" spans="1:52">
      <c r="X56" s="734" t="s">
        <v>1376</v>
      </c>
      <c r="Y56" s="1232" cm="1">
        <f t="array" ref="Y56">SUMPRODUCT(TRANSPOSE(S9:S18),Y52:AH52)/S9*100</f>
        <v>5.4181168104751141</v>
      </c>
    </row>
    <row r="57" spans="1:52">
      <c r="N57" s="4" t="s">
        <v>877</v>
      </c>
      <c r="X57" s="1233" t="s">
        <v>1377</v>
      </c>
      <c r="Y57" s="1234" cm="1">
        <f t="array" ref="Y57">SUMPRODUCT(TRANSPOSE(T9:T18),Y52:AH52)/T9*100</f>
        <v>64.031271847893521</v>
      </c>
    </row>
    <row r="58" spans="1:52">
      <c r="O58" s="928"/>
      <c r="P58" s="928" t="s">
        <v>876</v>
      </c>
      <c r="Q58" s="928" t="s">
        <v>874</v>
      </c>
      <c r="R58" s="928" t="s">
        <v>873</v>
      </c>
    </row>
    <row r="59" spans="1:52">
      <c r="N59" s="127">
        <v>1</v>
      </c>
      <c r="O59" s="952" t="s">
        <v>844</v>
      </c>
      <c r="P59" s="952">
        <v>30</v>
      </c>
      <c r="Q59" s="952">
        <v>5</v>
      </c>
      <c r="R59" s="952">
        <v>10</v>
      </c>
      <c r="Y59" s="757" t="s">
        <v>830</v>
      </c>
      <c r="Z59" s="757" t="s">
        <v>831</v>
      </c>
      <c r="AA59" s="757" t="s">
        <v>832</v>
      </c>
      <c r="AB59" s="757" t="s">
        <v>833</v>
      </c>
      <c r="AC59" s="757" t="s">
        <v>834</v>
      </c>
      <c r="AD59" s="757" t="s">
        <v>835</v>
      </c>
      <c r="AE59" s="757" t="s">
        <v>836</v>
      </c>
      <c r="AF59" s="757" t="s">
        <v>837</v>
      </c>
      <c r="AG59" s="757" t="s">
        <v>838</v>
      </c>
      <c r="AH59" s="757" t="s">
        <v>839</v>
      </c>
    </row>
    <row r="60" spans="1:52">
      <c r="N60" s="127">
        <v>2</v>
      </c>
      <c r="O60" s="952" t="s">
        <v>845</v>
      </c>
      <c r="P60" s="952">
        <v>30</v>
      </c>
      <c r="Q60" s="952">
        <v>5</v>
      </c>
      <c r="R60" s="952">
        <v>10</v>
      </c>
      <c r="Y60" s="264">
        <v>4</v>
      </c>
      <c r="Z60" s="264">
        <v>5</v>
      </c>
      <c r="AA60" s="264">
        <v>6</v>
      </c>
      <c r="AB60" s="264">
        <v>7</v>
      </c>
      <c r="AC60" s="264">
        <v>8</v>
      </c>
      <c r="AD60" s="264">
        <v>9</v>
      </c>
      <c r="AE60" s="264">
        <v>10</v>
      </c>
      <c r="AF60" s="264">
        <v>11</v>
      </c>
      <c r="AG60" s="264">
        <v>12</v>
      </c>
      <c r="AH60" s="264">
        <v>13</v>
      </c>
      <c r="AZ60" s="4">
        <f>+(AT70*AU70+AT74*AU74)/(AT70+AT74)</f>
        <v>1.7090483098665885</v>
      </c>
    </row>
    <row r="61" spans="1:52" ht="15" thickBot="1">
      <c r="N61" s="127">
        <v>3</v>
      </c>
      <c r="O61" s="954" t="s">
        <v>846</v>
      </c>
      <c r="P61" s="952">
        <v>30</v>
      </c>
      <c r="Q61" s="952">
        <v>5</v>
      </c>
      <c r="R61" s="952">
        <v>10</v>
      </c>
      <c r="X61" s="1235" t="s">
        <v>1358</v>
      </c>
      <c r="Y61" s="1236">
        <f>1/Y62^2 *(Y63-Y64)^2 * 1/Y63^2</f>
        <v>4.9354902835915919E-3</v>
      </c>
      <c r="Z61" s="1236">
        <f>1/Z62^2 *(Z63-Z64)^2 * 1/Z63^2</f>
        <v>1.5353055280391565E-3</v>
      </c>
      <c r="AA61" s="1236">
        <f t="shared" ref="AA61:AH61" si="23">1/AA62^2 *(AA63-AA64)^2 * 1/AA63^2</f>
        <v>3.4188232288072222</v>
      </c>
      <c r="AB61" s="1236">
        <f t="shared" si="23"/>
        <v>1.4231203591428E-4</v>
      </c>
      <c r="AC61" s="1236">
        <f t="shared" si="23"/>
        <v>9.4903414973583552E-2</v>
      </c>
      <c r="AD61" s="1236">
        <f t="shared" si="23"/>
        <v>7.5043123906583572E-3</v>
      </c>
      <c r="AE61" s="1236">
        <f t="shared" si="23"/>
        <v>0.16856622969268426</v>
      </c>
      <c r="AF61" s="1236">
        <f t="shared" si="23"/>
        <v>8.2506761809088888E-3</v>
      </c>
      <c r="AG61" s="1236">
        <f t="shared" si="23"/>
        <v>3.752883685754699</v>
      </c>
      <c r="AH61" s="1236">
        <f t="shared" si="23"/>
        <v>1.5335464230726783</v>
      </c>
    </row>
    <row r="62" spans="1:52">
      <c r="N62" s="4">
        <v>4</v>
      </c>
      <c r="O62" s="757" t="s">
        <v>830</v>
      </c>
      <c r="P62" s="757">
        <v>70</v>
      </c>
      <c r="Q62" s="757">
        <v>10</v>
      </c>
      <c r="R62" s="757">
        <v>35</v>
      </c>
      <c r="X62" s="1235" t="s">
        <v>1378</v>
      </c>
      <c r="Y62" s="1237">
        <v>0.05</v>
      </c>
      <c r="Z62" s="1237">
        <v>0.05</v>
      </c>
      <c r="AA62" s="1237">
        <v>0.05</v>
      </c>
      <c r="AB62" s="1237">
        <v>0.05</v>
      </c>
      <c r="AC62" s="1237">
        <v>0.05</v>
      </c>
      <c r="AD62" s="1237">
        <v>0.05</v>
      </c>
      <c r="AE62" s="1237">
        <v>0.05</v>
      </c>
      <c r="AF62" s="1237">
        <v>0.05</v>
      </c>
      <c r="AG62" s="1237">
        <v>0.05</v>
      </c>
      <c r="AH62" s="1237">
        <v>0.05</v>
      </c>
      <c r="AS62" s="269"/>
      <c r="AT62" s="265" t="s">
        <v>863</v>
      </c>
      <c r="AU62" s="265" t="s">
        <v>864</v>
      </c>
      <c r="AV62" s="265" t="s">
        <v>873</v>
      </c>
      <c r="AW62" s="265" t="s">
        <v>869</v>
      </c>
      <c r="AX62" s="270" t="s">
        <v>875</v>
      </c>
    </row>
    <row r="63" spans="1:52">
      <c r="C63" s="1065" t="s">
        <v>945</v>
      </c>
      <c r="D63" s="1066" t="s">
        <v>949</v>
      </c>
      <c r="E63" s="1066"/>
      <c r="F63" s="1066"/>
      <c r="G63" s="1066"/>
      <c r="H63" s="1066" t="s">
        <v>950</v>
      </c>
      <c r="I63" s="1065" t="s">
        <v>947</v>
      </c>
      <c r="N63" s="4">
        <v>5</v>
      </c>
      <c r="O63" s="944" t="s">
        <v>831</v>
      </c>
      <c r="P63" s="757">
        <v>70</v>
      </c>
      <c r="Q63" s="757">
        <v>10</v>
      </c>
      <c r="R63" s="757">
        <v>25</v>
      </c>
      <c r="X63" s="1235" t="s">
        <v>1379</v>
      </c>
      <c r="Y63" s="292">
        <v>3.7</v>
      </c>
      <c r="Z63" s="292">
        <v>23.77</v>
      </c>
      <c r="AA63" s="292">
        <v>1.62</v>
      </c>
      <c r="AB63" s="292">
        <v>1.08</v>
      </c>
      <c r="AC63" s="292">
        <v>0.42</v>
      </c>
      <c r="AD63" s="292">
        <v>2.06</v>
      </c>
      <c r="AE63" s="292">
        <v>0.28000000000000003</v>
      </c>
      <c r="AF63" s="292">
        <v>9.2999999999999999E-2</v>
      </c>
      <c r="AG63" s="292">
        <v>8.59</v>
      </c>
      <c r="AH63" s="292">
        <v>0.3</v>
      </c>
      <c r="AR63" s="4">
        <v>1</v>
      </c>
      <c r="AS63" s="1238" t="s">
        <v>844</v>
      </c>
      <c r="AT63" s="1239"/>
      <c r="AU63" s="757"/>
      <c r="AV63" s="757"/>
      <c r="AW63" s="779">
        <f t="shared" ref="AW63:AW65" si="24">+AT63*AU63</f>
        <v>0</v>
      </c>
      <c r="AX63" s="781"/>
    </row>
    <row r="64" spans="1:52">
      <c r="B64" s="1065" t="s">
        <v>942</v>
      </c>
      <c r="C64" s="649">
        <f>(L28/1000)/(PI()*(4*0.0254/2)^2)</f>
        <v>0.24706069115650878</v>
      </c>
      <c r="D64" s="649">
        <f>((L27/(H27*0.01))-L27)+L27/4.2</f>
        <v>120.04737662337662</v>
      </c>
      <c r="E64" s="649"/>
      <c r="F64" s="649"/>
      <c r="G64" s="649"/>
      <c r="H64" s="649">
        <f>((L29/(H29*0.01))-L29)+L29/4.2</f>
        <v>112.9486530612245</v>
      </c>
      <c r="I64" s="649">
        <f>((H64-D64)*1000/3600)/(PI()*(4*2.54/2)^2)</f>
        <v>-2.4322066200619847E-2</v>
      </c>
      <c r="N64" s="4">
        <v>6</v>
      </c>
      <c r="O64" s="757" t="s">
        <v>832</v>
      </c>
      <c r="P64" s="757">
        <v>70</v>
      </c>
      <c r="Q64" s="757">
        <v>15</v>
      </c>
      <c r="R64" s="757">
        <v>25</v>
      </c>
      <c r="X64" s="1235" t="s">
        <v>1380</v>
      </c>
      <c r="Y64" s="292">
        <v>3.6870031867384379</v>
      </c>
      <c r="Z64" s="292">
        <v>23.816568965760027</v>
      </c>
      <c r="AA64" s="292">
        <v>1.7697694868930391</v>
      </c>
      <c r="AB64" s="292">
        <v>1.0806441908853175</v>
      </c>
      <c r="AC64" s="292">
        <v>0.4264693435527378</v>
      </c>
      <c r="AD64" s="292">
        <v>2.0689226257431597</v>
      </c>
      <c r="AE64" s="292">
        <v>0.28574795450745449</v>
      </c>
      <c r="AF64" s="292">
        <v>9.3422374532520253E-2</v>
      </c>
      <c r="AG64" s="292">
        <v>7.7579570974209977</v>
      </c>
      <c r="AH64" s="292">
        <v>0.28142453378266502</v>
      </c>
      <c r="AR64" s="4">
        <v>2</v>
      </c>
      <c r="AS64" s="1238" t="s">
        <v>845</v>
      </c>
      <c r="AT64" s="1239"/>
      <c r="AU64" s="757"/>
      <c r="AV64" s="757"/>
      <c r="AW64" s="779">
        <f t="shared" si="24"/>
        <v>0</v>
      </c>
      <c r="AX64" s="781"/>
    </row>
    <row r="65" spans="2:53">
      <c r="B65" s="1065" t="s">
        <v>946</v>
      </c>
      <c r="C65" s="649">
        <f>(L32/1000)/(PI()*(3*0.0254/2)^2)</f>
        <v>0.35246468346228166</v>
      </c>
      <c r="D65" s="649">
        <f>((L31/(H31*0.01))-L31)+L31/4.2</f>
        <v>147.33400000000003</v>
      </c>
      <c r="E65" s="649"/>
      <c r="F65" s="649"/>
      <c r="G65" s="649"/>
      <c r="H65" s="649">
        <f>((L33/(H33*0.01))-L33)+L33/4.2</f>
        <v>203.86495238095236</v>
      </c>
      <c r="I65" s="649">
        <f>((H65-D65)*1000/3600)/(PI()*(3*2.54/2)^2)</f>
        <v>0.34433722667785399</v>
      </c>
      <c r="N65" s="949">
        <v>7</v>
      </c>
      <c r="O65" s="950" t="s">
        <v>833</v>
      </c>
      <c r="P65" s="950">
        <v>85</v>
      </c>
      <c r="Q65" s="950">
        <v>30</v>
      </c>
      <c r="R65" s="950">
        <v>30</v>
      </c>
      <c r="X65" s="1235" t="s">
        <v>1381</v>
      </c>
      <c r="Y65" s="631">
        <f>Y64*Y77/100</f>
        <v>0.89129322155261848</v>
      </c>
      <c r="Z65" s="631">
        <f t="shared" ref="Z65:AG65" si="25">Z64*Z77/100</f>
        <v>0.50067486485844637</v>
      </c>
      <c r="AA65" s="631">
        <f t="shared" si="25"/>
        <v>0.39061835641006371</v>
      </c>
      <c r="AB65" s="631">
        <f t="shared" si="25"/>
        <v>0.44529562693037128</v>
      </c>
      <c r="AC65" s="631">
        <f t="shared" si="25"/>
        <v>8.8595645244630358E-2</v>
      </c>
      <c r="AD65" s="631">
        <f t="shared" si="25"/>
        <v>3.3918374679549591E-2</v>
      </c>
      <c r="AE65" s="631">
        <f t="shared" si="25"/>
        <v>5.4677270548409339E-2</v>
      </c>
      <c r="AF65" s="631">
        <f t="shared" si="25"/>
        <v>1.4973206507851802E-2</v>
      </c>
      <c r="AG65" s="631">
        <f t="shared" si="25"/>
        <v>0.34172677579266364</v>
      </c>
      <c r="AH65" s="631">
        <f>AH64*AH77/100</f>
        <v>0.10356885171109895</v>
      </c>
      <c r="AR65" s="4">
        <v>3</v>
      </c>
      <c r="AS65" s="1238" t="s">
        <v>846</v>
      </c>
      <c r="AT65" s="1239"/>
      <c r="AU65" s="757"/>
      <c r="AV65" s="757"/>
      <c r="AW65" s="779">
        <f t="shared" si="24"/>
        <v>0</v>
      </c>
      <c r="AX65" s="781"/>
    </row>
    <row r="66" spans="2:53">
      <c r="N66" s="4">
        <v>8</v>
      </c>
      <c r="O66" s="757" t="s">
        <v>834</v>
      </c>
      <c r="P66" s="757">
        <v>70</v>
      </c>
      <c r="Q66" s="757">
        <v>10</v>
      </c>
      <c r="R66" s="757">
        <v>25</v>
      </c>
      <c r="Y66" s="68"/>
      <c r="Z66" s="68"/>
      <c r="AA66" s="68"/>
      <c r="AB66" s="68"/>
      <c r="AC66" s="68"/>
      <c r="AD66" s="68"/>
      <c r="AE66" s="68"/>
      <c r="AF66" s="68"/>
      <c r="AG66" s="68"/>
      <c r="AH66" s="68"/>
      <c r="AR66" s="4">
        <v>4</v>
      </c>
      <c r="AS66" s="1238" t="s">
        <v>830</v>
      </c>
      <c r="AT66" s="779" cm="1">
        <f t="array" ref="AT66:AT75">TRANSPOSE(Y77:AH77)</f>
        <v>24.173920563954432</v>
      </c>
      <c r="AU66" s="779" cm="1">
        <f t="array" ref="AU66:AU75">TRANSPOSE(Y64:AH64)</f>
        <v>3.6870031867384379</v>
      </c>
      <c r="AV66" s="779" cm="1">
        <f t="array" ref="AV66:AV75">TRANSPOSE(Y71:AH71)</f>
        <v>5.6269080415249668</v>
      </c>
      <c r="AW66" s="779">
        <f>AT66*AU66/100</f>
        <v>0.89129322155261848</v>
      </c>
      <c r="AX66" s="986">
        <f>+AT66*AV66/100</f>
        <v>1.3602442801650096</v>
      </c>
      <c r="AZ66" s="1240" t="s">
        <v>761</v>
      </c>
      <c r="BA66" s="117">
        <f>+(AW67+AW71+AW74)/AW66*100</f>
        <v>98.320058330986086</v>
      </c>
    </row>
    <row r="67" spans="2:53">
      <c r="N67" s="4">
        <v>9</v>
      </c>
      <c r="O67" s="944" t="s">
        <v>835</v>
      </c>
      <c r="P67" s="757">
        <v>85</v>
      </c>
      <c r="Q67" s="757">
        <v>10</v>
      </c>
      <c r="R67" s="757">
        <v>25</v>
      </c>
      <c r="Y67" s="68"/>
      <c r="Z67" s="68"/>
      <c r="AA67" s="68"/>
      <c r="AB67" s="68"/>
      <c r="AC67" s="68"/>
      <c r="AD67" s="68"/>
      <c r="AE67" s="68"/>
      <c r="AF67" s="68"/>
      <c r="AG67" s="68"/>
      <c r="AH67" s="68"/>
      <c r="AR67" s="4">
        <v>5</v>
      </c>
      <c r="AS67" s="1238" t="s">
        <v>831</v>
      </c>
      <c r="AT67" s="779">
        <v>2.1022123949853708</v>
      </c>
      <c r="AU67" s="779">
        <v>23.816568965760027</v>
      </c>
      <c r="AV67" s="779">
        <v>17.860096894798428</v>
      </c>
      <c r="AW67" s="779">
        <f t="shared" ref="AW67:AW75" si="26">AT67*AU67/100</f>
        <v>0.50067486485844637</v>
      </c>
      <c r="AX67" s="986">
        <f>+AT67*AV67/100</f>
        <v>0.37545717067884987</v>
      </c>
      <c r="AZ67" s="1240" t="s">
        <v>883</v>
      </c>
      <c r="BA67" s="117">
        <f>+(AT67+AT71+AT74)/AT66*100</f>
        <v>33.699497187338437</v>
      </c>
    </row>
    <row r="68" spans="2:53">
      <c r="N68" s="949">
        <v>10</v>
      </c>
      <c r="O68" s="950" t="s">
        <v>836</v>
      </c>
      <c r="P68" s="950">
        <v>85</v>
      </c>
      <c r="Q68" s="950">
        <v>20</v>
      </c>
      <c r="R68" s="950">
        <v>30</v>
      </c>
      <c r="X68" s="1235" t="s">
        <v>1382</v>
      </c>
      <c r="Y68" s="1236">
        <f>1/Y69^2 *(Y70-Y71)^2 * 1/Y70^2</f>
        <v>136.04516211051683</v>
      </c>
      <c r="Z68" s="1236">
        <f t="shared" ref="Z68:AH68" si="27">1/Z69^2 *(Z70-Z71)^2 * 1/Z70^2</f>
        <v>1.5926947652512289</v>
      </c>
      <c r="AA68" s="1236">
        <f t="shared" si="27"/>
        <v>0.37039507621421452</v>
      </c>
      <c r="AB68" s="1236">
        <f t="shared" si="27"/>
        <v>14.731704299376544</v>
      </c>
      <c r="AC68" s="1236">
        <f t="shared" si="27"/>
        <v>23.006150817837444</v>
      </c>
      <c r="AD68" s="1236">
        <f t="shared" si="27"/>
        <v>0.77276967184714707</v>
      </c>
      <c r="AE68" s="1236">
        <f t="shared" si="27"/>
        <v>31.857182217114843</v>
      </c>
      <c r="AF68" s="1236">
        <f t="shared" si="27"/>
        <v>7.2312483228293889</v>
      </c>
      <c r="AG68" s="1236">
        <f t="shared" si="27"/>
        <v>6.2073455355931619</v>
      </c>
      <c r="AH68" s="1236">
        <f t="shared" si="27"/>
        <v>41.483142329100758</v>
      </c>
      <c r="AR68" s="4">
        <v>6</v>
      </c>
      <c r="AS68" s="1238" t="s">
        <v>832</v>
      </c>
      <c r="AT68" s="779">
        <v>22.071708168944816</v>
      </c>
      <c r="AU68" s="779">
        <v>1.7697694868930391</v>
      </c>
      <c r="AV68" s="779">
        <v>4.4617620985377879</v>
      </c>
      <c r="AW68" s="779">
        <f t="shared" si="26"/>
        <v>0.39061835641006371</v>
      </c>
      <c r="AX68" s="986">
        <f t="shared" ref="AX68:AX75" si="28">+AT68*AV68/100</f>
        <v>0.98478710958184867</v>
      </c>
      <c r="AZ68" s="1240" t="s">
        <v>753</v>
      </c>
      <c r="BA68" s="117">
        <f>+BA66/BA67</f>
        <v>2.9175526799232738</v>
      </c>
    </row>
    <row r="69" spans="2:53">
      <c r="N69" s="4">
        <v>11</v>
      </c>
      <c r="O69" s="943" t="s">
        <v>837</v>
      </c>
      <c r="P69" s="757">
        <v>70</v>
      </c>
      <c r="Q69" s="757">
        <v>10</v>
      </c>
      <c r="R69" s="757">
        <v>15</v>
      </c>
      <c r="X69" s="1235" t="s">
        <v>1378</v>
      </c>
      <c r="Y69" s="1241">
        <v>0.05</v>
      </c>
      <c r="Z69" s="1241">
        <v>0.05</v>
      </c>
      <c r="AA69" s="1241">
        <v>0.05</v>
      </c>
      <c r="AB69" s="1241">
        <v>0.05</v>
      </c>
      <c r="AC69" s="1241">
        <v>0.05</v>
      </c>
      <c r="AD69" s="1241">
        <v>0.05</v>
      </c>
      <c r="AE69" s="1241">
        <v>0.05</v>
      </c>
      <c r="AF69" s="1241">
        <v>0.05</v>
      </c>
      <c r="AG69" s="1241">
        <v>0.05</v>
      </c>
      <c r="AH69" s="1241">
        <v>0.05</v>
      </c>
      <c r="AR69" s="4">
        <v>7</v>
      </c>
      <c r="AS69" s="1238" t="s">
        <v>833</v>
      </c>
      <c r="AT69" s="779">
        <v>41.206498002414925</v>
      </c>
      <c r="AU69" s="779">
        <v>1.0806441908853175</v>
      </c>
      <c r="AV69" s="779">
        <v>3.9677242966893931</v>
      </c>
      <c r="AW69" s="779">
        <f t="shared" si="26"/>
        <v>0.44529562693037128</v>
      </c>
      <c r="AX69" s="986">
        <f t="shared" si="28"/>
        <v>1.6349602330566464</v>
      </c>
      <c r="AZ69" s="1240" t="s">
        <v>884</v>
      </c>
      <c r="BA69" s="117">
        <f>+SUM(AW67,AW71,AW74)/SUM(AT67,AT71,AT74)*100</f>
        <v>10.757026028354382</v>
      </c>
    </row>
    <row r="70" spans="2:53">
      <c r="N70" s="4">
        <v>12</v>
      </c>
      <c r="O70" s="944" t="s">
        <v>838</v>
      </c>
      <c r="P70" s="757">
        <v>70</v>
      </c>
      <c r="Q70" s="757">
        <v>10</v>
      </c>
      <c r="R70" s="757">
        <v>20</v>
      </c>
      <c r="X70" s="1235" t="s">
        <v>1379</v>
      </c>
      <c r="Y70" s="292">
        <v>13.5</v>
      </c>
      <c r="Z70" s="292">
        <v>16.8</v>
      </c>
      <c r="AA70" s="292">
        <v>4.33</v>
      </c>
      <c r="AB70" s="292">
        <v>4.91</v>
      </c>
      <c r="AC70" s="292">
        <v>4.53</v>
      </c>
      <c r="AD70" s="292">
        <v>3.81</v>
      </c>
      <c r="AE70" s="292">
        <v>2.65</v>
      </c>
      <c r="AF70" s="292">
        <v>1.87</v>
      </c>
      <c r="AG70" s="292">
        <v>11.7</v>
      </c>
      <c r="AH70" s="292">
        <v>4.2300000000000004</v>
      </c>
      <c r="AR70" s="4">
        <v>8</v>
      </c>
      <c r="AS70" s="1238" t="s">
        <v>834</v>
      </c>
      <c r="AT70" s="779">
        <v>20.774211929649404</v>
      </c>
      <c r="AU70" s="779">
        <v>0.4264693435527378</v>
      </c>
      <c r="AV70" s="779">
        <v>3.4435989226835235</v>
      </c>
      <c r="AW70" s="779">
        <f t="shared" si="26"/>
        <v>8.8595645244630358E-2</v>
      </c>
      <c r="AX70" s="986">
        <f t="shared" si="28"/>
        <v>0.71538053820539882</v>
      </c>
      <c r="AZ70" s="1240" t="s">
        <v>753</v>
      </c>
      <c r="BA70" s="117">
        <f>+BA69/AU66</f>
        <v>2.9175526799232743</v>
      </c>
    </row>
    <row r="71" spans="2:53">
      <c r="N71" s="949">
        <v>13</v>
      </c>
      <c r="O71" s="950" t="s">
        <v>839</v>
      </c>
      <c r="P71" s="950">
        <v>85</v>
      </c>
      <c r="Q71" s="950">
        <v>20</v>
      </c>
      <c r="R71" s="950">
        <v>30</v>
      </c>
      <c r="X71" s="1235" t="s">
        <v>1380</v>
      </c>
      <c r="Y71" s="292">
        <v>5.6269080415249668</v>
      </c>
      <c r="Z71" s="292">
        <v>17.860096894798428</v>
      </c>
      <c r="AA71" s="292">
        <v>4.4617620985377879</v>
      </c>
      <c r="AB71" s="292">
        <v>3.9677242966893931</v>
      </c>
      <c r="AC71" s="292">
        <v>3.4435989226835235</v>
      </c>
      <c r="AD71" s="292">
        <v>3.9774634425292605</v>
      </c>
      <c r="AE71" s="292">
        <v>3.3978587134607863</v>
      </c>
      <c r="AF71" s="292">
        <v>2.1214306676804866</v>
      </c>
      <c r="AG71" s="292">
        <v>13.157500883676702</v>
      </c>
      <c r="AH71" s="292">
        <v>2.8677833162631883</v>
      </c>
      <c r="AR71" s="4">
        <v>9</v>
      </c>
      <c r="AS71" s="1238" t="s">
        <v>835</v>
      </c>
      <c r="AT71" s="779">
        <v>1.6394220961920252</v>
      </c>
      <c r="AU71" s="779">
        <v>2.0689226257431597</v>
      </c>
      <c r="AV71" s="779">
        <v>3.9774634425292605</v>
      </c>
      <c r="AW71" s="779">
        <f t="shared" si="26"/>
        <v>3.3918374679549591E-2</v>
      </c>
      <c r="AX71" s="986">
        <f t="shared" si="28"/>
        <v>6.5207414544784695E-2</v>
      </c>
    </row>
    <row r="72" spans="2:53">
      <c r="X72" s="1235" t="s">
        <v>1381</v>
      </c>
      <c r="Y72" s="631">
        <f>Y71*Y77/100</f>
        <v>1.3602442801650096</v>
      </c>
      <c r="Z72" s="631">
        <f t="shared" ref="Z72:AH72" si="29">Z71*Z77/100</f>
        <v>0.37545717067884987</v>
      </c>
      <c r="AA72" s="631">
        <f t="shared" si="29"/>
        <v>0.98478710958184867</v>
      </c>
      <c r="AB72" s="631">
        <f t="shared" si="29"/>
        <v>1.6349602330566464</v>
      </c>
      <c r="AC72" s="631">
        <f t="shared" si="29"/>
        <v>0.71538053820539882</v>
      </c>
      <c r="AD72" s="631">
        <f t="shared" si="29"/>
        <v>6.5207414544784695E-2</v>
      </c>
      <c r="AE72" s="631">
        <f t="shared" si="29"/>
        <v>0.65017312365859392</v>
      </c>
      <c r="AF72" s="631">
        <f t="shared" si="29"/>
        <v>0.34001083400221871</v>
      </c>
      <c r="AG72" s="631">
        <f t="shared" si="29"/>
        <v>0.57956886046233369</v>
      </c>
      <c r="AH72" s="631">
        <f t="shared" si="29"/>
        <v>1.055391372704553</v>
      </c>
      <c r="AR72" s="4">
        <v>10</v>
      </c>
      <c r="AS72" s="1238" t="s">
        <v>836</v>
      </c>
      <c r="AT72" s="779">
        <v>19.13478983345896</v>
      </c>
      <c r="AU72" s="779">
        <v>0.28574795450745449</v>
      </c>
      <c r="AV72" s="779">
        <v>3.3978587134607863</v>
      </c>
      <c r="AW72" s="779">
        <f t="shared" si="26"/>
        <v>5.4677270548409339E-2</v>
      </c>
      <c r="AX72" s="986">
        <f t="shared" si="28"/>
        <v>0.65017312365859392</v>
      </c>
      <c r="AZ72" s="1240" t="s">
        <v>804</v>
      </c>
      <c r="BA72" s="117">
        <f>+AW74/AW69*100</f>
        <v>76.74155215678725</v>
      </c>
    </row>
    <row r="73" spans="2:53">
      <c r="O73" s="935" t="s">
        <v>879</v>
      </c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R73" s="4">
        <v>11</v>
      </c>
      <c r="AS73" s="1238" t="s">
        <v>837</v>
      </c>
      <c r="AT73" s="779">
        <v>16.027430883422515</v>
      </c>
      <c r="AU73" s="779">
        <v>9.3422374532520253E-2</v>
      </c>
      <c r="AV73" s="779">
        <v>2.1214306676804866</v>
      </c>
      <c r="AW73" s="779">
        <f t="shared" si="26"/>
        <v>1.4973206507851802E-2</v>
      </c>
      <c r="AX73" s="986">
        <f t="shared" si="28"/>
        <v>0.34001083400221871</v>
      </c>
      <c r="AZ73" s="1240" t="s">
        <v>943</v>
      </c>
      <c r="BA73" s="117">
        <f>+AW67/AW66*100</f>
        <v>56.173978748124973</v>
      </c>
    </row>
    <row r="74" spans="2:53">
      <c r="O74" s="104" t="s">
        <v>878</v>
      </c>
      <c r="X74" s="1235" t="s">
        <v>1381</v>
      </c>
      <c r="Y74" s="1242">
        <f>1/Y75^2 *(Y76-Y77)^2 * 1/Y76^2</f>
        <v>1.1242756320614045</v>
      </c>
      <c r="Z74" s="1242">
        <f t="shared" ref="Z74:AH74" si="30">1/Z75^2 *(Z76-Z77)^2 * 1/Z76^2</f>
        <v>0.98136363290642736</v>
      </c>
      <c r="AA74" s="1242">
        <f t="shared" si="30"/>
        <v>0.2924917463411616</v>
      </c>
      <c r="AB74" s="1242">
        <f t="shared" si="30"/>
        <v>4.8167603741840386E-3</v>
      </c>
      <c r="AC74" s="1242">
        <f t="shared" si="30"/>
        <v>9.7258631750731777</v>
      </c>
      <c r="AD74" s="1242">
        <f t="shared" si="30"/>
        <v>0.15906872130894167</v>
      </c>
      <c r="AE74" s="1242">
        <f t="shared" si="30"/>
        <v>0.98076438443732938</v>
      </c>
      <c r="AF74" s="1242">
        <f t="shared" si="30"/>
        <v>6.059304866402357</v>
      </c>
      <c r="AG74" s="1242">
        <f t="shared" si="30"/>
        <v>0.37663906753167342</v>
      </c>
      <c r="AH74" s="1242">
        <f t="shared" si="30"/>
        <v>7.5836201139313264</v>
      </c>
      <c r="AR74" s="4">
        <v>12</v>
      </c>
      <c r="AS74" s="1238" t="s">
        <v>838</v>
      </c>
      <c r="AT74" s="779">
        <v>4.4048551893418555</v>
      </c>
      <c r="AU74" s="779">
        <v>7.7579570974209977</v>
      </c>
      <c r="AV74" s="779">
        <v>13.157500883676702</v>
      </c>
      <c r="AW74" s="779">
        <f t="shared" si="26"/>
        <v>0.34172677579266364</v>
      </c>
      <c r="AX74" s="986">
        <f t="shared" si="28"/>
        <v>0.57956886046233369</v>
      </c>
      <c r="AZ74" s="1240" t="s">
        <v>951</v>
      </c>
      <c r="BA74" s="117">
        <f>+AW70/AW75*100</f>
        <v>85.542751301099941</v>
      </c>
    </row>
    <row r="75" spans="2:53" ht="15" thickBot="1">
      <c r="X75" s="1235" t="s">
        <v>1378</v>
      </c>
      <c r="Y75" s="1237">
        <v>0.05</v>
      </c>
      <c r="Z75" s="1237">
        <v>0.05</v>
      </c>
      <c r="AA75" s="1237">
        <v>0.05</v>
      </c>
      <c r="AB75" s="1237">
        <v>0.05</v>
      </c>
      <c r="AC75" s="1237">
        <v>0.05</v>
      </c>
      <c r="AD75" s="1237">
        <v>0.05</v>
      </c>
      <c r="AE75" s="1237">
        <v>0.05</v>
      </c>
      <c r="AF75" s="1237">
        <v>0.05</v>
      </c>
      <c r="AG75" s="1237">
        <v>0.05</v>
      </c>
      <c r="AH75" s="1237">
        <v>0.05</v>
      </c>
      <c r="AR75" s="4">
        <v>13</v>
      </c>
      <c r="AS75" s="278" t="s">
        <v>839</v>
      </c>
      <c r="AT75" s="796">
        <v>36.801642813089558</v>
      </c>
      <c r="AU75" s="796">
        <v>0.28142453378266502</v>
      </c>
      <c r="AV75" s="796">
        <v>2.8677833162631883</v>
      </c>
      <c r="AW75" s="796">
        <f t="shared" si="26"/>
        <v>0.10356885171109895</v>
      </c>
      <c r="AX75" s="910">
        <f t="shared" si="28"/>
        <v>1.055391372704553</v>
      </c>
      <c r="AZ75" s="1240" t="s">
        <v>941</v>
      </c>
      <c r="BA75" s="117">
        <f>+AW71/AW70*100</f>
        <v>38.284471641799264</v>
      </c>
    </row>
    <row r="76" spans="2:53">
      <c r="X76" s="1235" t="s">
        <v>1379</v>
      </c>
      <c r="Y76" s="631">
        <v>25.527272727272727</v>
      </c>
      <c r="Z76" s="631">
        <v>2.0030000000000001</v>
      </c>
      <c r="AA76" s="631">
        <v>22.685142857142861</v>
      </c>
      <c r="AB76" s="631">
        <v>41.064</v>
      </c>
      <c r="AC76" s="631">
        <v>24.612000000000002</v>
      </c>
      <c r="AD76" s="631">
        <v>1.6073684210526318</v>
      </c>
      <c r="AE76" s="631">
        <v>18.231999999999999</v>
      </c>
      <c r="AF76" s="631">
        <v>18.276923076923079</v>
      </c>
      <c r="AG76" s="631">
        <v>4.273714285714286</v>
      </c>
      <c r="AH76" s="631">
        <v>32.347636363636362</v>
      </c>
      <c r="AS76" s="68"/>
      <c r="AT76" s="68"/>
      <c r="AU76" s="68"/>
      <c r="AV76" s="68"/>
      <c r="AW76" s="68"/>
      <c r="AX76" s="68"/>
    </row>
    <row r="77" spans="2:53">
      <c r="X77" s="1235" t="s">
        <v>1380</v>
      </c>
      <c r="Y77" s="631">
        <v>24.173920563954432</v>
      </c>
      <c r="Z77" s="631">
        <v>2.1022123949853708</v>
      </c>
      <c r="AA77" s="631">
        <v>22.071708168944816</v>
      </c>
      <c r="AB77" s="631">
        <v>41.206498002414925</v>
      </c>
      <c r="AC77" s="631">
        <v>20.774211929649404</v>
      </c>
      <c r="AD77" s="631">
        <v>1.6394220961920252</v>
      </c>
      <c r="AE77" s="631">
        <v>19.13478983345896</v>
      </c>
      <c r="AF77" s="631">
        <v>16.027430883422515</v>
      </c>
      <c r="AG77" s="631">
        <v>4.4048551893418555</v>
      </c>
      <c r="AH77" s="631">
        <v>36.801642813089558</v>
      </c>
      <c r="AS77" s="68"/>
      <c r="AT77" s="68"/>
      <c r="AU77" s="68"/>
      <c r="AV77" s="68"/>
      <c r="AW77" s="68"/>
      <c r="AX77" s="68"/>
    </row>
    <row r="78" spans="2:53">
      <c r="AS78" s="68"/>
      <c r="AT78" s="68"/>
      <c r="AU78" s="68"/>
      <c r="AV78" s="68"/>
      <c r="AW78" s="68"/>
      <c r="AX78" s="68"/>
      <c r="AZ78" s="4" t="s">
        <v>1117</v>
      </c>
      <c r="BA78" s="4">
        <f>(AT74/(AT68+AT72))*100</f>
        <v>10.689710125536266</v>
      </c>
    </row>
    <row r="79" spans="2:53">
      <c r="AS79" s="68"/>
      <c r="AT79" s="68"/>
      <c r="AU79" s="68"/>
      <c r="AV79" s="68"/>
      <c r="AW79" s="68"/>
      <c r="AX79" s="68"/>
    </row>
    <row r="80" spans="2:53">
      <c r="AS80" s="757"/>
      <c r="AT80" s="757" t="s">
        <v>1383</v>
      </c>
      <c r="AU80" s="757" t="s">
        <v>1384</v>
      </c>
      <c r="AV80" s="757" t="s">
        <v>1385</v>
      </c>
      <c r="AW80" s="757" t="s">
        <v>869</v>
      </c>
      <c r="AX80" s="757" t="s">
        <v>875</v>
      </c>
    </row>
    <row r="81" spans="24:54">
      <c r="X81" s="4" t="s">
        <v>1386</v>
      </c>
      <c r="Y81" s="4">
        <f>SUM(Y61:AH61)</f>
        <v>8.9910910787199789</v>
      </c>
      <c r="AR81" s="4">
        <v>1</v>
      </c>
      <c r="AS81" s="757" t="s">
        <v>844</v>
      </c>
      <c r="AT81" s="757"/>
      <c r="AU81" s="757"/>
      <c r="AV81" s="757"/>
      <c r="AW81" s="757">
        <v>0</v>
      </c>
      <c r="AX81" s="757"/>
    </row>
    <row r="82" spans="24:54">
      <c r="X82" s="4" t="s">
        <v>1387</v>
      </c>
      <c r="Y82" s="4">
        <f>SUM(Y68:AH68)</f>
        <v>263.29779514568156</v>
      </c>
      <c r="AR82" s="4">
        <v>2</v>
      </c>
      <c r="AS82" s="757" t="s">
        <v>845</v>
      </c>
      <c r="AT82" s="757"/>
      <c r="AU82" s="757"/>
      <c r="AV82" s="757"/>
      <c r="AW82" s="757">
        <v>0</v>
      </c>
      <c r="AX82" s="757"/>
    </row>
    <row r="83" spans="24:54">
      <c r="X83" s="4" t="s">
        <v>33</v>
      </c>
      <c r="Y83" s="4">
        <f>SUM(Y74:AH74)</f>
        <v>27.288208100367982</v>
      </c>
      <c r="AR83" s="4">
        <v>3</v>
      </c>
      <c r="AS83" s="757" t="s">
        <v>846</v>
      </c>
      <c r="AT83" s="757"/>
      <c r="AU83" s="757"/>
      <c r="AV83" s="757"/>
      <c r="AW83" s="757">
        <v>0</v>
      </c>
      <c r="AX83" s="757"/>
    </row>
    <row r="84" spans="24:54">
      <c r="X84" s="1243" t="s">
        <v>1388</v>
      </c>
      <c r="Y84" s="1243">
        <f>SUM(Y81:Y83)</f>
        <v>299.57709432476952</v>
      </c>
      <c r="AR84" s="4">
        <v>4</v>
      </c>
      <c r="AS84" s="757" t="s">
        <v>830</v>
      </c>
      <c r="AT84" s="1244">
        <v>41.969842857142844</v>
      </c>
      <c r="AU84" s="1244">
        <v>3.8332110556253172</v>
      </c>
      <c r="AV84" s="1244">
        <v>5.9230305017972915</v>
      </c>
      <c r="AW84" s="1244">
        <v>1.6087926564285722</v>
      </c>
      <c r="AX84" s="1244">
        <v>2.4858865939849624</v>
      </c>
      <c r="AY84" s="68">
        <v>1</v>
      </c>
      <c r="AZ84" s="4" t="s">
        <v>761</v>
      </c>
      <c r="BA84" s="117">
        <f>+(AW85+AW89+AW92)/AW84*100</f>
        <v>98.526305301806943</v>
      </c>
    </row>
    <row r="85" spans="24:54">
      <c r="AR85" s="4">
        <v>5</v>
      </c>
      <c r="AS85" s="757" t="s">
        <v>831</v>
      </c>
      <c r="AT85" s="1244">
        <v>3.4051</v>
      </c>
      <c r="AU85" s="1244">
        <v>26.146999999999998</v>
      </c>
      <c r="AV85" s="1244">
        <v>21</v>
      </c>
      <c r="AW85" s="1244">
        <v>0.89033149699999992</v>
      </c>
      <c r="AX85" s="1244">
        <v>0.7150709999999999</v>
      </c>
      <c r="AY85" s="68">
        <v>2</v>
      </c>
      <c r="AZ85" s="4" t="s">
        <v>883</v>
      </c>
      <c r="BA85" s="117">
        <f>+(AT85+AT89+AT92)/AT84*100</f>
        <v>32.509165953047109</v>
      </c>
    </row>
    <row r="86" spans="24:54">
      <c r="AR86" s="4">
        <v>6</v>
      </c>
      <c r="AS86" s="757" t="s">
        <v>832</v>
      </c>
      <c r="AT86" s="1244">
        <v>38.564742857142861</v>
      </c>
      <c r="AU86" s="1244">
        <v>1.863</v>
      </c>
      <c r="AV86" s="1244">
        <v>4.59179930369217</v>
      </c>
      <c r="AW86" s="1244">
        <v>0.71846115942857158</v>
      </c>
      <c r="AX86" s="1244">
        <v>1.7708155939849619</v>
      </c>
      <c r="AY86" s="68">
        <v>3</v>
      </c>
      <c r="AZ86" s="4" t="s">
        <v>753</v>
      </c>
      <c r="BA86" s="117">
        <f>+BA84/BA85</f>
        <v>3.0307238716646312</v>
      </c>
    </row>
    <row r="87" spans="24:54">
      <c r="X87" s="4" t="s">
        <v>1389</v>
      </c>
      <c r="Y87" s="4" t="s">
        <v>1390</v>
      </c>
      <c r="Z87" s="4" t="s">
        <v>33</v>
      </c>
      <c r="AC87" s="4" t="s">
        <v>1391</v>
      </c>
      <c r="AD87" s="4" t="s">
        <v>1392</v>
      </c>
      <c r="AE87" s="4" t="s">
        <v>1393</v>
      </c>
      <c r="AR87" s="4">
        <v>7</v>
      </c>
      <c r="AS87" s="757" t="s">
        <v>833</v>
      </c>
      <c r="AT87" s="1244">
        <v>67.108441558441584</v>
      </c>
      <c r="AU87" s="1244">
        <v>1.2054222644183397</v>
      </c>
      <c r="AV87" s="1244">
        <v>4.1040232052568921</v>
      </c>
      <c r="AW87" s="1244">
        <v>0.80894009584962456</v>
      </c>
      <c r="AX87" s="1244">
        <v>2.7541460142447027</v>
      </c>
      <c r="AY87" s="68">
        <v>4</v>
      </c>
      <c r="AZ87" s="4" t="s">
        <v>884</v>
      </c>
      <c r="BA87" s="117">
        <f>+SUM(AW85,AW89,AW92)/SUM(AT85,AT89,AT92)*100</f>
        <v>11.617404251412431</v>
      </c>
    </row>
    <row r="88" spans="24:54">
      <c r="X88" s="4" cm="1">
        <f t="array" ref="X88:X97">TRANSPOSE(Y65:AH65)</f>
        <v>0.89129322155261848</v>
      </c>
      <c r="Y88" s="4" cm="1">
        <f t="array" ref="Y88:Y97">TRANSPOSE(Y72:AH72)</f>
        <v>1.3602442801650096</v>
      </c>
      <c r="Z88" s="4" cm="1">
        <f t="array" ref="Z88:Z97">TRANSPOSE(Y77:AH77)</f>
        <v>24.173920563954432</v>
      </c>
      <c r="AC88" s="4" cm="1">
        <f t="array" ref="AC88:AC92">MMULT(Y46:AH50,_xlfn.ANCHORARRAY(X88))</f>
        <v>2.8410840346992927E-10</v>
      </c>
      <c r="AD88" s="4" cm="1">
        <f t="array" ref="AD88:AD92">MMULT(Y46:AH50,_xlfn.ANCHORARRAY(Y88))</f>
        <v>-9.5688901247115155E-11</v>
      </c>
      <c r="AE88" s="4" cm="1">
        <f t="array" ref="AE88:AE92">MMULT(Y46:AH50,_xlfn.ANCHORARRAY(Z88))</f>
        <v>2.4243718144134618E-11</v>
      </c>
      <c r="AR88" s="4">
        <v>8</v>
      </c>
      <c r="AS88" s="757" t="s">
        <v>834</v>
      </c>
      <c r="AT88" s="1244">
        <v>31.517330280246082</v>
      </c>
      <c r="AU88" s="1244">
        <v>0.46199999999999997</v>
      </c>
      <c r="AV88" s="1244">
        <v>3.5693049322524204</v>
      </c>
      <c r="AW88" s="1244">
        <v>0.14561006589473688</v>
      </c>
      <c r="AX88" s="1244">
        <v>1.1249496242071091</v>
      </c>
      <c r="AY88" s="68">
        <v>5</v>
      </c>
      <c r="AZ88" s="4" t="s">
        <v>753</v>
      </c>
      <c r="BA88" s="117">
        <f>+BA87/AU84</f>
        <v>3.0307238716646316</v>
      </c>
    </row>
    <row r="89" spans="24:54">
      <c r="X89" s="4">
        <v>0.50067486485844637</v>
      </c>
      <c r="Y89" s="4">
        <v>0.37545717067884987</v>
      </c>
      <c r="Z89" s="4">
        <v>2.1022123949853708</v>
      </c>
      <c r="AC89" s="4">
        <v>2.8101763971388749E-11</v>
      </c>
      <c r="AD89" s="4">
        <v>1.8379620048136758E-10</v>
      </c>
      <c r="AE89" s="4">
        <v>-1.1148415524075972E-11</v>
      </c>
      <c r="AR89" s="4">
        <v>9</v>
      </c>
      <c r="AS89" s="757" t="s">
        <v>835</v>
      </c>
      <c r="AT89" s="1244">
        <v>2.9736315789473688</v>
      </c>
      <c r="AU89" s="1244">
        <v>1.8540000000000001</v>
      </c>
      <c r="AV89" s="1244">
        <v>4.7625000000000002</v>
      </c>
      <c r="AW89" s="1244">
        <v>5.5131129473684225E-2</v>
      </c>
      <c r="AX89" s="1244">
        <v>0.14161920394736843</v>
      </c>
      <c r="AY89" s="68">
        <v>6</v>
      </c>
    </row>
    <row r="90" spans="24:54">
      <c r="X90" s="4">
        <v>0.39061835641006371</v>
      </c>
      <c r="Y90" s="4">
        <v>0.98478710958184867</v>
      </c>
      <c r="Z90" s="4">
        <v>22.071708168944816</v>
      </c>
      <c r="AC90" s="4">
        <v>-5.7339130665745586E-10</v>
      </c>
      <c r="AD90" s="4">
        <v>-1.1024026136396969E-10</v>
      </c>
      <c r="AE90" s="4">
        <v>-1.6484591469634324E-11</v>
      </c>
      <c r="AR90" s="4">
        <v>10</v>
      </c>
      <c r="AS90" s="757" t="s">
        <v>836</v>
      </c>
      <c r="AT90" s="1244">
        <v>28.543698701298712</v>
      </c>
      <c r="AU90" s="1244">
        <v>0.31698392478104459</v>
      </c>
      <c r="AV90" s="1244">
        <v>3.4449999999999998</v>
      </c>
      <c r="AW90" s="1244">
        <v>9.0478936421052703E-2</v>
      </c>
      <c r="AX90" s="1244">
        <v>0.98333042025974071</v>
      </c>
      <c r="AY90" s="68">
        <v>7</v>
      </c>
      <c r="AZ90" s="4" t="s">
        <v>804</v>
      </c>
      <c r="BA90" s="4">
        <f>+AW92/AW87*100</f>
        <v>79.069061003879469</v>
      </c>
    </row>
    <row r="91" spans="24:54">
      <c r="X91" s="4">
        <v>0.44529562693037128</v>
      </c>
      <c r="Y91" s="4">
        <v>1.6349602330566464</v>
      </c>
      <c r="Z91" s="4">
        <v>41.206498002414925</v>
      </c>
      <c r="AC91" s="4">
        <v>-4.1383216298207515E-11</v>
      </c>
      <c r="AD91" s="4">
        <v>4.9693538173301022E-10</v>
      </c>
      <c r="AE91" s="4">
        <v>1.7635670701565687E-11</v>
      </c>
      <c r="AR91" s="4">
        <v>11</v>
      </c>
      <c r="AS91" s="757" t="s">
        <v>837</v>
      </c>
      <c r="AT91" s="1244">
        <v>28.325796992481191</v>
      </c>
      <c r="AU91" s="1244">
        <v>8.3699999999999997E-2</v>
      </c>
      <c r="AV91" s="1244">
        <v>2.1505000000000005</v>
      </c>
      <c r="AW91" s="1244">
        <v>2.3708692082706758E-2</v>
      </c>
      <c r="AX91" s="1244">
        <v>0.6091462643233081</v>
      </c>
      <c r="AY91" s="68">
        <v>8</v>
      </c>
      <c r="AZ91" s="4" t="s">
        <v>943</v>
      </c>
      <c r="BA91" s="4">
        <f>+AW85/AW84*100</f>
        <v>55.341593799693555</v>
      </c>
    </row>
    <row r="92" spans="24:54">
      <c r="X92" s="4">
        <v>8.8595645244630358E-2</v>
      </c>
      <c r="Y92" s="4">
        <v>0.71538053820539882</v>
      </c>
      <c r="Z92" s="4">
        <v>20.774211929649404</v>
      </c>
      <c r="AC92" s="4">
        <v>1.667142812689093E-11</v>
      </c>
      <c r="AD92" s="4">
        <v>2.0201618156079348E-12</v>
      </c>
      <c r="AE92" s="4">
        <v>-1.5809575870662229E-12</v>
      </c>
      <c r="AR92" s="4">
        <v>12</v>
      </c>
      <c r="AS92" s="757" t="s">
        <v>838</v>
      </c>
      <c r="AT92" s="1244">
        <v>7.2653142857142861</v>
      </c>
      <c r="AU92" s="1244">
        <v>8.803766949626139</v>
      </c>
      <c r="AV92" s="1244">
        <v>14.039999999999997</v>
      </c>
      <c r="AW92" s="1244">
        <v>0.63962133787218067</v>
      </c>
      <c r="AX92" s="1244">
        <v>1.0200501257142855</v>
      </c>
      <c r="AY92" s="68">
        <v>9</v>
      </c>
      <c r="AZ92" s="4" t="s">
        <v>951</v>
      </c>
      <c r="BA92" s="4">
        <f>+AW88/AW93*100</f>
        <v>85.997598632358731</v>
      </c>
      <c r="BB92" s="4">
        <f>+AT88/AT93*100</f>
        <v>52.666582975535256</v>
      </c>
    </row>
    <row r="93" spans="24:54">
      <c r="X93" s="4">
        <v>3.3918374679549591E-2</v>
      </c>
      <c r="Y93" s="4">
        <v>6.5207414544784695E-2</v>
      </c>
      <c r="Z93" s="4">
        <v>1.6394220961920252</v>
      </c>
      <c r="AR93" s="4">
        <v>13</v>
      </c>
      <c r="AS93" s="757" t="s">
        <v>839</v>
      </c>
      <c r="AT93" s="1244">
        <v>59.843127272727273</v>
      </c>
      <c r="AU93" s="1244">
        <v>0.28293768339644992</v>
      </c>
      <c r="AV93" s="1244">
        <v>2.8977360769057086</v>
      </c>
      <c r="AW93" s="1244">
        <v>0.16931875797744367</v>
      </c>
      <c r="AX93" s="1244">
        <v>1.7340958885304176</v>
      </c>
      <c r="AY93" s="68">
        <v>10</v>
      </c>
      <c r="AZ93" s="4" t="s">
        <v>941</v>
      </c>
      <c r="BA93" s="4">
        <f>+AW89/AW88*100</f>
        <v>37.862169167301332</v>
      </c>
    </row>
    <row r="94" spans="24:54">
      <c r="X94" s="4">
        <v>5.4677270548409339E-2</v>
      </c>
      <c r="Y94" s="4">
        <v>0.65017312365859392</v>
      </c>
      <c r="Z94" s="4">
        <v>19.13478983345896</v>
      </c>
    </row>
    <row r="95" spans="24:54">
      <c r="X95" s="4">
        <v>1.4973206507851802E-2</v>
      </c>
      <c r="Y95" s="4">
        <v>0.34001083400221871</v>
      </c>
      <c r="Z95" s="4">
        <v>16.027430883422515</v>
      </c>
    </row>
    <row r="96" spans="24:54">
      <c r="X96" s="4">
        <v>0.34172677579266364</v>
      </c>
      <c r="Y96" s="4">
        <v>0.57956886046233369</v>
      </c>
      <c r="Z96" s="4">
        <v>4.4048551893418555</v>
      </c>
      <c r="AS96" s="4" t="s">
        <v>1394</v>
      </c>
      <c r="AZ96" s="4" t="s">
        <v>1117</v>
      </c>
      <c r="BA96" s="4">
        <f>(AT92/(AT86+AT90))*100</f>
        <v>10.826230079247583</v>
      </c>
    </row>
    <row r="97" spans="24:48">
      <c r="X97" s="4">
        <v>0.10356885171109895</v>
      </c>
      <c r="Y97" s="4">
        <v>1.055391372704553</v>
      </c>
      <c r="Z97" s="4">
        <v>36.801642813089558</v>
      </c>
      <c r="AT97" s="4" t="s">
        <v>1373</v>
      </c>
      <c r="AU97" s="4" t="s">
        <v>1374</v>
      </c>
    </row>
    <row r="98" spans="24:48">
      <c r="AS98" s="264" t="s">
        <v>851</v>
      </c>
      <c r="AT98" s="631">
        <f>AW67/AW66</f>
        <v>0.56173978748124975</v>
      </c>
      <c r="AU98" s="631">
        <f>AT67/AT66</f>
        <v>8.6961996479791748E-2</v>
      </c>
      <c r="AV98" s="631">
        <f>AW85/AW84*100</f>
        <v>55.341593799693555</v>
      </c>
    </row>
    <row r="99" spans="24:48">
      <c r="AS99" s="264" t="s">
        <v>853</v>
      </c>
      <c r="AT99" s="631"/>
      <c r="AU99" s="631"/>
      <c r="AV99" s="631"/>
    </row>
    <row r="100" spans="24:48">
      <c r="AS100" s="264" t="s">
        <v>854</v>
      </c>
      <c r="AT100" s="631">
        <f>AW74/AW69</f>
        <v>0.76741552156787252</v>
      </c>
      <c r="AU100" s="631">
        <f>AT74/AT69</f>
        <v>0.10689710125533373</v>
      </c>
      <c r="AV100" s="631">
        <f>AW92/AW87*100</f>
        <v>79.069061003879469</v>
      </c>
    </row>
    <row r="101" spans="24:48">
      <c r="Y101" s="4" t="s">
        <v>863</v>
      </c>
      <c r="Z101" s="4" t="s">
        <v>874</v>
      </c>
      <c r="AA101" s="4" t="s">
        <v>873</v>
      </c>
      <c r="AB101" s="4" t="s">
        <v>869</v>
      </c>
      <c r="AC101" s="4" t="s">
        <v>875</v>
      </c>
      <c r="AS101" s="264" t="s">
        <v>855</v>
      </c>
      <c r="AT101" s="631">
        <f>AW70/AW75</f>
        <v>0.8554275130109994</v>
      </c>
      <c r="AU101" s="631">
        <f>AT70/AT75</f>
        <v>0.56449142868862534</v>
      </c>
      <c r="AV101" s="631">
        <f>AW88/AW93*100</f>
        <v>85.997598632358731</v>
      </c>
    </row>
    <row r="102" spans="24:48">
      <c r="X102" s="4" t="s">
        <v>844</v>
      </c>
      <c r="Y102" s="4" t="e">
        <v>#DIV/0!</v>
      </c>
      <c r="AB102" s="4" t="e">
        <v>#DIV/0!</v>
      </c>
      <c r="AS102" s="264" t="s">
        <v>856</v>
      </c>
      <c r="AT102" s="631">
        <f>AW71/AW70</f>
        <v>0.38284471641799267</v>
      </c>
      <c r="AU102" s="631">
        <f>AT71/AT70</f>
        <v>7.8916211201841377E-2</v>
      </c>
      <c r="AV102" s="631">
        <f>AW89/AW88*100</f>
        <v>37.862169167301332</v>
      </c>
    </row>
    <row r="103" spans="24:48">
      <c r="X103" s="4" t="s">
        <v>845</v>
      </c>
      <c r="Y103" s="4" t="e">
        <v>#DIV/0!</v>
      </c>
      <c r="AB103" s="4" t="e">
        <v>#DIV/0!</v>
      </c>
    </row>
    <row r="104" spans="24:48">
      <c r="X104" s="4" t="s">
        <v>846</v>
      </c>
      <c r="Y104" s="4" t="e">
        <v>#DIV/0!</v>
      </c>
      <c r="AB104" s="4" t="e">
        <v>#DIV/0!</v>
      </c>
      <c r="AU104" s="4" t="s">
        <v>1374</v>
      </c>
      <c r="AV104" s="4" t="s">
        <v>1373</v>
      </c>
    </row>
    <row r="105" spans="24:48">
      <c r="X105" s="4" t="s">
        <v>830</v>
      </c>
      <c r="Y105" s="4">
        <v>25.527272727272699</v>
      </c>
      <c r="Z105" s="4">
        <v>3.7</v>
      </c>
      <c r="AA105" s="4">
        <v>13.5</v>
      </c>
      <c r="AB105" s="4">
        <v>0.94450909090909096</v>
      </c>
      <c r="AC105" s="4">
        <v>3.4461818181818185</v>
      </c>
      <c r="AD105" s="4">
        <f>1/AC105</f>
        <v>0.290176216102142</v>
      </c>
      <c r="AE105" s="4">
        <f>20/$AD$105*AD105/100</f>
        <v>0.20000000000000004</v>
      </c>
      <c r="AG105" s="4">
        <v>0.20000000000000004</v>
      </c>
      <c r="AS105" s="4" t="s">
        <v>851</v>
      </c>
      <c r="AU105" s="4">
        <v>8.5811425008859618E-2</v>
      </c>
      <c r="AV105" s="4">
        <v>0.568676146705834</v>
      </c>
    </row>
    <row r="106" spans="24:48">
      <c r="X106" s="4" t="s">
        <v>831</v>
      </c>
      <c r="Y106" s="4">
        <v>2.0030000000000001</v>
      </c>
      <c r="Z106" s="4">
        <v>23.77</v>
      </c>
      <c r="AA106" s="4">
        <v>16.8</v>
      </c>
      <c r="AB106" s="4">
        <v>0.47611310000000001</v>
      </c>
      <c r="AC106" s="4">
        <v>0.33650400000000003</v>
      </c>
      <c r="AD106" s="4">
        <f t="shared" ref="AD106:AD114" si="31">1/AC106</f>
        <v>2.9717328768751634</v>
      </c>
      <c r="AE106" s="4">
        <f t="shared" ref="AE106:AE114" si="32">20/$AD$105*AD106/100</f>
        <v>2.0482263617560674</v>
      </c>
      <c r="AG106" s="4">
        <v>2.0482263617560674</v>
      </c>
      <c r="AS106" s="4" t="s">
        <v>853</v>
      </c>
    </row>
    <row r="107" spans="24:48">
      <c r="X107" s="4" t="s">
        <v>832</v>
      </c>
      <c r="Y107" s="4">
        <v>22.685142857142861</v>
      </c>
      <c r="Z107" s="4">
        <v>1.62</v>
      </c>
      <c r="AA107" s="4">
        <v>4.33</v>
      </c>
      <c r="AB107" s="4">
        <v>0.36749931428571436</v>
      </c>
      <c r="AC107" s="4">
        <v>0.98226668571428588</v>
      </c>
      <c r="AD107" s="4">
        <f t="shared" si="31"/>
        <v>1.0180534620013288</v>
      </c>
      <c r="AE107" s="4">
        <f t="shared" si="32"/>
        <v>0.70167946613720689</v>
      </c>
      <c r="AG107" s="4">
        <v>0.70167946613720689</v>
      </c>
      <c r="AS107" s="264" t="s">
        <v>854</v>
      </c>
      <c r="AU107" s="4">
        <v>9.6588737608263309E-2</v>
      </c>
      <c r="AV107" s="4">
        <v>0.76109496681985755</v>
      </c>
    </row>
    <row r="108" spans="24:48">
      <c r="X108" s="4" t="s">
        <v>833</v>
      </c>
      <c r="Y108" s="4">
        <v>41.064</v>
      </c>
      <c r="Z108" s="4">
        <v>1.08</v>
      </c>
      <c r="AA108" s="4">
        <v>4.91</v>
      </c>
      <c r="AB108" s="4">
        <v>0.44349120000000009</v>
      </c>
      <c r="AC108" s="4">
        <v>2.0162424000000003</v>
      </c>
      <c r="AD108" s="4">
        <f t="shared" si="31"/>
        <v>0.49597211128979324</v>
      </c>
      <c r="AE108" s="4">
        <f t="shared" si="32"/>
        <v>0.34184201445042706</v>
      </c>
      <c r="AG108" s="4">
        <v>0.34184201445042706</v>
      </c>
      <c r="AS108" s="264" t="s">
        <v>855</v>
      </c>
      <c r="AU108" s="4">
        <v>0.55193859629457975</v>
      </c>
      <c r="AV108" s="4">
        <v>0.84983674039082824</v>
      </c>
    </row>
    <row r="109" spans="24:48">
      <c r="X109" s="4" t="s">
        <v>834</v>
      </c>
      <c r="Y109" s="4">
        <v>24.612000000000002</v>
      </c>
      <c r="Z109" s="4">
        <v>0.42</v>
      </c>
      <c r="AA109" s="4">
        <v>4.53</v>
      </c>
      <c r="AB109" s="4">
        <v>0.1033704</v>
      </c>
      <c r="AC109" s="4">
        <v>1.1149236000000002</v>
      </c>
      <c r="AD109" s="4">
        <f t="shared" si="31"/>
        <v>0.89692244383381947</v>
      </c>
      <c r="AE109" s="4">
        <f t="shared" si="32"/>
        <v>0.61819156365186245</v>
      </c>
      <c r="AG109" s="4">
        <v>0.61819156365186245</v>
      </c>
      <c r="AS109" s="264" t="s">
        <v>856</v>
      </c>
      <c r="AU109" s="4">
        <v>8.1224175490353309E-2</v>
      </c>
      <c r="AV109" s="4">
        <v>0.39146289754326186</v>
      </c>
    </row>
    <row r="110" spans="24:48">
      <c r="X110" s="4" t="s">
        <v>835</v>
      </c>
      <c r="Y110" s="4">
        <v>1.6073684210526318</v>
      </c>
      <c r="Z110" s="4">
        <v>2.06</v>
      </c>
      <c r="AA110" s="4">
        <v>3.81</v>
      </c>
      <c r="AB110" s="4">
        <v>3.3111789473684212E-2</v>
      </c>
      <c r="AC110" s="4">
        <v>6.1240736842105271E-2</v>
      </c>
      <c r="AD110" s="4">
        <f t="shared" si="31"/>
        <v>16.329000132350842</v>
      </c>
      <c r="AE110" s="4">
        <f t="shared" si="32"/>
        <v>11.254540673039196</v>
      </c>
      <c r="AG110" s="4">
        <v>11.254540673039196</v>
      </c>
      <c r="AS110" s="264"/>
    </row>
    <row r="111" spans="24:48">
      <c r="X111" s="4" t="s">
        <v>836</v>
      </c>
      <c r="Y111" s="4">
        <v>18.231999999999999</v>
      </c>
      <c r="Z111" s="4">
        <v>0.28000000000000003</v>
      </c>
      <c r="AA111" s="4">
        <v>2.65</v>
      </c>
      <c r="AB111" s="4">
        <v>5.1049600000000001E-2</v>
      </c>
      <c r="AC111" s="4">
        <v>0.48314799999999997</v>
      </c>
      <c r="AD111" s="4">
        <f t="shared" si="31"/>
        <v>2.0697591628238139</v>
      </c>
      <c r="AE111" s="4">
        <f t="shared" si="32"/>
        <v>1.42655327898773</v>
      </c>
      <c r="AG111" s="4">
        <v>1.42655327898773</v>
      </c>
      <c r="AS111" s="264"/>
    </row>
    <row r="112" spans="24:48">
      <c r="X112" s="4" t="s">
        <v>837</v>
      </c>
      <c r="Y112" s="4">
        <v>18.276923076923079</v>
      </c>
      <c r="Z112" s="4">
        <v>9.2999999999999999E-2</v>
      </c>
      <c r="AA112" s="4">
        <v>1.87</v>
      </c>
      <c r="AB112" s="4">
        <v>1.6997538461538463E-2</v>
      </c>
      <c r="AC112" s="4">
        <v>0.34177846153846159</v>
      </c>
      <c r="AD112" s="4">
        <f t="shared" si="31"/>
        <v>2.9258719098291288</v>
      </c>
      <c r="AE112" s="4">
        <f t="shared" si="32"/>
        <v>2.0166173155964118</v>
      </c>
      <c r="AG112" s="4">
        <v>2.0166173155964118</v>
      </c>
    </row>
    <row r="113" spans="24:33">
      <c r="X113" s="4" t="s">
        <v>838</v>
      </c>
      <c r="Y113" s="4">
        <v>4.273714285714286</v>
      </c>
      <c r="Z113" s="4">
        <v>8.59</v>
      </c>
      <c r="AA113" s="4">
        <v>11.7</v>
      </c>
      <c r="AB113" s="4">
        <v>0.36711205714285716</v>
      </c>
      <c r="AC113" s="4">
        <v>0.50002457142857148</v>
      </c>
      <c r="AD113" s="4">
        <f t="shared" si="31"/>
        <v>1.9999017191155175</v>
      </c>
      <c r="AE113" s="4">
        <f t="shared" si="32"/>
        <v>1.3784049885132919</v>
      </c>
      <c r="AG113" s="4">
        <v>1.3784049885132919</v>
      </c>
    </row>
    <row r="114" spans="24:33">
      <c r="X114" s="4" t="s">
        <v>839</v>
      </c>
      <c r="Y114" s="4">
        <v>32.347636363636362</v>
      </c>
      <c r="Z114" s="4">
        <v>0.3</v>
      </c>
      <c r="AA114" s="4">
        <v>4.2300000000000004</v>
      </c>
      <c r="AB114" s="4">
        <v>9.7042909090909082E-2</v>
      </c>
      <c r="AC114" s="4">
        <v>1.3683050181818184</v>
      </c>
      <c r="AD114" s="4">
        <f t="shared" si="31"/>
        <v>0.73083120116652345</v>
      </c>
      <c r="AE114" s="4">
        <f t="shared" si="32"/>
        <v>0.50371543952401043</v>
      </c>
      <c r="AG114" s="4">
        <v>0.50371543952401043</v>
      </c>
    </row>
  </sheetData>
  <mergeCells count="14">
    <mergeCell ref="Z35:AA35"/>
    <mergeCell ref="AC35:AD35"/>
    <mergeCell ref="O4:T4"/>
    <mergeCell ref="BA5:BB5"/>
    <mergeCell ref="BD5:BE5"/>
    <mergeCell ref="BA11:BB11"/>
    <mergeCell ref="BD11:BE11"/>
    <mergeCell ref="BA17:BB17"/>
    <mergeCell ref="BD17:BE17"/>
    <mergeCell ref="O22:T22"/>
    <mergeCell ref="Z23:AA23"/>
    <mergeCell ref="AC23:AD23"/>
    <mergeCell ref="Z29:AA29"/>
    <mergeCell ref="AC29:AD29"/>
  </mergeCells>
  <pageMargins left="0.7" right="0.7" top="0.75" bottom="0.75" header="0.3" footer="0.3"/>
  <drawing r:id="rId1"/>
  <legacy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584F4-9DD5-4A68-8E94-2D638F878FDC}">
  <dimension ref="A2:AU70"/>
  <sheetViews>
    <sheetView topLeftCell="H1" zoomScale="85" zoomScaleNormal="85" workbookViewId="0">
      <selection activeCell="H42" sqref="H42"/>
    </sheetView>
  </sheetViews>
  <sheetFormatPr baseColWidth="10" defaultColWidth="10.7265625" defaultRowHeight="14.5"/>
  <cols>
    <col min="1" max="1" width="10.7265625" style="4"/>
    <col min="2" max="2" width="25.453125" style="4" bestFit="1" customWidth="1"/>
    <col min="3" max="3" width="12.54296875" style="4" bestFit="1" customWidth="1"/>
    <col min="4" max="4" width="18" style="4" bestFit="1" customWidth="1"/>
    <col min="5" max="7" width="10.7265625" style="4"/>
    <col min="8" max="8" width="13.26953125" style="4" bestFit="1" customWidth="1"/>
    <col min="9" max="9" width="14.453125" style="4" customWidth="1"/>
    <col min="10" max="11" width="10.7265625" style="4" customWidth="1"/>
    <col min="12" max="12" width="25.453125" style="4" customWidth="1"/>
    <col min="13" max="14" width="10.7265625" style="4" customWidth="1"/>
    <col min="15" max="15" width="11.7265625" style="4" customWidth="1"/>
    <col min="16" max="17" width="10.7265625" style="4" customWidth="1"/>
    <col min="18" max="18" width="10.7265625" style="4"/>
    <col min="19" max="19" width="12.7265625" style="4" bestFit="1" customWidth="1"/>
    <col min="20" max="16384" width="10.7265625" style="4"/>
  </cols>
  <sheetData>
    <row r="2" spans="11:47" ht="61">
      <c r="R2" s="4" t="s">
        <v>880</v>
      </c>
      <c r="S2" s="4">
        <f>+SUMX2MY2(P9:Q18,P27:Q36)</f>
        <v>14.70367960463733</v>
      </c>
      <c r="AF2" s="1183" t="s">
        <v>809</v>
      </c>
      <c r="AG2" s="1183" t="s">
        <v>1170</v>
      </c>
      <c r="AH2" s="1183" t="s">
        <v>1157</v>
      </c>
      <c r="AI2" s="1183" t="s">
        <v>1158</v>
      </c>
      <c r="AJ2" s="1183" t="s">
        <v>1159</v>
      </c>
      <c r="AK2" s="1183" t="s">
        <v>1160</v>
      </c>
      <c r="AL2" s="1183" t="s">
        <v>1161</v>
      </c>
      <c r="AM2" s="1183" t="s">
        <v>1162</v>
      </c>
      <c r="AN2" s="1183" t="s">
        <v>1163</v>
      </c>
      <c r="AO2" s="1183" t="s">
        <v>1164</v>
      </c>
      <c r="AP2" s="1183" t="s">
        <v>1165</v>
      </c>
      <c r="AQ2" s="1183" t="s">
        <v>1166</v>
      </c>
      <c r="AR2" s="1183" t="s">
        <v>1167</v>
      </c>
      <c r="AS2" s="1183" t="s">
        <v>1168</v>
      </c>
      <c r="AT2" s="1183" t="s">
        <v>1169</v>
      </c>
      <c r="AU2" s="1001"/>
    </row>
    <row r="3" spans="11:47">
      <c r="AF3" s="1167" t="s">
        <v>1154</v>
      </c>
      <c r="AG3" s="1168" t="s">
        <v>1155</v>
      </c>
      <c r="AH3" s="1168">
        <f>'Balance Pre-Cl-SCV Dic'!AK5</f>
        <v>0</v>
      </c>
      <c r="AI3" s="1168">
        <f>'Balance Pre-Cl-SCV Dic'!AL5</f>
        <v>0</v>
      </c>
      <c r="AJ3" s="1168">
        <f>'Balance Pre-Cl-SCV Dic'!AM5</f>
        <v>0</v>
      </c>
      <c r="AK3" s="1165">
        <v>13.473264650804428</v>
      </c>
      <c r="AL3" s="1165">
        <v>7.7452201933404935E-2</v>
      </c>
      <c r="AM3" s="1165">
        <v>12.284097551417489</v>
      </c>
      <c r="AN3" s="1165">
        <v>24.129477333141491</v>
      </c>
      <c r="AO3" s="1165">
        <v>12.209999999999997</v>
      </c>
      <c r="AP3" s="1165">
        <v>0.36462021827597768</v>
      </c>
      <c r="AQ3" s="1165">
        <v>11.845379781724008</v>
      </c>
      <c r="AR3" s="1165">
        <v>11.919477333141495</v>
      </c>
      <c r="AS3" s="1165">
        <v>1.1117148974474071</v>
      </c>
      <c r="AT3" s="1165">
        <v>12.361549753350891</v>
      </c>
      <c r="AU3" s="1001"/>
    </row>
    <row r="4" spans="11:47">
      <c r="K4" s="4" t="s">
        <v>870</v>
      </c>
      <c r="L4" s="1439" t="s">
        <v>870</v>
      </c>
      <c r="M4" s="1439"/>
      <c r="N4" s="1439"/>
      <c r="O4" s="1439"/>
      <c r="P4" s="1439"/>
      <c r="Q4" s="1439"/>
      <c r="AF4" s="1167" t="s">
        <v>1</v>
      </c>
      <c r="AG4" s="1168" t="s">
        <v>31</v>
      </c>
      <c r="AH4" s="1169">
        <f>'Balance Pre-Cl-SCV Dic'!AK6</f>
        <v>0.68168749999999989</v>
      </c>
      <c r="AI4" s="1169">
        <f>'Balance Pre-Cl-SCV Dic'!AL6</f>
        <v>3.2132499999999999</v>
      </c>
      <c r="AJ4" s="1169">
        <f>'Balance Pre-Cl-SCV Dic'!AM6</f>
        <v>0.13150000000000001</v>
      </c>
      <c r="AK4" s="1165">
        <v>3.1680000000000001</v>
      </c>
      <c r="AL4" s="1185">
        <v>19.619999999999997</v>
      </c>
      <c r="AM4" s="1165">
        <v>1.016</v>
      </c>
      <c r="AN4" s="1165">
        <v>1.448</v>
      </c>
      <c r="AO4" s="1165">
        <v>2.7092583713692733</v>
      </c>
      <c r="AP4" s="1185">
        <v>29.129499999999997</v>
      </c>
      <c r="AQ4" s="1165">
        <v>1.8959999999999999</v>
      </c>
      <c r="AR4" s="1165">
        <v>0.156</v>
      </c>
      <c r="AS4" s="1185">
        <v>26.385207002492567</v>
      </c>
      <c r="AT4" s="1165">
        <v>1.08</v>
      </c>
      <c r="AU4" s="1001"/>
    </row>
    <row r="5" spans="11:47">
      <c r="L5" s="928"/>
      <c r="M5" s="928" t="s">
        <v>863</v>
      </c>
      <c r="N5" s="928" t="s">
        <v>874</v>
      </c>
      <c r="O5" s="928" t="s">
        <v>873</v>
      </c>
      <c r="P5" s="928" t="s">
        <v>869</v>
      </c>
      <c r="Q5" s="928" t="s">
        <v>875</v>
      </c>
      <c r="AF5" s="1167" t="s">
        <v>17</v>
      </c>
      <c r="AG5" s="1168" t="s">
        <v>31</v>
      </c>
      <c r="AH5" s="1169">
        <f>'Balance Pre-Cl-SCV Dic'!AK7</f>
        <v>2.3562500000000002</v>
      </c>
      <c r="AI5" s="1169">
        <f>'Balance Pre-Cl-SCV Dic'!AL7</f>
        <v>9.6237499999999976</v>
      </c>
      <c r="AJ5" s="1169">
        <f>'Balance Pre-Cl-SCV Dic'!AM7</f>
        <v>1.0168749999999998</v>
      </c>
      <c r="AK5" s="1165">
        <v>5.9584999999999999</v>
      </c>
      <c r="AL5" s="1165">
        <v>21.088971843938289</v>
      </c>
      <c r="AM5" s="1165">
        <v>3.859</v>
      </c>
      <c r="AN5" s="1165">
        <v>4.4744240502386932</v>
      </c>
      <c r="AO5" s="1165">
        <v>5.7051826000129839</v>
      </c>
      <c r="AP5" s="1165">
        <v>24.954999999999998</v>
      </c>
      <c r="AQ5" s="1165">
        <v>5.1126416682024693</v>
      </c>
      <c r="AR5" s="1165">
        <v>2.99</v>
      </c>
      <c r="AS5" s="1165">
        <v>28.103183413965162</v>
      </c>
      <c r="AT5" s="1165">
        <v>3.9669556596382924</v>
      </c>
      <c r="AU5" s="1001"/>
    </row>
    <row r="6" spans="11:47">
      <c r="K6" s="4">
        <v>1</v>
      </c>
      <c r="L6" s="757" t="s">
        <v>844</v>
      </c>
      <c r="M6" s="928" t="e">
        <f t="shared" ref="M6:M18" si="0">+I24</f>
        <v>#DIV/0!</v>
      </c>
      <c r="N6" s="928"/>
      <c r="O6" s="928"/>
      <c r="P6" s="649" t="e">
        <f t="shared" ref="P6:P8" si="1">+M6*N6</f>
        <v>#DIV/0!</v>
      </c>
      <c r="Q6" s="928"/>
      <c r="AF6" s="1167" t="s">
        <v>519</v>
      </c>
      <c r="AG6" s="1168" t="s">
        <v>31</v>
      </c>
      <c r="AH6" s="895">
        <f>'Balance Pre-Cl-SCV Dic'!AK8</f>
        <v>30</v>
      </c>
      <c r="AI6" s="895">
        <f>'Balance Pre-Cl-SCV Dic'!AL8</f>
        <v>0</v>
      </c>
      <c r="AJ6" s="895">
        <f>'Balance Pre-Cl-SCV Dic'!AM8</f>
        <v>0</v>
      </c>
      <c r="AK6" s="1169">
        <v>17.631563877913301</v>
      </c>
      <c r="AL6" s="1169">
        <v>18.680345068780603</v>
      </c>
      <c r="AM6" s="1169">
        <v>9.5838287752675395</v>
      </c>
      <c r="AN6" s="1169">
        <v>15.679207028610048</v>
      </c>
      <c r="AO6" s="1169">
        <v>9.2633631770233151</v>
      </c>
      <c r="AP6" s="1169">
        <v>24.106770471291533</v>
      </c>
      <c r="AQ6" s="1169">
        <v>8.2088968806191858</v>
      </c>
      <c r="AR6" s="1169">
        <v>12.317971560733254</v>
      </c>
      <c r="AS6" s="1169">
        <v>32.731648616125156</v>
      </c>
      <c r="AT6" s="1169">
        <v>15.08785332314744</v>
      </c>
      <c r="AU6" s="1001"/>
    </row>
    <row r="7" spans="11:47">
      <c r="K7" s="4">
        <v>2</v>
      </c>
      <c r="L7" s="757" t="s">
        <v>845</v>
      </c>
      <c r="M7" s="928" t="e">
        <f t="shared" si="0"/>
        <v>#DIV/0!</v>
      </c>
      <c r="N7" s="928"/>
      <c r="O7" s="928"/>
      <c r="P7" s="649" t="e">
        <f t="shared" si="1"/>
        <v>#DIV/0!</v>
      </c>
      <c r="Q7" s="928"/>
      <c r="T7" s="4" t="s">
        <v>490</v>
      </c>
      <c r="U7" s="4" t="s">
        <v>863</v>
      </c>
      <c r="V7" s="4" t="s">
        <v>869</v>
      </c>
      <c r="W7" s="4" t="s">
        <v>875</v>
      </c>
      <c r="Z7" s="4" t="s">
        <v>490</v>
      </c>
      <c r="AA7" s="4" t="s">
        <v>863</v>
      </c>
      <c r="AB7" s="4" t="s">
        <v>869</v>
      </c>
      <c r="AC7" s="4" t="s">
        <v>875</v>
      </c>
    </row>
    <row r="8" spans="11:47">
      <c r="K8" s="4">
        <v>3</v>
      </c>
      <c r="L8" s="757" t="s">
        <v>846</v>
      </c>
      <c r="M8" s="928" t="e">
        <f t="shared" si="0"/>
        <v>#DIV/0!</v>
      </c>
      <c r="N8" s="928"/>
      <c r="O8" s="928"/>
      <c r="P8" s="649" t="e">
        <f t="shared" si="1"/>
        <v>#DIV/0!</v>
      </c>
      <c r="Q8" s="928"/>
      <c r="S8" s="127" t="s">
        <v>847</v>
      </c>
      <c r="T8" s="127" t="s">
        <v>848</v>
      </c>
      <c r="U8" s="946">
        <f>+M25+M26-M24</f>
        <v>0</v>
      </c>
      <c r="V8" s="946">
        <f>+P25+P26-P24</f>
        <v>0</v>
      </c>
      <c r="W8" s="946">
        <f>+Q25+Q26-Q24</f>
        <v>0</v>
      </c>
      <c r="Y8" s="127" t="s">
        <v>847</v>
      </c>
      <c r="Z8" s="127"/>
      <c r="AA8" s="946"/>
      <c r="AB8" s="946"/>
      <c r="AC8" s="946"/>
    </row>
    <row r="9" spans="11:47">
      <c r="K9" s="4">
        <v>4</v>
      </c>
      <c r="L9" s="757" t="s">
        <v>830</v>
      </c>
      <c r="M9" s="649">
        <f t="shared" si="0"/>
        <v>31.669714285714281</v>
      </c>
      <c r="N9" s="938">
        <v>2.64</v>
      </c>
      <c r="O9" s="938">
        <v>7.01</v>
      </c>
      <c r="P9" s="649">
        <f>+M9*N9/100</f>
        <v>0.83608045714285706</v>
      </c>
      <c r="Q9" s="649">
        <f>+M9*O9/100</f>
        <v>2.2200469714285713</v>
      </c>
      <c r="S9" s="127" t="s">
        <v>849</v>
      </c>
      <c r="T9" s="947" t="s">
        <v>850</v>
      </c>
      <c r="U9" s="946">
        <f>+M27-M25</f>
        <v>13.473264650804428</v>
      </c>
      <c r="V9" s="946">
        <f>+P27-P25</f>
        <v>0.42683302413748431</v>
      </c>
      <c r="W9" s="946">
        <f>+Q27-Q25</f>
        <v>0.8028044742181818</v>
      </c>
      <c r="Y9" s="127" t="s">
        <v>849</v>
      </c>
      <c r="Z9" s="947"/>
      <c r="AA9" s="946"/>
      <c r="AB9" s="946"/>
      <c r="AC9" s="946"/>
    </row>
    <row r="10" spans="11:47">
      <c r="K10" s="4">
        <v>5</v>
      </c>
      <c r="L10" s="757" t="s">
        <v>831</v>
      </c>
      <c r="M10" s="649">
        <f t="shared" si="0"/>
        <v>0.77452201933404941</v>
      </c>
      <c r="N10" s="939">
        <v>26.16</v>
      </c>
      <c r="O10" s="939">
        <v>24.5</v>
      </c>
      <c r="P10" s="649">
        <f t="shared" ref="P10:P18" si="2">+M10*N10/100</f>
        <v>0.20261496025778733</v>
      </c>
      <c r="Q10" s="649">
        <f t="shared" ref="Q10:Q18" si="3">+M10*O10/100</f>
        <v>0.1897578947368421</v>
      </c>
      <c r="S10" s="4" t="s">
        <v>851</v>
      </c>
      <c r="T10" s="4" t="s">
        <v>886</v>
      </c>
      <c r="U10" s="97">
        <f>+M35+M36-M27</f>
        <v>-6.1284310959308641E-12</v>
      </c>
      <c r="V10" s="97">
        <f>+P35+P36-P27</f>
        <v>-9.8322482933177469E-9</v>
      </c>
      <c r="W10" s="97">
        <f>+Q35+Q36-Q27</f>
        <v>1.1394329924030444E-11</v>
      </c>
      <c r="Y10" s="4" t="s">
        <v>851</v>
      </c>
      <c r="Z10" s="4" t="s">
        <v>886</v>
      </c>
      <c r="AA10" s="97" t="e">
        <f>+#REF!+#REF!-S27</f>
        <v>#REF!</v>
      </c>
      <c r="AB10" s="97">
        <f>+V35+V36-V27</f>
        <v>0</v>
      </c>
      <c r="AC10" s="97" t="e">
        <f>+Z35+Z36-W27</f>
        <v>#VALUE!</v>
      </c>
    </row>
    <row r="11" spans="11:47">
      <c r="K11" s="4">
        <v>6</v>
      </c>
      <c r="L11" s="757" t="s">
        <v>832</v>
      </c>
      <c r="M11" s="649">
        <f t="shared" si="0"/>
        <v>12.801176470588237</v>
      </c>
      <c r="N11" s="939">
        <v>1.27</v>
      </c>
      <c r="O11" s="939">
        <v>4.54</v>
      </c>
      <c r="P11" s="649">
        <f t="shared" si="2"/>
        <v>0.16257494117647059</v>
      </c>
      <c r="Q11" s="649">
        <f t="shared" si="3"/>
        <v>0.58117341176470594</v>
      </c>
      <c r="S11" s="4" t="s">
        <v>853</v>
      </c>
      <c r="T11" s="933" t="s">
        <v>887</v>
      </c>
      <c r="U11" s="97">
        <f>+M28+M29-M36</f>
        <v>0</v>
      </c>
      <c r="V11" s="97">
        <f>+P28+P29-P36</f>
        <v>6.4978158055460922E-3</v>
      </c>
      <c r="W11" s="97">
        <f>+Q28+Q29-Q36</f>
        <v>7.8903550360109875E-12</v>
      </c>
      <c r="Y11" s="4" t="s">
        <v>853</v>
      </c>
      <c r="Z11" s="933" t="s">
        <v>887</v>
      </c>
      <c r="AA11" s="97" t="e">
        <f>+S28+S29-#REF!</f>
        <v>#VALUE!</v>
      </c>
      <c r="AB11" s="97">
        <f>+V28+V29-V36</f>
        <v>0</v>
      </c>
      <c r="AC11" s="97" t="e">
        <f>+W28+W35-Z36</f>
        <v>#VALUE!</v>
      </c>
    </row>
    <row r="12" spans="11:47">
      <c r="K12" s="4">
        <v>7</v>
      </c>
      <c r="L12" s="757" t="s">
        <v>833</v>
      </c>
      <c r="M12" s="649">
        <f t="shared" si="0"/>
        <v>30.067200000000003</v>
      </c>
      <c r="N12" s="939">
        <v>1.81</v>
      </c>
      <c r="O12" s="939">
        <v>6.28</v>
      </c>
      <c r="P12" s="649">
        <f t="shared" si="2"/>
        <v>0.54421632000000009</v>
      </c>
      <c r="Q12" s="649">
        <f t="shared" si="3"/>
        <v>1.8882201600000001</v>
      </c>
      <c r="S12" s="4" t="s">
        <v>854</v>
      </c>
      <c r="T12" s="934" t="s">
        <v>889</v>
      </c>
      <c r="U12" s="97">
        <f>+M30-M33-M29</f>
        <v>0</v>
      </c>
      <c r="V12" s="97">
        <f>+P30-P33-P29</f>
        <v>0</v>
      </c>
      <c r="W12" s="97">
        <f>+Q30-Q33-Q29</f>
        <v>-9.9954763910226063E-9</v>
      </c>
      <c r="Y12" s="4" t="s">
        <v>854</v>
      </c>
      <c r="Z12" s="934" t="s">
        <v>889</v>
      </c>
      <c r="AA12" s="97" t="e">
        <f>+S30-S33-S29</f>
        <v>#VALUE!</v>
      </c>
      <c r="AB12" s="97">
        <f>+V30-V33-V29</f>
        <v>0</v>
      </c>
      <c r="AC12" s="97" t="e">
        <f>+W36-W39-W35</f>
        <v>#VALUE!</v>
      </c>
    </row>
    <row r="13" spans="11:47">
      <c r="K13" s="4">
        <v>8</v>
      </c>
      <c r="L13" s="757" t="s">
        <v>834</v>
      </c>
      <c r="M13" s="649">
        <f t="shared" si="0"/>
        <v>6.5999999999999988</v>
      </c>
      <c r="N13" s="939">
        <v>2.27</v>
      </c>
      <c r="O13" s="939">
        <v>5.77</v>
      </c>
      <c r="P13" s="649">
        <f t="shared" si="2"/>
        <v>0.14981999999999998</v>
      </c>
      <c r="Q13" s="649">
        <f t="shared" si="3"/>
        <v>0.38081999999999988</v>
      </c>
      <c r="S13" s="4" t="s">
        <v>855</v>
      </c>
      <c r="T13" s="4" t="s">
        <v>888</v>
      </c>
      <c r="U13" s="97">
        <f>+M31+M34-M30</f>
        <v>0</v>
      </c>
      <c r="V13" s="97">
        <f>+P31+P34-P30</f>
        <v>0</v>
      </c>
      <c r="W13" s="97">
        <f>+Q31+Q34-Q30</f>
        <v>-2.6659969268460815E-2</v>
      </c>
      <c r="Y13" s="4" t="s">
        <v>855</v>
      </c>
      <c r="Z13" s="4" t="s">
        <v>888</v>
      </c>
      <c r="AA13" s="97" t="e">
        <f>+S31+#REF!-S30</f>
        <v>#VALUE!</v>
      </c>
      <c r="AB13" s="97">
        <f>+V31+V34-V30</f>
        <v>0</v>
      </c>
      <c r="AC13" s="97" t="e">
        <f>+W37+W34-W36</f>
        <v>#VALUE!</v>
      </c>
    </row>
    <row r="14" spans="11:47">
      <c r="K14" s="4">
        <v>9</v>
      </c>
      <c r="L14" s="757" t="s">
        <v>835</v>
      </c>
      <c r="M14" s="649">
        <f t="shared" si="0"/>
        <v>0.73787234042553196</v>
      </c>
      <c r="N14" s="939">
        <v>25.33</v>
      </c>
      <c r="O14" s="939">
        <v>21.7</v>
      </c>
      <c r="P14" s="649">
        <f t="shared" si="2"/>
        <v>0.18690306382978722</v>
      </c>
      <c r="Q14" s="649">
        <f t="shared" si="3"/>
        <v>0.16011829787234041</v>
      </c>
      <c r="S14" s="4" t="s">
        <v>856</v>
      </c>
      <c r="T14" s="4" t="s">
        <v>860</v>
      </c>
      <c r="U14" s="97">
        <f>+M32+M33-M31</f>
        <v>0</v>
      </c>
      <c r="V14" s="97">
        <f>+P32+P33-P31</f>
        <v>0</v>
      </c>
      <c r="W14" s="97">
        <f>+Q32+Q33-Q31</f>
        <v>2.4864372782928967E-9</v>
      </c>
      <c r="Y14" s="4" t="s">
        <v>856</v>
      </c>
      <c r="Z14" s="4" t="s">
        <v>860</v>
      </c>
      <c r="AA14" s="97" t="e">
        <f>+S32+S33-S31</f>
        <v>#VALUE!</v>
      </c>
      <c r="AB14" s="97">
        <f>+V32+V33-V31</f>
        <v>0</v>
      </c>
      <c r="AC14" s="97" t="e">
        <f>+W38+W39-W37</f>
        <v>#VALUE!</v>
      </c>
    </row>
    <row r="15" spans="11:47">
      <c r="K15" s="4">
        <v>10</v>
      </c>
      <c r="L15" s="757" t="s">
        <v>836</v>
      </c>
      <c r="M15" s="649">
        <f t="shared" si="0"/>
        <v>6.75</v>
      </c>
      <c r="N15" s="939">
        <v>2.6</v>
      </c>
      <c r="O15" s="939">
        <v>5.12</v>
      </c>
      <c r="P15" s="649">
        <f t="shared" si="2"/>
        <v>0.17550000000000002</v>
      </c>
      <c r="Q15" s="649">
        <f t="shared" si="3"/>
        <v>0.34560000000000002</v>
      </c>
      <c r="S15" s="4" t="s">
        <v>861</v>
      </c>
      <c r="T15" s="4" t="s">
        <v>862</v>
      </c>
      <c r="U15" s="97">
        <f>+M28+M35+M32+M34-M27</f>
        <v>-6.1426419506460661E-12</v>
      </c>
      <c r="V15" s="97">
        <f>+P28+P35+P32+P34-P27</f>
        <v>6.4978059732977989E-3</v>
      </c>
      <c r="W15" s="97">
        <f>+Q28+Q35+Q32+Q34-Q27</f>
        <v>-2.6659976758215298E-2</v>
      </c>
      <c r="Y15" s="4" t="s">
        <v>861</v>
      </c>
      <c r="Z15" s="4" t="s">
        <v>862</v>
      </c>
      <c r="AA15" s="97">
        <f>(M10+M17+M14+M16-M9)/M9*100</f>
        <v>-42.910942086627898</v>
      </c>
      <c r="AB15" s="97">
        <f>(P10+P17+P14+P16-P9)/P9*100</f>
        <v>199.01029338782905</v>
      </c>
      <c r="AC15" s="97">
        <f>(Q10+Q17+Q14+Q16-Q9)/Q9*100</f>
        <v>5.6118383619395429</v>
      </c>
    </row>
    <row r="16" spans="11:47">
      <c r="K16" s="4">
        <v>11</v>
      </c>
      <c r="L16" s="757" t="s">
        <v>837</v>
      </c>
      <c r="M16" s="649">
        <f t="shared" si="0"/>
        <v>9.7675471698113228</v>
      </c>
      <c r="N16" s="939">
        <v>0.22</v>
      </c>
      <c r="O16" s="939">
        <v>2.6</v>
      </c>
      <c r="P16" s="649">
        <f t="shared" si="2"/>
        <v>2.148860377358491E-2</v>
      </c>
      <c r="Q16" s="649">
        <f t="shared" si="3"/>
        <v>0.25395622641509441</v>
      </c>
    </row>
    <row r="17" spans="1:27">
      <c r="K17" s="4">
        <v>12</v>
      </c>
      <c r="L17" s="757" t="s">
        <v>838</v>
      </c>
      <c r="M17" s="649">
        <f t="shared" si="0"/>
        <v>6.8</v>
      </c>
      <c r="N17" s="939">
        <v>30.72</v>
      </c>
      <c r="O17" s="939">
        <v>25.6</v>
      </c>
      <c r="P17" s="649">
        <f t="shared" si="2"/>
        <v>2.0889599999999997</v>
      </c>
      <c r="Q17" s="649">
        <f t="shared" si="3"/>
        <v>1.7408000000000001</v>
      </c>
    </row>
    <row r="18" spans="1:27">
      <c r="K18" s="4">
        <v>13</v>
      </c>
      <c r="L18" s="757" t="s">
        <v>839</v>
      </c>
      <c r="M18" s="649">
        <f t="shared" si="0"/>
        <v>16.534883720930232</v>
      </c>
      <c r="N18" s="939">
        <v>0.9</v>
      </c>
      <c r="O18" s="939">
        <v>5.64</v>
      </c>
      <c r="P18" s="649">
        <f t="shared" si="2"/>
        <v>0.14881395348837209</v>
      </c>
      <c r="Q18" s="649">
        <f t="shared" si="3"/>
        <v>0.93256744186046503</v>
      </c>
    </row>
    <row r="22" spans="1:27">
      <c r="K22" s="4" t="s">
        <v>871</v>
      </c>
      <c r="L22" s="1439" t="s">
        <v>871</v>
      </c>
      <c r="M22" s="1439"/>
      <c r="N22" s="1439"/>
      <c r="O22" s="1439"/>
      <c r="P22" s="1439"/>
      <c r="Q22" s="1439"/>
    </row>
    <row r="23" spans="1:27">
      <c r="C23" s="4" t="s">
        <v>867</v>
      </c>
      <c r="D23" s="4" t="s">
        <v>868</v>
      </c>
      <c r="E23" s="4" t="s">
        <v>310</v>
      </c>
      <c r="F23" s="4" t="s">
        <v>882</v>
      </c>
      <c r="G23" s="4" t="s">
        <v>865</v>
      </c>
      <c r="H23" s="4" t="s">
        <v>865</v>
      </c>
      <c r="I23" s="4" t="s">
        <v>866</v>
      </c>
      <c r="J23" s="4" t="s">
        <v>948</v>
      </c>
      <c r="L23" s="928"/>
      <c r="M23" s="928" t="s">
        <v>863</v>
      </c>
      <c r="N23" s="928" t="s">
        <v>864</v>
      </c>
      <c r="O23" s="928" t="s">
        <v>873</v>
      </c>
      <c r="P23" s="928" t="s">
        <v>869</v>
      </c>
      <c r="Q23" s="928" t="s">
        <v>875</v>
      </c>
      <c r="W23" s="1446" t="s">
        <v>1179</v>
      </c>
      <c r="X23" s="1446"/>
      <c r="Y23"/>
      <c r="Z23" s="1447" t="s">
        <v>1196</v>
      </c>
      <c r="AA23" s="1448"/>
    </row>
    <row r="24" spans="1:27">
      <c r="A24" s="4">
        <v>1</v>
      </c>
      <c r="B24" s="757" t="s">
        <v>844</v>
      </c>
      <c r="C24" s="757"/>
      <c r="D24" s="757"/>
      <c r="E24" s="940"/>
      <c r="F24" s="940"/>
      <c r="G24" s="940"/>
      <c r="H24" s="757">
        <f t="shared" ref="H24:H26" si="4">+F24*60+G24</f>
        <v>0</v>
      </c>
      <c r="I24" s="941" t="e">
        <f t="shared" ref="I24:I36" si="5">+(D24/1000)/(H24/3600)</f>
        <v>#DIV/0!</v>
      </c>
      <c r="K24" s="4">
        <v>1</v>
      </c>
      <c r="L24" s="757" t="s">
        <v>844</v>
      </c>
      <c r="M24" s="936"/>
      <c r="N24" s="928"/>
      <c r="O24" s="928"/>
      <c r="P24" s="649">
        <f t="shared" ref="P24:P26" si="6">+M24*N24</f>
        <v>0</v>
      </c>
      <c r="Q24" s="928"/>
      <c r="W24" s="1065" t="s">
        <v>1056</v>
      </c>
      <c r="X24" s="1182">
        <f>'Balance Pre-Cl-SCV Dic'!AA24</f>
        <v>3.2132499999999999</v>
      </c>
      <c r="Y24"/>
      <c r="Z24" s="1065" t="s">
        <v>1056</v>
      </c>
      <c r="AA24" s="1182">
        <f>N31</f>
        <v>2.7092583713692733</v>
      </c>
    </row>
    <row r="25" spans="1:27">
      <c r="A25" s="4">
        <v>2</v>
      </c>
      <c r="B25" s="757" t="s">
        <v>845</v>
      </c>
      <c r="C25" s="757"/>
      <c r="D25" s="757"/>
      <c r="E25" s="940"/>
      <c r="F25" s="940"/>
      <c r="G25" s="940"/>
      <c r="H25" s="757">
        <f t="shared" si="4"/>
        <v>0</v>
      </c>
      <c r="I25" s="941" t="e">
        <f t="shared" si="5"/>
        <v>#DIV/0!</v>
      </c>
      <c r="K25" s="4">
        <v>2</v>
      </c>
      <c r="L25" s="757" t="s">
        <v>845</v>
      </c>
      <c r="M25" s="936"/>
      <c r="N25" s="928"/>
      <c r="O25" s="928"/>
      <c r="P25" s="649">
        <f t="shared" si="6"/>
        <v>0</v>
      </c>
      <c r="Q25" s="928"/>
      <c r="W25" s="1065" t="s">
        <v>1096</v>
      </c>
      <c r="X25" s="1182">
        <f>'Balance Pre-Cl-SCV Dic'!AA25</f>
        <v>84.376281394866425</v>
      </c>
      <c r="Y25"/>
      <c r="Z25" s="1065" t="s">
        <v>1096</v>
      </c>
      <c r="AA25" s="1182">
        <f>AA26*AA27</f>
        <v>94.678116861441779</v>
      </c>
    </row>
    <row r="26" spans="1:27">
      <c r="A26" s="4">
        <v>3</v>
      </c>
      <c r="B26" s="757" t="s">
        <v>846</v>
      </c>
      <c r="C26" s="757"/>
      <c r="D26" s="757"/>
      <c r="E26" s="940"/>
      <c r="F26" s="940"/>
      <c r="G26" s="940"/>
      <c r="H26" s="757">
        <f t="shared" si="4"/>
        <v>0</v>
      </c>
      <c r="I26" s="941" t="e">
        <f t="shared" si="5"/>
        <v>#DIV/0!</v>
      </c>
      <c r="K26" s="4">
        <v>3</v>
      </c>
      <c r="L26" s="757" t="s">
        <v>846</v>
      </c>
      <c r="M26" s="936"/>
      <c r="N26" s="928"/>
      <c r="O26" s="928"/>
      <c r="P26" s="649">
        <f t="shared" si="6"/>
        <v>0</v>
      </c>
      <c r="Q26" s="928"/>
      <c r="W26" s="1065" t="s">
        <v>1178</v>
      </c>
      <c r="X26" s="1182">
        <f>'Balance Pre-Cl-SCV Dic'!AA26</f>
        <v>17.853086720207671</v>
      </c>
      <c r="Y26"/>
      <c r="Z26" s="1065" t="s">
        <v>1178</v>
      </c>
      <c r="AA26" s="1182">
        <f>M31/M30*100</f>
        <v>50.602007790818313</v>
      </c>
    </row>
    <row r="27" spans="1:27">
      <c r="A27" s="4">
        <v>4</v>
      </c>
      <c r="B27" s="757" t="s">
        <v>830</v>
      </c>
      <c r="C27" s="955">
        <v>1746.3</v>
      </c>
      <c r="D27" s="956">
        <v>307.89999999999998</v>
      </c>
      <c r="E27" s="1064">
        <f>+D27/C27*100</f>
        <v>17.631563877913301</v>
      </c>
      <c r="F27" s="956">
        <v>0</v>
      </c>
      <c r="G27" s="956">
        <v>35</v>
      </c>
      <c r="H27" s="757">
        <f>+F27*60+G27</f>
        <v>35</v>
      </c>
      <c r="I27" s="941">
        <f t="shared" si="5"/>
        <v>31.669714285714281</v>
      </c>
      <c r="J27" s="941">
        <f>+(C27/1000)/(H27/3600)</f>
        <v>179.61942857142856</v>
      </c>
      <c r="K27" s="4">
        <v>4</v>
      </c>
      <c r="L27" s="757" t="s">
        <v>830</v>
      </c>
      <c r="M27" s="945">
        <v>13.473264650804428</v>
      </c>
      <c r="N27" s="779">
        <v>3.1680000000000001</v>
      </c>
      <c r="O27" s="779">
        <v>5.9584999999999999</v>
      </c>
      <c r="P27" s="649">
        <f>+M27*N27/100</f>
        <v>0.42683302413748431</v>
      </c>
      <c r="Q27" s="649">
        <f>+M27*O27/100</f>
        <v>0.8028044742181818</v>
      </c>
      <c r="S27" s="4" t="s">
        <v>761</v>
      </c>
      <c r="T27" s="117">
        <f>+(P28+P32+P35)/P27*100</f>
        <v>97.165969364519782</v>
      </c>
      <c r="W27" s="1065" t="s">
        <v>753</v>
      </c>
      <c r="X27" s="1182">
        <f>'Balance Pre-Cl-SCV Dic'!AA27</f>
        <v>4.7136701201063547</v>
      </c>
      <c r="Y27"/>
      <c r="Z27" s="1065" t="s">
        <v>753</v>
      </c>
      <c r="AA27" s="1182">
        <f>N31/N30</f>
        <v>1.871034786857233</v>
      </c>
    </row>
    <row r="28" spans="1:27">
      <c r="A28" s="4">
        <v>5</v>
      </c>
      <c r="B28" s="757" t="s">
        <v>831</v>
      </c>
      <c r="C28" s="955">
        <v>2144.5</v>
      </c>
      <c r="D28" s="955">
        <v>400.6</v>
      </c>
      <c r="E28" s="1064">
        <f t="shared" ref="E28:E36" si="7">+D28/C28*100</f>
        <v>18.680345068780603</v>
      </c>
      <c r="F28" s="955">
        <v>31</v>
      </c>
      <c r="G28" s="955">
        <v>2</v>
      </c>
      <c r="H28" s="757">
        <f t="shared" ref="H28:H36" si="8">+F28*60+G28</f>
        <v>1862</v>
      </c>
      <c r="I28" s="941">
        <f t="shared" si="5"/>
        <v>0.77452201933404941</v>
      </c>
      <c r="J28" s="941">
        <f t="shared" ref="J28:J36" si="9">+(C28/1000)/(H28/3600)</f>
        <v>4.1461868958109553</v>
      </c>
      <c r="K28" s="4">
        <v>5</v>
      </c>
      <c r="L28" s="757" t="s">
        <v>831</v>
      </c>
      <c r="M28" s="945">
        <v>7.7452201933404935E-2</v>
      </c>
      <c r="N28" s="958">
        <v>19.619999999999997</v>
      </c>
      <c r="O28" s="779">
        <v>21.088971843938289</v>
      </c>
      <c r="P28" s="649">
        <f t="shared" ref="P28:P36" si="10">+M28*N28/100</f>
        <v>1.5196122019334046E-2</v>
      </c>
      <c r="Q28" s="649">
        <f>+M28*O28/100</f>
        <v>1.6333873058245994E-2</v>
      </c>
      <c r="S28" s="4" t="s">
        <v>883</v>
      </c>
      <c r="T28" s="117">
        <f>+(M28+M32+M35)/M27*100</f>
        <v>11.532374357123759</v>
      </c>
      <c r="W28"/>
      <c r="X28"/>
      <c r="Y28"/>
      <c r="Z28"/>
      <c r="AA28"/>
    </row>
    <row r="29" spans="1:27">
      <c r="A29" s="4">
        <v>6</v>
      </c>
      <c r="B29" s="757" t="s">
        <v>832</v>
      </c>
      <c r="C29" s="955">
        <v>1261.5</v>
      </c>
      <c r="D29" s="955">
        <v>120.9</v>
      </c>
      <c r="E29" s="1064">
        <f t="shared" si="7"/>
        <v>9.5838287752675395</v>
      </c>
      <c r="F29" s="955">
        <v>0</v>
      </c>
      <c r="G29" s="955">
        <v>34</v>
      </c>
      <c r="H29" s="757">
        <f t="shared" si="8"/>
        <v>34</v>
      </c>
      <c r="I29" s="941">
        <f t="shared" si="5"/>
        <v>12.801176470588237</v>
      </c>
      <c r="J29" s="941">
        <f t="shared" si="9"/>
        <v>133.57058823529411</v>
      </c>
      <c r="K29" s="4">
        <v>6</v>
      </c>
      <c r="L29" s="757" t="s">
        <v>832</v>
      </c>
      <c r="M29" s="945">
        <v>12.284097551417489</v>
      </c>
      <c r="N29" s="779">
        <v>1.016</v>
      </c>
      <c r="O29" s="779">
        <v>3.859</v>
      </c>
      <c r="P29" s="649">
        <f t="shared" si="10"/>
        <v>0.12480643112240168</v>
      </c>
      <c r="Q29" s="649">
        <f t="shared" ref="Q29:Q36" si="11">+M29*O29/100</f>
        <v>0.47404332450920089</v>
      </c>
      <c r="S29" s="4" t="s">
        <v>753</v>
      </c>
      <c r="T29" s="117">
        <f>+T27/T28</f>
        <v>8.4254955966200136</v>
      </c>
      <c r="W29" s="1447" t="s">
        <v>1198</v>
      </c>
      <c r="X29" s="1448"/>
      <c r="Y29"/>
      <c r="Z29" s="1447" t="s">
        <v>1197</v>
      </c>
      <c r="AA29" s="1448"/>
    </row>
    <row r="30" spans="1:27">
      <c r="A30" s="4">
        <v>7</v>
      </c>
      <c r="B30" s="757" t="s">
        <v>833</v>
      </c>
      <c r="C30" s="955">
        <v>1331.7</v>
      </c>
      <c r="D30" s="955">
        <v>208.8</v>
      </c>
      <c r="E30" s="1064">
        <f t="shared" si="7"/>
        <v>15.679207028610048</v>
      </c>
      <c r="F30" s="955">
        <v>0</v>
      </c>
      <c r="G30" s="955">
        <v>25</v>
      </c>
      <c r="H30" s="757">
        <f t="shared" si="8"/>
        <v>25</v>
      </c>
      <c r="I30" s="941">
        <f t="shared" si="5"/>
        <v>30.067200000000003</v>
      </c>
      <c r="J30" s="941">
        <f t="shared" si="9"/>
        <v>191.76480000000004</v>
      </c>
      <c r="K30" s="4">
        <v>7</v>
      </c>
      <c r="L30" s="757" t="s">
        <v>833</v>
      </c>
      <c r="M30" s="945">
        <v>24.129477333141491</v>
      </c>
      <c r="N30" s="779">
        <v>1.448</v>
      </c>
      <c r="O30" s="779">
        <v>4.4744240502386932</v>
      </c>
      <c r="P30" s="649">
        <f t="shared" si="10"/>
        <v>0.34939483178388875</v>
      </c>
      <c r="Q30" s="649">
        <f t="shared" si="11"/>
        <v>1.0796551369909768</v>
      </c>
      <c r="S30" s="4" t="s">
        <v>884</v>
      </c>
      <c r="T30" s="117">
        <f>+SUM(P28,P32,P35)/SUM(M28,M32,M35)*100</f>
        <v>26.691970050092202</v>
      </c>
      <c r="W30" s="1065" t="s">
        <v>1056</v>
      </c>
      <c r="X30" s="1182">
        <f>N35</f>
        <v>26.385207002492567</v>
      </c>
      <c r="Y30"/>
      <c r="Z30" s="1065" t="s">
        <v>1056</v>
      </c>
      <c r="AA30" s="1182">
        <f>N32</f>
        <v>29.129499999999997</v>
      </c>
    </row>
    <row r="31" spans="1:27">
      <c r="A31" s="4">
        <v>8</v>
      </c>
      <c r="B31" s="757" t="s">
        <v>834</v>
      </c>
      <c r="C31" s="955">
        <v>1128.0999999999999</v>
      </c>
      <c r="D31" s="955">
        <v>104.5</v>
      </c>
      <c r="E31" s="1064">
        <f t="shared" si="7"/>
        <v>9.2633631770233151</v>
      </c>
      <c r="F31" s="955">
        <v>0</v>
      </c>
      <c r="G31" s="955">
        <v>57</v>
      </c>
      <c r="H31" s="757">
        <f t="shared" si="8"/>
        <v>57</v>
      </c>
      <c r="I31" s="941">
        <f t="shared" si="5"/>
        <v>6.5999999999999988</v>
      </c>
      <c r="J31" s="941">
        <f t="shared" si="9"/>
        <v>71.248421052631571</v>
      </c>
      <c r="K31" s="4">
        <v>8</v>
      </c>
      <c r="L31" s="757" t="s">
        <v>834</v>
      </c>
      <c r="M31" s="945">
        <v>12.209999999999997</v>
      </c>
      <c r="N31" s="779">
        <v>2.7092583713692733</v>
      </c>
      <c r="O31" s="779">
        <v>5.7051826000129839</v>
      </c>
      <c r="P31" s="649">
        <f t="shared" si="10"/>
        <v>0.33080044714418816</v>
      </c>
      <c r="Q31" s="649">
        <f t="shared" si="11"/>
        <v>0.69660279546158521</v>
      </c>
      <c r="S31" s="4" t="s">
        <v>753</v>
      </c>
      <c r="T31" s="117">
        <f>+T30/N27</f>
        <v>8.4254955966200136</v>
      </c>
      <c r="W31" s="1065" t="s">
        <v>1096</v>
      </c>
      <c r="X31" s="1182">
        <f>+X32*X33</f>
        <v>68.722020176809082</v>
      </c>
      <c r="Y31"/>
      <c r="Z31" s="1065" t="s">
        <v>1096</v>
      </c>
      <c r="AA31" s="1182">
        <f>+AA32*AA33</f>
        <v>32.107588547607243</v>
      </c>
    </row>
    <row r="32" spans="1:27">
      <c r="A32" s="4">
        <v>9</v>
      </c>
      <c r="B32" s="757" t="s">
        <v>835</v>
      </c>
      <c r="C32" s="955">
        <v>2157.9</v>
      </c>
      <c r="D32" s="955">
        <v>520.20000000000005</v>
      </c>
      <c r="E32" s="1064">
        <f t="shared" si="7"/>
        <v>24.106770471291533</v>
      </c>
      <c r="F32" s="955">
        <v>42</v>
      </c>
      <c r="G32" s="955">
        <v>18</v>
      </c>
      <c r="H32" s="757">
        <f t="shared" si="8"/>
        <v>2538</v>
      </c>
      <c r="I32" s="941">
        <f t="shared" si="5"/>
        <v>0.73787234042553196</v>
      </c>
      <c r="J32" s="941">
        <f t="shared" si="9"/>
        <v>3.0608510638297877</v>
      </c>
      <c r="K32" s="4">
        <v>9</v>
      </c>
      <c r="L32" s="757" t="s">
        <v>835</v>
      </c>
      <c r="M32" s="945">
        <v>0.36462021827597768</v>
      </c>
      <c r="N32" s="779">
        <v>29.129499999999997</v>
      </c>
      <c r="O32" s="779">
        <v>24.954999999999998</v>
      </c>
      <c r="P32" s="649">
        <f t="shared" si="10"/>
        <v>0.10621204648270091</v>
      </c>
      <c r="Q32" s="649">
        <f t="shared" si="11"/>
        <v>9.099097547077023E-2</v>
      </c>
      <c r="W32" s="1065" t="s">
        <v>1178</v>
      </c>
      <c r="X32" s="1182">
        <f>M35/M27*100</f>
        <v>8.2512659422972998</v>
      </c>
      <c r="Y32"/>
      <c r="Z32" s="1065" t="s">
        <v>1178</v>
      </c>
      <c r="AA32" s="1182">
        <f>M32/M31*100</f>
        <v>2.9862425739228318</v>
      </c>
    </row>
    <row r="33" spans="1:27">
      <c r="A33" s="4">
        <v>10</v>
      </c>
      <c r="B33" s="757" t="s">
        <v>836</v>
      </c>
      <c r="C33" s="955">
        <v>1279.0999999999999</v>
      </c>
      <c r="D33" s="955">
        <v>105</v>
      </c>
      <c r="E33" s="1064">
        <f t="shared" si="7"/>
        <v>8.2088968806191858</v>
      </c>
      <c r="F33" s="955">
        <v>0</v>
      </c>
      <c r="G33" s="955">
        <v>56</v>
      </c>
      <c r="H33" s="757">
        <f t="shared" si="8"/>
        <v>56</v>
      </c>
      <c r="I33" s="941">
        <f t="shared" si="5"/>
        <v>6.75</v>
      </c>
      <c r="J33" s="941">
        <f t="shared" si="9"/>
        <v>82.227857142857133</v>
      </c>
      <c r="K33" s="4">
        <v>10</v>
      </c>
      <c r="L33" s="757" t="s">
        <v>836</v>
      </c>
      <c r="M33" s="945">
        <v>11.845379781724008</v>
      </c>
      <c r="N33" s="779">
        <v>1.8959999999999999</v>
      </c>
      <c r="O33" s="779">
        <v>5.1126416682024693</v>
      </c>
      <c r="P33" s="649">
        <f t="shared" si="10"/>
        <v>0.22458840066148716</v>
      </c>
      <c r="Q33" s="649">
        <f t="shared" si="11"/>
        <v>0.60561182247725232</v>
      </c>
      <c r="S33" s="4" t="s">
        <v>804</v>
      </c>
      <c r="T33" s="4">
        <f>+P35/P27*100</f>
        <v>68.722020176809082</v>
      </c>
      <c r="W33" s="1065" t="s">
        <v>753</v>
      </c>
      <c r="X33" s="1182">
        <f>N35/N27</f>
        <v>8.3286638265443713</v>
      </c>
      <c r="Y33"/>
      <c r="Z33" s="1065" t="s">
        <v>753</v>
      </c>
      <c r="AA33" s="1182">
        <f>N32/N31</f>
        <v>10.75183537599546</v>
      </c>
    </row>
    <row r="34" spans="1:27">
      <c r="A34" s="4">
        <v>11</v>
      </c>
      <c r="B34" s="757" t="s">
        <v>837</v>
      </c>
      <c r="C34" s="955">
        <v>1167.4000000000001</v>
      </c>
      <c r="D34" s="955">
        <v>143.80000000000001</v>
      </c>
      <c r="E34" s="1064">
        <f t="shared" si="7"/>
        <v>12.317971560733254</v>
      </c>
      <c r="F34" s="955">
        <v>0</v>
      </c>
      <c r="G34" s="955">
        <v>53</v>
      </c>
      <c r="H34" s="757">
        <f t="shared" si="8"/>
        <v>53</v>
      </c>
      <c r="I34" s="941">
        <f t="shared" si="5"/>
        <v>9.7675471698113228</v>
      </c>
      <c r="J34" s="941">
        <f t="shared" si="9"/>
        <v>79.295094339622651</v>
      </c>
      <c r="K34" s="4">
        <v>11</v>
      </c>
      <c r="L34" s="757" t="s">
        <v>837</v>
      </c>
      <c r="M34" s="945">
        <v>11.919477333141495</v>
      </c>
      <c r="N34" s="779">
        <v>0.156</v>
      </c>
      <c r="O34" s="779">
        <v>2.99</v>
      </c>
      <c r="P34" s="649">
        <f t="shared" si="10"/>
        <v>1.8594384639700732E-2</v>
      </c>
      <c r="Q34" s="649">
        <f t="shared" si="11"/>
        <v>0.35639237226093073</v>
      </c>
      <c r="S34" s="4" t="s">
        <v>943</v>
      </c>
      <c r="T34" s="4">
        <f>+P28/P36*100</f>
        <v>11.382459021710515</v>
      </c>
      <c r="W34"/>
      <c r="X34"/>
      <c r="Y34"/>
    </row>
    <row r="35" spans="1:27">
      <c r="A35" s="4">
        <v>12</v>
      </c>
      <c r="B35" s="942" t="s">
        <v>838</v>
      </c>
      <c r="C35" s="955">
        <v>1246.5</v>
      </c>
      <c r="D35" s="957">
        <v>408</v>
      </c>
      <c r="E35" s="1064">
        <f t="shared" si="7"/>
        <v>32.731648616125156</v>
      </c>
      <c r="F35" s="957">
        <v>3</v>
      </c>
      <c r="G35" s="957">
        <v>36</v>
      </c>
      <c r="H35" s="757">
        <f t="shared" si="8"/>
        <v>216</v>
      </c>
      <c r="I35" s="941">
        <f t="shared" si="5"/>
        <v>6.8</v>
      </c>
      <c r="J35" s="941">
        <f t="shared" si="9"/>
        <v>20.774999999999999</v>
      </c>
      <c r="K35" s="4">
        <v>12</v>
      </c>
      <c r="L35" s="757" t="s">
        <v>838</v>
      </c>
      <c r="M35" s="945">
        <v>1.1117148974474071</v>
      </c>
      <c r="N35" s="958">
        <v>26.385207002492567</v>
      </c>
      <c r="O35" s="779">
        <v>28.103183413965162</v>
      </c>
      <c r="P35" s="649">
        <f t="shared" si="10"/>
        <v>0.29332827696904634</v>
      </c>
      <c r="Q35" s="649">
        <f t="shared" si="11"/>
        <v>0.31242727667001957</v>
      </c>
      <c r="S35" s="4" t="s">
        <v>951</v>
      </c>
      <c r="T35" s="4">
        <f>+P31/P30*100</f>
        <v>94.678116861441794</v>
      </c>
      <c r="W35" s="1447" t="s">
        <v>1199</v>
      </c>
      <c r="X35" s="1448"/>
      <c r="Y35"/>
      <c r="Z35" s="1447" t="s">
        <v>1183</v>
      </c>
      <c r="AA35" s="1448"/>
    </row>
    <row r="36" spans="1:27">
      <c r="A36" s="4">
        <v>13</v>
      </c>
      <c r="B36" s="757" t="s">
        <v>839</v>
      </c>
      <c r="C36" s="955">
        <v>1309</v>
      </c>
      <c r="D36" s="955">
        <v>197.5</v>
      </c>
      <c r="E36" s="1064">
        <f t="shared" si="7"/>
        <v>15.08785332314744</v>
      </c>
      <c r="F36" s="955">
        <v>0</v>
      </c>
      <c r="G36" s="955">
        <v>43</v>
      </c>
      <c r="H36" s="757">
        <f t="shared" si="8"/>
        <v>43</v>
      </c>
      <c r="I36" s="941">
        <f t="shared" si="5"/>
        <v>16.534883720930232</v>
      </c>
      <c r="J36" s="941">
        <f t="shared" si="9"/>
        <v>109.59069767441859</v>
      </c>
      <c r="K36" s="4">
        <v>13</v>
      </c>
      <c r="L36" s="757" t="s">
        <v>839</v>
      </c>
      <c r="M36" s="945">
        <v>12.361549753350891</v>
      </c>
      <c r="N36" s="779">
        <v>1.08</v>
      </c>
      <c r="O36" s="779">
        <v>3.9669556596382924</v>
      </c>
      <c r="P36" s="649">
        <f t="shared" si="10"/>
        <v>0.13350473733618964</v>
      </c>
      <c r="Q36" s="649">
        <f t="shared" si="11"/>
        <v>0.49037719755955655</v>
      </c>
      <c r="S36" s="4" t="s">
        <v>941</v>
      </c>
      <c r="T36" s="4">
        <f>+P32/P31*100</f>
        <v>32.10758854760725</v>
      </c>
      <c r="W36" s="1065" t="s">
        <v>1056</v>
      </c>
      <c r="X36" s="1182">
        <f>N28</f>
        <v>19.619999999999997</v>
      </c>
      <c r="Y36"/>
      <c r="Z36" s="1065" t="s">
        <v>1056</v>
      </c>
      <c r="AA36" s="1182">
        <f>T30</f>
        <v>26.691970050092202</v>
      </c>
    </row>
    <row r="37" spans="1:27">
      <c r="W37" s="1065" t="s">
        <v>1096</v>
      </c>
      <c r="X37" s="1182">
        <f>+X38*X39</f>
        <v>11.382459021710519</v>
      </c>
      <c r="Y37"/>
      <c r="Z37" s="1065" t="s">
        <v>1096</v>
      </c>
      <c r="AA37" s="1182">
        <f>AA38*AA39</f>
        <v>97.165969364519796</v>
      </c>
    </row>
    <row r="38" spans="1:27">
      <c r="S38" s="4" t="s">
        <v>1119</v>
      </c>
      <c r="T38" s="4">
        <f>(M35/M27)*100</f>
        <v>8.2512659422972998</v>
      </c>
      <c r="W38" s="1065" t="s">
        <v>1178</v>
      </c>
      <c r="X38" s="1182">
        <f>M28/M36*100</f>
        <v>0.62655737734186345</v>
      </c>
      <c r="Y38"/>
      <c r="Z38" s="1065" t="s">
        <v>1178</v>
      </c>
      <c r="AA38" s="1182">
        <f>T28</f>
        <v>11.532374357123759</v>
      </c>
    </row>
    <row r="39" spans="1:27">
      <c r="K39" s="4" t="s">
        <v>872</v>
      </c>
      <c r="W39" s="1065" t="s">
        <v>753</v>
      </c>
      <c r="X39" s="1182">
        <f>N28/N36</f>
        <v>18.166666666666664</v>
      </c>
      <c r="Y39"/>
      <c r="Z39" s="1065" t="s">
        <v>753</v>
      </c>
      <c r="AA39" s="1182">
        <f>T29</f>
        <v>8.4254955966200136</v>
      </c>
    </row>
    <row r="40" spans="1:27">
      <c r="L40" s="928"/>
      <c r="M40" s="928" t="s">
        <v>876</v>
      </c>
      <c r="N40" s="928" t="s">
        <v>874</v>
      </c>
      <c r="O40" s="928" t="s">
        <v>873</v>
      </c>
    </row>
    <row r="41" spans="1:27">
      <c r="K41" s="4">
        <v>1</v>
      </c>
      <c r="L41" s="757" t="s">
        <v>844</v>
      </c>
      <c r="M41" s="928" t="e">
        <f>+(M6-M24)/M6*100</f>
        <v>#DIV/0!</v>
      </c>
      <c r="N41" s="928" t="e">
        <f t="shared" ref="N41:O41" si="12">+(N6-N24)/N6*100</f>
        <v>#DIV/0!</v>
      </c>
      <c r="O41" s="928" t="e">
        <f t="shared" si="12"/>
        <v>#DIV/0!</v>
      </c>
    </row>
    <row r="42" spans="1:27">
      <c r="K42" s="4">
        <v>2</v>
      </c>
      <c r="L42" s="757" t="s">
        <v>845</v>
      </c>
      <c r="M42" s="928" t="e">
        <f t="shared" ref="M42:O43" si="13">+(M7-M25)/M7*100</f>
        <v>#DIV/0!</v>
      </c>
      <c r="N42" s="928" t="e">
        <f t="shared" si="13"/>
        <v>#DIV/0!</v>
      </c>
      <c r="O42" s="928" t="e">
        <f t="shared" si="13"/>
        <v>#DIV/0!</v>
      </c>
    </row>
    <row r="43" spans="1:27">
      <c r="K43" s="4">
        <v>3</v>
      </c>
      <c r="L43" s="757" t="s">
        <v>846</v>
      </c>
      <c r="M43" s="928" t="e">
        <f t="shared" si="13"/>
        <v>#DIV/0!</v>
      </c>
      <c r="N43" s="928" t="e">
        <f t="shared" si="13"/>
        <v>#DIV/0!</v>
      </c>
      <c r="O43" s="928" t="e">
        <f t="shared" si="13"/>
        <v>#DIV/0!</v>
      </c>
    </row>
    <row r="44" spans="1:27">
      <c r="K44" s="4">
        <v>4</v>
      </c>
      <c r="L44" s="757" t="s">
        <v>830</v>
      </c>
      <c r="M44" s="948">
        <f>ABS((M9-M27)/M9*100)</f>
        <v>57.456942840554738</v>
      </c>
      <c r="N44" s="948">
        <f>ABS((N9-N27)/N9*100)</f>
        <v>20</v>
      </c>
      <c r="O44" s="948">
        <f>ABS((O9-O27)/O9*100)</f>
        <v>15</v>
      </c>
    </row>
    <row r="45" spans="1:27">
      <c r="K45" s="4">
        <v>5</v>
      </c>
      <c r="L45" s="757" t="s">
        <v>831</v>
      </c>
      <c r="M45" s="948">
        <f t="shared" ref="M45:O53" si="14">ABS((M10-M28)/M10*100)</f>
        <v>90</v>
      </c>
      <c r="N45" s="948">
        <f t="shared" si="14"/>
        <v>25.000000000000011</v>
      </c>
      <c r="O45" s="948">
        <f t="shared" si="14"/>
        <v>13.922563902292698</v>
      </c>
    </row>
    <row r="46" spans="1:27">
      <c r="K46" s="4">
        <v>6</v>
      </c>
      <c r="L46" s="757" t="s">
        <v>832</v>
      </c>
      <c r="M46" s="948">
        <f t="shared" si="14"/>
        <v>4.0393077961137385</v>
      </c>
      <c r="N46" s="948">
        <f t="shared" si="14"/>
        <v>20</v>
      </c>
      <c r="O46" s="948">
        <f t="shared" si="14"/>
        <v>15.000000000000002</v>
      </c>
    </row>
    <row r="47" spans="1:27">
      <c r="K47" s="4">
        <v>7</v>
      </c>
      <c r="L47" s="757" t="s">
        <v>833</v>
      </c>
      <c r="M47" s="948">
        <f t="shared" si="14"/>
        <v>19.748172982048583</v>
      </c>
      <c r="N47" s="948">
        <f t="shared" si="14"/>
        <v>20.000000000000004</v>
      </c>
      <c r="O47" s="948">
        <f t="shared" si="14"/>
        <v>28.751209391103615</v>
      </c>
    </row>
    <row r="48" spans="1:27">
      <c r="C48" s="1065" t="s">
        <v>945</v>
      </c>
      <c r="D48" s="1066" t="s">
        <v>949</v>
      </c>
      <c r="E48" s="1066" t="s">
        <v>950</v>
      </c>
      <c r="F48" s="1065" t="s">
        <v>947</v>
      </c>
      <c r="K48" s="4">
        <v>8</v>
      </c>
      <c r="L48" s="757" t="s">
        <v>834</v>
      </c>
      <c r="M48" s="948">
        <f t="shared" si="14"/>
        <v>85</v>
      </c>
      <c r="N48" s="948">
        <f t="shared" si="14"/>
        <v>19.350589047104549</v>
      </c>
      <c r="O48" s="948">
        <f t="shared" si="14"/>
        <v>1.1233518195323333</v>
      </c>
    </row>
    <row r="49" spans="2:15">
      <c r="B49" s="1065" t="s">
        <v>942</v>
      </c>
      <c r="C49" s="649">
        <f>(I28/1000)/(PI()*(4*0.0254/2)^2)</f>
        <v>9.5533672198005529E-2</v>
      </c>
      <c r="D49" s="649">
        <f>((I27/(E27*0.01))-I27)+I27/4.2</f>
        <v>155.49012244897958</v>
      </c>
      <c r="E49" s="649">
        <f>((I29/(E29*0.01))-I29)+I29/4.2</f>
        <v>123.81731092436975</v>
      </c>
      <c r="F49" s="649">
        <f>((E49-D49)*1000/3600)/(PI()*(4*2.54/2)^2)</f>
        <v>-0.10851925869723111</v>
      </c>
      <c r="K49" s="4">
        <v>9</v>
      </c>
      <c r="L49" s="757" t="s">
        <v>835</v>
      </c>
      <c r="M49" s="948">
        <f t="shared" si="14"/>
        <v>50.584918515078002</v>
      </c>
      <c r="N49" s="948">
        <f t="shared" si="14"/>
        <v>14.999999999999995</v>
      </c>
      <c r="O49" s="948">
        <f t="shared" si="14"/>
        <v>14.999999999999996</v>
      </c>
    </row>
    <row r="50" spans="2:15">
      <c r="B50" s="1065" t="s">
        <v>946</v>
      </c>
      <c r="C50" s="649">
        <f>(I32/1000)/(PI()*(3*0.0254/2)^2)</f>
        <v>0.16180107652814349</v>
      </c>
      <c r="D50" s="649">
        <f>((I31/(E31*0.01))-I31)+I31/4.2</f>
        <v>66.219849624060132</v>
      </c>
      <c r="E50" s="649">
        <f>((I33/(E33*0.01))-I33)+I33/4.2</f>
        <v>77.084999999999994</v>
      </c>
      <c r="F50" s="649">
        <f>((E50-D50)*1000/3600)/(PI()*(3*2.54/2)^2)</f>
        <v>6.6181013945725939E-2</v>
      </c>
      <c r="K50" s="4">
        <v>10</v>
      </c>
      <c r="L50" s="757" t="s">
        <v>836</v>
      </c>
      <c r="M50" s="948">
        <f t="shared" si="14"/>
        <v>75.487107877392702</v>
      </c>
      <c r="N50" s="948">
        <f t="shared" si="14"/>
        <v>27.07692307692308</v>
      </c>
      <c r="O50" s="948">
        <f t="shared" si="14"/>
        <v>0.14371741792052264</v>
      </c>
    </row>
    <row r="51" spans="2:15">
      <c r="K51" s="4">
        <v>11</v>
      </c>
      <c r="L51" s="757" t="s">
        <v>837</v>
      </c>
      <c r="M51" s="948">
        <f t="shared" si="14"/>
        <v>22.031428422287728</v>
      </c>
      <c r="N51" s="948">
        <f t="shared" si="14"/>
        <v>29.09090909090909</v>
      </c>
      <c r="O51" s="948">
        <f t="shared" si="14"/>
        <v>15.000000000000005</v>
      </c>
    </row>
    <row r="52" spans="2:15">
      <c r="K52" s="4">
        <v>12</v>
      </c>
      <c r="L52" s="757" t="s">
        <v>838</v>
      </c>
      <c r="M52" s="948">
        <f t="shared" si="14"/>
        <v>83.651251508126364</v>
      </c>
      <c r="N52" s="948">
        <f t="shared" si="14"/>
        <v>14.110654288761172</v>
      </c>
      <c r="O52" s="948">
        <f t="shared" si="14"/>
        <v>9.7780602108014101</v>
      </c>
    </row>
    <row r="53" spans="2:15">
      <c r="K53" s="4">
        <v>13</v>
      </c>
      <c r="L53" s="757" t="s">
        <v>839</v>
      </c>
      <c r="M53" s="948">
        <f t="shared" si="14"/>
        <v>25.239572518412327</v>
      </c>
      <c r="N53" s="948">
        <f t="shared" si="14"/>
        <v>20.000000000000004</v>
      </c>
      <c r="O53" s="948">
        <f t="shared" si="14"/>
        <v>29.663906744001906</v>
      </c>
    </row>
    <row r="56" spans="2:15">
      <c r="K56" s="4" t="s">
        <v>877</v>
      </c>
    </row>
    <row r="57" spans="2:15">
      <c r="L57" s="928"/>
      <c r="M57" s="928" t="s">
        <v>876</v>
      </c>
      <c r="N57" s="928" t="s">
        <v>874</v>
      </c>
      <c r="O57" s="928" t="s">
        <v>873</v>
      </c>
    </row>
    <row r="58" spans="2:15">
      <c r="K58" s="127">
        <v>1</v>
      </c>
      <c r="L58" s="952" t="s">
        <v>844</v>
      </c>
      <c r="M58" s="953">
        <v>30</v>
      </c>
      <c r="N58" s="953">
        <v>5</v>
      </c>
      <c r="O58" s="953">
        <v>10</v>
      </c>
    </row>
    <row r="59" spans="2:15">
      <c r="K59" s="127">
        <v>2</v>
      </c>
      <c r="L59" s="952" t="s">
        <v>845</v>
      </c>
      <c r="M59" s="953">
        <v>30</v>
      </c>
      <c r="N59" s="953">
        <v>5</v>
      </c>
      <c r="O59" s="953">
        <v>10</v>
      </c>
    </row>
    <row r="60" spans="2:15">
      <c r="K60" s="127">
        <v>3</v>
      </c>
      <c r="L60" s="954" t="s">
        <v>846</v>
      </c>
      <c r="M60" s="953">
        <v>30</v>
      </c>
      <c r="N60" s="953">
        <v>5</v>
      </c>
      <c r="O60" s="953">
        <v>10</v>
      </c>
    </row>
    <row r="61" spans="2:15">
      <c r="K61" s="4">
        <v>4</v>
      </c>
      <c r="L61" s="757" t="s">
        <v>830</v>
      </c>
      <c r="M61" s="928">
        <v>60</v>
      </c>
      <c r="N61" s="928">
        <v>20</v>
      </c>
      <c r="O61" s="928">
        <v>15</v>
      </c>
    </row>
    <row r="62" spans="2:15">
      <c r="K62" s="4">
        <v>5</v>
      </c>
      <c r="L62" s="944" t="s">
        <v>831</v>
      </c>
      <c r="M62" s="928">
        <v>90</v>
      </c>
      <c r="N62" s="928">
        <v>25</v>
      </c>
      <c r="O62" s="928">
        <v>15</v>
      </c>
    </row>
    <row r="63" spans="2:15">
      <c r="K63" s="4">
        <v>6</v>
      </c>
      <c r="L63" s="757" t="s">
        <v>832</v>
      </c>
      <c r="M63" s="928">
        <v>30</v>
      </c>
      <c r="N63" s="928">
        <v>20</v>
      </c>
      <c r="O63" s="928">
        <v>15</v>
      </c>
    </row>
    <row r="64" spans="2:15">
      <c r="K64" s="949">
        <v>7</v>
      </c>
      <c r="L64" s="950" t="s">
        <v>833</v>
      </c>
      <c r="M64" s="928">
        <v>30</v>
      </c>
      <c r="N64" s="951">
        <v>20</v>
      </c>
      <c r="O64" s="951">
        <v>30</v>
      </c>
    </row>
    <row r="65" spans="11:15">
      <c r="K65" s="4">
        <v>8</v>
      </c>
      <c r="L65" s="757" t="s">
        <v>834</v>
      </c>
      <c r="M65" s="928">
        <v>85</v>
      </c>
      <c r="N65" s="928">
        <v>20</v>
      </c>
      <c r="O65" s="928">
        <v>15</v>
      </c>
    </row>
    <row r="66" spans="11:15">
      <c r="K66" s="4">
        <v>9</v>
      </c>
      <c r="L66" s="944" t="s">
        <v>835</v>
      </c>
      <c r="M66" s="928">
        <v>50</v>
      </c>
      <c r="N66" s="928">
        <v>15</v>
      </c>
      <c r="O66" s="928">
        <v>15</v>
      </c>
    </row>
    <row r="67" spans="11:15">
      <c r="K67" s="949">
        <v>10</v>
      </c>
      <c r="L67" s="950" t="s">
        <v>836</v>
      </c>
      <c r="M67" s="928">
        <v>85</v>
      </c>
      <c r="N67" s="951">
        <v>20</v>
      </c>
      <c r="O67" s="951">
        <v>30</v>
      </c>
    </row>
    <row r="68" spans="11:15">
      <c r="K68" s="4">
        <v>11</v>
      </c>
      <c r="L68" s="943" t="s">
        <v>837</v>
      </c>
      <c r="M68" s="928">
        <v>30</v>
      </c>
      <c r="N68" s="928">
        <v>30</v>
      </c>
      <c r="O68" s="928">
        <v>15</v>
      </c>
    </row>
    <row r="69" spans="11:15">
      <c r="K69" s="4">
        <v>12</v>
      </c>
      <c r="L69" s="944" t="s">
        <v>838</v>
      </c>
      <c r="M69" s="928">
        <v>85</v>
      </c>
      <c r="N69" s="928">
        <v>15</v>
      </c>
      <c r="O69" s="928">
        <v>15</v>
      </c>
    </row>
    <row r="70" spans="11:15">
      <c r="K70" s="949">
        <v>13</v>
      </c>
      <c r="L70" s="950" t="s">
        <v>839</v>
      </c>
      <c r="M70" s="928">
        <v>30</v>
      </c>
      <c r="N70" s="951">
        <v>20</v>
      </c>
      <c r="O70" s="951">
        <v>30</v>
      </c>
    </row>
  </sheetData>
  <mergeCells count="8">
    <mergeCell ref="L4:Q4"/>
    <mergeCell ref="L22:Q22"/>
    <mergeCell ref="W23:X23"/>
    <mergeCell ref="W29:X29"/>
    <mergeCell ref="Z35:AA35"/>
    <mergeCell ref="Z29:AA29"/>
    <mergeCell ref="W35:X35"/>
    <mergeCell ref="Z23:AA23"/>
  </mergeCells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45517-F287-4EC8-848F-951532C32445}">
  <dimension ref="C1:F69"/>
  <sheetViews>
    <sheetView workbookViewId="0">
      <selection activeCell="K24" sqref="J24:K24"/>
    </sheetView>
  </sheetViews>
  <sheetFormatPr baseColWidth="10" defaultRowHeight="14.5"/>
  <cols>
    <col min="3" max="3" width="17.81640625" style="700" customWidth="1"/>
    <col min="4" max="4" width="79" style="700" customWidth="1"/>
    <col min="5" max="5" width="6.81640625" style="700" bestFit="1" customWidth="1"/>
    <col min="6" max="6" width="11.54296875" style="700" bestFit="1" customWidth="1"/>
  </cols>
  <sheetData>
    <row r="1" spans="3:6" ht="15" thickBot="1">
      <c r="C1" s="700" t="s">
        <v>1304</v>
      </c>
    </row>
    <row r="2" spans="3:6" ht="15" thickBot="1">
      <c r="C2" s="1198" t="s">
        <v>1225</v>
      </c>
      <c r="D2" s="1199" t="s">
        <v>1226</v>
      </c>
      <c r="E2" s="1199" t="s">
        <v>1227</v>
      </c>
      <c r="F2" s="1199" t="s">
        <v>6</v>
      </c>
    </row>
    <row r="3" spans="3:6" ht="15" thickBot="1">
      <c r="C3" s="1468" t="s">
        <v>1228</v>
      </c>
      <c r="D3" s="1200" t="s">
        <v>1229</v>
      </c>
      <c r="E3" s="1468" t="s">
        <v>1230</v>
      </c>
      <c r="F3" s="1201">
        <v>45933</v>
      </c>
    </row>
    <row r="4" spans="3:6" ht="15" thickBot="1">
      <c r="C4" s="1469"/>
      <c r="D4" s="1200" t="s">
        <v>1231</v>
      </c>
      <c r="E4" s="1470"/>
      <c r="F4" s="1201">
        <v>45933</v>
      </c>
    </row>
    <row r="5" spans="3:6" ht="15" thickBot="1">
      <c r="C5" s="1470"/>
      <c r="D5" s="1200" t="s">
        <v>1232</v>
      </c>
      <c r="E5" s="1202" t="s">
        <v>1233</v>
      </c>
      <c r="F5" s="1201">
        <v>45933</v>
      </c>
    </row>
    <row r="6" spans="3:6" ht="15" thickBot="1">
      <c r="C6" s="1468" t="s">
        <v>1234</v>
      </c>
      <c r="D6" s="1200" t="s">
        <v>1235</v>
      </c>
      <c r="E6" s="1202" t="s">
        <v>1236</v>
      </c>
      <c r="F6" s="1201">
        <v>45933</v>
      </c>
    </row>
    <row r="7" spans="3:6" ht="15" thickBot="1">
      <c r="C7" s="1469"/>
      <c r="D7" s="1200" t="s">
        <v>1237</v>
      </c>
      <c r="E7" s="1202" t="s">
        <v>1233</v>
      </c>
      <c r="F7" s="1201">
        <v>45933</v>
      </c>
    </row>
    <row r="8" spans="3:6" ht="15" thickBot="1">
      <c r="C8" s="1469"/>
      <c r="D8" s="1200" t="s">
        <v>1238</v>
      </c>
      <c r="E8" s="1202" t="s">
        <v>1230</v>
      </c>
      <c r="F8" s="1201">
        <v>45933</v>
      </c>
    </row>
    <row r="9" spans="3:6" ht="15" thickBot="1">
      <c r="C9" s="1469"/>
      <c r="D9" s="1200" t="s">
        <v>1239</v>
      </c>
      <c r="E9" s="1468" t="s">
        <v>1240</v>
      </c>
      <c r="F9" s="1201">
        <v>45933</v>
      </c>
    </row>
    <row r="10" spans="3:6" ht="15" thickBot="1">
      <c r="C10" s="1469"/>
      <c r="D10" s="1200" t="s">
        <v>1241</v>
      </c>
      <c r="E10" s="1469"/>
      <c r="F10" s="1201">
        <v>45933</v>
      </c>
    </row>
    <row r="11" spans="3:6" ht="15" thickBot="1">
      <c r="C11" s="1469"/>
      <c r="D11" s="1200" t="s">
        <v>1242</v>
      </c>
      <c r="E11" s="1469"/>
      <c r="F11" s="1201">
        <v>45933</v>
      </c>
    </row>
    <row r="12" spans="3:6" ht="15" thickBot="1">
      <c r="C12" s="1469"/>
      <c r="D12" s="1200" t="s">
        <v>1243</v>
      </c>
      <c r="E12" s="1469"/>
      <c r="F12" s="1201">
        <v>45933</v>
      </c>
    </row>
    <row r="13" spans="3:6" ht="15" thickBot="1">
      <c r="C13" s="1469"/>
      <c r="D13" s="1200" t="s">
        <v>1244</v>
      </c>
      <c r="E13" s="1469"/>
      <c r="F13" s="1201">
        <v>45933</v>
      </c>
    </row>
    <row r="14" spans="3:6" ht="15" thickBot="1">
      <c r="C14" s="1469"/>
      <c r="D14" s="1200" t="s">
        <v>1245</v>
      </c>
      <c r="E14" s="1469"/>
      <c r="F14" s="1201">
        <v>45933</v>
      </c>
    </row>
    <row r="15" spans="3:6" ht="15" thickBot="1">
      <c r="C15" s="1469"/>
      <c r="D15" s="1200" t="s">
        <v>1246</v>
      </c>
      <c r="E15" s="1470"/>
      <c r="F15" s="1201">
        <v>45933</v>
      </c>
    </row>
    <row r="16" spans="3:6" ht="15" thickBot="1">
      <c r="C16" s="1469"/>
      <c r="D16" s="1200" t="s">
        <v>1247</v>
      </c>
      <c r="E16" s="1202" t="s">
        <v>1248</v>
      </c>
      <c r="F16" s="1201">
        <v>45933</v>
      </c>
    </row>
    <row r="17" spans="3:6" ht="15" thickBot="1">
      <c r="C17" s="1469"/>
      <c r="D17" s="1200" t="s">
        <v>1249</v>
      </c>
      <c r="E17" s="1468" t="s">
        <v>1240</v>
      </c>
      <c r="F17" s="1201">
        <v>45933</v>
      </c>
    </row>
    <row r="18" spans="3:6" ht="15" thickBot="1">
      <c r="C18" s="1470"/>
      <c r="D18" s="1200" t="s">
        <v>1250</v>
      </c>
      <c r="E18" s="1470"/>
      <c r="F18" s="1201">
        <v>45933</v>
      </c>
    </row>
    <row r="19" spans="3:6" ht="15" thickBot="1">
      <c r="C19" s="1468" t="s">
        <v>1251</v>
      </c>
      <c r="D19" s="1200" t="s">
        <v>1235</v>
      </c>
      <c r="E19" s="1202" t="s">
        <v>1236</v>
      </c>
      <c r="F19" s="1201">
        <v>45933</v>
      </c>
    </row>
    <row r="20" spans="3:6" ht="15" thickBot="1">
      <c r="C20" s="1469"/>
      <c r="D20" s="1200" t="s">
        <v>1252</v>
      </c>
      <c r="E20" s="1202" t="s">
        <v>1240</v>
      </c>
      <c r="F20" s="1201">
        <v>45933</v>
      </c>
    </row>
    <row r="21" spans="3:6" ht="15" thickBot="1">
      <c r="C21" s="1469"/>
      <c r="D21" s="1200" t="s">
        <v>1253</v>
      </c>
      <c r="E21" s="1202" t="s">
        <v>1230</v>
      </c>
      <c r="F21" s="1201">
        <v>45933</v>
      </c>
    </row>
    <row r="22" spans="3:6" ht="15" thickBot="1">
      <c r="C22" s="1469"/>
      <c r="D22" s="1200" t="s">
        <v>1254</v>
      </c>
      <c r="E22" s="1468" t="s">
        <v>1240</v>
      </c>
      <c r="F22" s="1201">
        <v>45933</v>
      </c>
    </row>
    <row r="23" spans="3:6" ht="15" thickBot="1">
      <c r="C23" s="1469"/>
      <c r="D23" s="1200" t="s">
        <v>1255</v>
      </c>
      <c r="E23" s="1469"/>
      <c r="F23" s="1201">
        <v>45933</v>
      </c>
    </row>
    <row r="24" spans="3:6" ht="15" thickBot="1">
      <c r="C24" s="1469"/>
      <c r="D24" s="1200" t="s">
        <v>1256</v>
      </c>
      <c r="E24" s="1469"/>
      <c r="F24" s="1201">
        <v>45933</v>
      </c>
    </row>
    <row r="25" spans="3:6" ht="15" thickBot="1">
      <c r="C25" s="1469"/>
      <c r="D25" s="1200" t="s">
        <v>1257</v>
      </c>
      <c r="E25" s="1469"/>
      <c r="F25" s="1201">
        <v>45933</v>
      </c>
    </row>
    <row r="26" spans="3:6" ht="15" thickBot="1">
      <c r="C26" s="1469"/>
      <c r="D26" s="1200" t="s">
        <v>1258</v>
      </c>
      <c r="E26" s="1469"/>
      <c r="F26" s="1201">
        <v>45933</v>
      </c>
    </row>
    <row r="27" spans="3:6" ht="15" thickBot="1">
      <c r="C27" s="1469"/>
      <c r="D27" s="1200" t="s">
        <v>1259</v>
      </c>
      <c r="E27" s="1469"/>
      <c r="F27" s="1201">
        <v>45933</v>
      </c>
    </row>
    <row r="28" spans="3:6" ht="15" thickBot="1">
      <c r="C28" s="1469"/>
      <c r="D28" s="1200" t="s">
        <v>1260</v>
      </c>
      <c r="E28" s="1469"/>
      <c r="F28" s="1201">
        <v>45933</v>
      </c>
    </row>
    <row r="29" spans="3:6" ht="15" thickBot="1">
      <c r="C29" s="1469"/>
      <c r="D29" s="1200" t="s">
        <v>1261</v>
      </c>
      <c r="E29" s="1469"/>
      <c r="F29" s="1201">
        <v>45933</v>
      </c>
    </row>
    <row r="30" spans="3:6" ht="15" thickBot="1">
      <c r="C30" s="1469"/>
      <c r="D30" s="1200" t="s">
        <v>1262</v>
      </c>
      <c r="E30" s="1469"/>
      <c r="F30" s="1201">
        <v>45933</v>
      </c>
    </row>
    <row r="31" spans="3:6" ht="15" thickBot="1">
      <c r="C31" s="1469"/>
      <c r="D31" s="1200" t="s">
        <v>1263</v>
      </c>
      <c r="E31" s="1469"/>
      <c r="F31" s="1201">
        <v>45933</v>
      </c>
    </row>
    <row r="32" spans="3:6" ht="15" thickBot="1">
      <c r="C32" s="1469"/>
      <c r="D32" s="1200" t="s">
        <v>1264</v>
      </c>
      <c r="E32" s="1469"/>
      <c r="F32" s="1201">
        <v>45933</v>
      </c>
    </row>
    <row r="33" spans="3:6" ht="15" thickBot="1">
      <c r="C33" s="1469"/>
      <c r="D33" s="1200" t="s">
        <v>1265</v>
      </c>
      <c r="E33" s="1469"/>
      <c r="F33" s="1201">
        <v>45933</v>
      </c>
    </row>
    <row r="34" spans="3:6" ht="15" thickBot="1">
      <c r="C34" s="1469"/>
      <c r="D34" s="1200" t="s">
        <v>1266</v>
      </c>
      <c r="E34" s="1469"/>
      <c r="F34" s="1201">
        <v>45933</v>
      </c>
    </row>
    <row r="35" spans="3:6" ht="15" thickBot="1">
      <c r="C35" s="1469"/>
      <c r="D35" s="1200" t="s">
        <v>1267</v>
      </c>
      <c r="E35" s="1469"/>
      <c r="F35" s="1201">
        <v>45933</v>
      </c>
    </row>
    <row r="36" spans="3:6" ht="15" thickBot="1">
      <c r="C36" s="1469"/>
      <c r="D36" s="1200" t="s">
        <v>1268</v>
      </c>
      <c r="E36" s="1469"/>
      <c r="F36" s="1201">
        <v>45933</v>
      </c>
    </row>
    <row r="37" spans="3:6" ht="15" thickBot="1">
      <c r="C37" s="1469"/>
      <c r="D37" s="1200" t="s">
        <v>1269</v>
      </c>
      <c r="E37" s="1469"/>
      <c r="F37" s="1201">
        <v>45933</v>
      </c>
    </row>
    <row r="38" spans="3:6" ht="15" thickBot="1">
      <c r="C38" s="1470"/>
      <c r="D38" s="1200" t="s">
        <v>1270</v>
      </c>
      <c r="E38" s="1469"/>
      <c r="F38" s="1201">
        <v>45933</v>
      </c>
    </row>
    <row r="39" spans="3:6" ht="15" thickBot="1">
      <c r="C39" s="1468" t="s">
        <v>1271</v>
      </c>
      <c r="D39" s="1200" t="s">
        <v>1252</v>
      </c>
      <c r="E39" s="1469"/>
      <c r="F39" s="1201">
        <v>45933</v>
      </c>
    </row>
    <row r="40" spans="3:6" ht="15" thickBot="1">
      <c r="C40" s="1469"/>
      <c r="D40" s="1200" t="s">
        <v>1272</v>
      </c>
      <c r="E40" s="1469"/>
      <c r="F40" s="1201">
        <v>45933</v>
      </c>
    </row>
    <row r="41" spans="3:6" ht="15" thickBot="1">
      <c r="C41" s="1469"/>
      <c r="D41" s="1200" t="s">
        <v>1273</v>
      </c>
      <c r="E41" s="1469"/>
      <c r="F41" s="1201">
        <v>45933</v>
      </c>
    </row>
    <row r="42" spans="3:6" ht="15" thickBot="1">
      <c r="C42" s="1469"/>
      <c r="D42" s="1200" t="s">
        <v>1274</v>
      </c>
      <c r="E42" s="1469"/>
      <c r="F42" s="1201">
        <v>45933</v>
      </c>
    </row>
    <row r="43" spans="3:6" ht="15" thickBot="1">
      <c r="C43" s="1470"/>
      <c r="D43" s="1200" t="s">
        <v>1275</v>
      </c>
      <c r="E43" s="1470"/>
      <c r="F43" s="1201">
        <v>45933</v>
      </c>
    </row>
    <row r="44" spans="3:6" ht="15" thickBot="1">
      <c r="C44" s="1468" t="s">
        <v>1276</v>
      </c>
      <c r="D44" s="1200" t="s">
        <v>1235</v>
      </c>
      <c r="E44" s="1202" t="s">
        <v>1236</v>
      </c>
      <c r="F44" s="1201">
        <v>45933</v>
      </c>
    </row>
    <row r="45" spans="3:6" ht="15" thickBot="1">
      <c r="C45" s="1469"/>
      <c r="D45" s="1200" t="s">
        <v>1269</v>
      </c>
      <c r="E45" s="1468" t="s">
        <v>1240</v>
      </c>
      <c r="F45" s="1201">
        <v>45933</v>
      </c>
    </row>
    <row r="46" spans="3:6" ht="15" thickBot="1">
      <c r="C46" s="1469"/>
      <c r="D46" s="1200" t="s">
        <v>1270</v>
      </c>
      <c r="E46" s="1470"/>
      <c r="F46" s="1201">
        <v>45933</v>
      </c>
    </row>
    <row r="47" spans="3:6" ht="15" thickBot="1">
      <c r="C47" s="1469"/>
      <c r="D47" s="1200" t="s">
        <v>1277</v>
      </c>
      <c r="E47" s="1202" t="s">
        <v>1230</v>
      </c>
      <c r="F47" s="1201">
        <v>45933</v>
      </c>
    </row>
    <row r="48" spans="3:6" ht="15" thickBot="1">
      <c r="C48" s="1469"/>
      <c r="D48" s="1200" t="s">
        <v>1278</v>
      </c>
      <c r="E48" s="1468" t="s">
        <v>1233</v>
      </c>
      <c r="F48" s="1201">
        <v>45933</v>
      </c>
    </row>
    <row r="49" spans="3:6" ht="15" thickBot="1">
      <c r="C49" s="1469"/>
      <c r="D49" s="1200" t="s">
        <v>1279</v>
      </c>
      <c r="E49" s="1470"/>
      <c r="F49" s="1201">
        <v>45933</v>
      </c>
    </row>
    <row r="50" spans="3:6" ht="15" thickBot="1">
      <c r="C50" s="1469"/>
      <c r="D50" s="1200" t="s">
        <v>1280</v>
      </c>
      <c r="E50" s="1468" t="s">
        <v>1240</v>
      </c>
      <c r="F50" s="1201">
        <v>45933</v>
      </c>
    </row>
    <row r="51" spans="3:6" ht="15" thickBot="1">
      <c r="C51" s="1469"/>
      <c r="D51" s="1200" t="s">
        <v>1281</v>
      </c>
      <c r="E51" s="1469"/>
      <c r="F51" s="1201">
        <v>45933</v>
      </c>
    </row>
    <row r="52" spans="3:6" ht="15" thickBot="1">
      <c r="C52" s="1469"/>
      <c r="D52" s="1200" t="s">
        <v>1282</v>
      </c>
      <c r="E52" s="1469"/>
      <c r="F52" s="1201">
        <v>45933</v>
      </c>
    </row>
    <row r="53" spans="3:6" ht="15" thickBot="1">
      <c r="C53" s="1469"/>
      <c r="D53" s="1200" t="s">
        <v>1283</v>
      </c>
      <c r="E53" s="1469"/>
      <c r="F53" s="1201">
        <v>45933</v>
      </c>
    </row>
    <row r="54" spans="3:6" ht="15" thickBot="1">
      <c r="C54" s="1470"/>
      <c r="D54" s="1200" t="s">
        <v>1284</v>
      </c>
      <c r="E54" s="1469"/>
      <c r="F54" s="1201">
        <v>45933</v>
      </c>
    </row>
    <row r="55" spans="3:6" ht="28.5" thickBot="1">
      <c r="C55" s="1203" t="s">
        <v>1285</v>
      </c>
      <c r="D55" s="1200" t="s">
        <v>1286</v>
      </c>
      <c r="E55" s="1470"/>
      <c r="F55" s="1201">
        <v>45933</v>
      </c>
    </row>
    <row r="56" spans="3:6" ht="15" thickBot="1">
      <c r="C56" s="1468" t="s">
        <v>1287</v>
      </c>
      <c r="D56" s="1200" t="s">
        <v>1288</v>
      </c>
      <c r="E56" s="1202" t="s">
        <v>1230</v>
      </c>
      <c r="F56" s="1201">
        <v>45933</v>
      </c>
    </row>
    <row r="57" spans="3:6" ht="15" thickBot="1">
      <c r="C57" s="1469"/>
      <c r="D57" s="1200" t="s">
        <v>1289</v>
      </c>
      <c r="E57" s="1202" t="s">
        <v>1248</v>
      </c>
      <c r="F57" s="1201">
        <v>45933</v>
      </c>
    </row>
    <row r="58" spans="3:6" ht="15" thickBot="1">
      <c r="C58" s="1469"/>
      <c r="D58" s="1200" t="s">
        <v>1290</v>
      </c>
      <c r="E58" s="1468" t="s">
        <v>1240</v>
      </c>
      <c r="F58" s="1201">
        <v>45933</v>
      </c>
    </row>
    <row r="59" spans="3:6" ht="15" thickBot="1">
      <c r="C59" s="1469"/>
      <c r="D59" s="1200" t="s">
        <v>1291</v>
      </c>
      <c r="E59" s="1470"/>
      <c r="F59" s="1201">
        <v>45933</v>
      </c>
    </row>
    <row r="60" spans="3:6" ht="15" thickBot="1">
      <c r="C60" s="1469"/>
      <c r="D60" s="1200" t="s">
        <v>1292</v>
      </c>
      <c r="E60" s="1202" t="s">
        <v>1230</v>
      </c>
      <c r="F60" s="1201">
        <v>45933</v>
      </c>
    </row>
    <row r="61" spans="3:6" ht="15" thickBot="1">
      <c r="C61" s="1469"/>
      <c r="D61" s="1200" t="s">
        <v>1293</v>
      </c>
      <c r="E61" s="1468" t="s">
        <v>1233</v>
      </c>
      <c r="F61" s="1201">
        <v>45933</v>
      </c>
    </row>
    <row r="62" spans="3:6" ht="15" thickBot="1">
      <c r="C62" s="1469"/>
      <c r="D62" s="1200" t="s">
        <v>1294</v>
      </c>
      <c r="E62" s="1469"/>
      <c r="F62" s="1201">
        <v>45933</v>
      </c>
    </row>
    <row r="63" spans="3:6" ht="15" thickBot="1">
      <c r="C63" s="1470"/>
      <c r="D63" s="1200" t="s">
        <v>1295</v>
      </c>
      <c r="E63" s="1470"/>
      <c r="F63" s="1201">
        <v>45933</v>
      </c>
    </row>
    <row r="64" spans="3:6" ht="15" thickBot="1">
      <c r="C64" s="1468" t="s">
        <v>1296</v>
      </c>
      <c r="D64" s="1200" t="s">
        <v>1243</v>
      </c>
      <c r="E64" s="1202" t="s">
        <v>1240</v>
      </c>
      <c r="F64" s="1201">
        <v>45933</v>
      </c>
    </row>
    <row r="65" spans="3:6" ht="15" thickBot="1">
      <c r="C65" s="1469"/>
      <c r="D65" s="1200" t="s">
        <v>1297</v>
      </c>
      <c r="E65" s="1202" t="s">
        <v>1230</v>
      </c>
      <c r="F65" s="1201">
        <v>45933</v>
      </c>
    </row>
    <row r="66" spans="3:6" ht="15" thickBot="1">
      <c r="C66" s="1469"/>
      <c r="D66" s="1200" t="s">
        <v>1298</v>
      </c>
      <c r="E66" s="1468" t="s">
        <v>1248</v>
      </c>
      <c r="F66" s="1201">
        <v>45933</v>
      </c>
    </row>
    <row r="67" spans="3:6" ht="15" thickBot="1">
      <c r="C67" s="1469"/>
      <c r="D67" s="1200" t="s">
        <v>1299</v>
      </c>
      <c r="E67" s="1470"/>
      <c r="F67" s="1201">
        <v>45933</v>
      </c>
    </row>
    <row r="68" spans="3:6" ht="15" thickBot="1">
      <c r="C68" s="1470"/>
      <c r="D68" s="1200" t="s">
        <v>1300</v>
      </c>
      <c r="E68" s="1202" t="s">
        <v>1301</v>
      </c>
      <c r="F68" s="1201">
        <v>45933</v>
      </c>
    </row>
    <row r="69" spans="3:6" ht="15" thickBot="1">
      <c r="C69" s="1203" t="s">
        <v>1302</v>
      </c>
      <c r="D69" s="1200" t="s">
        <v>1303</v>
      </c>
      <c r="E69" s="1202" t="s">
        <v>1240</v>
      </c>
      <c r="F69" s="1201">
        <v>45933</v>
      </c>
    </row>
  </sheetData>
  <mergeCells count="17">
    <mergeCell ref="C64:C68"/>
    <mergeCell ref="E66:E67"/>
    <mergeCell ref="C44:C54"/>
    <mergeCell ref="E45:E46"/>
    <mergeCell ref="E48:E49"/>
    <mergeCell ref="E50:E55"/>
    <mergeCell ref="C56:C63"/>
    <mergeCell ref="E58:E59"/>
    <mergeCell ref="E61:E63"/>
    <mergeCell ref="C19:C38"/>
    <mergeCell ref="E22:E43"/>
    <mergeCell ref="C39:C43"/>
    <mergeCell ref="C3:C5"/>
    <mergeCell ref="E3:E4"/>
    <mergeCell ref="C6:C18"/>
    <mergeCell ref="E9:E15"/>
    <mergeCell ref="E17:E18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F1E4D-DEEE-4C8B-8D16-45FE5EFE9049}">
  <dimension ref="B1:J34"/>
  <sheetViews>
    <sheetView workbookViewId="0"/>
  </sheetViews>
  <sheetFormatPr baseColWidth="10" defaultRowHeight="14.5"/>
  <cols>
    <col min="2" max="2" width="13" customWidth="1"/>
  </cols>
  <sheetData>
    <row r="1" spans="2:10">
      <c r="C1" t="s">
        <v>1019</v>
      </c>
      <c r="D1" t="s">
        <v>1020</v>
      </c>
      <c r="E1" t="s">
        <v>1021</v>
      </c>
      <c r="F1" t="s">
        <v>1022</v>
      </c>
      <c r="G1" t="s">
        <v>1023</v>
      </c>
      <c r="H1" t="s">
        <v>1024</v>
      </c>
      <c r="I1" t="s">
        <v>1025</v>
      </c>
      <c r="J1" t="s">
        <v>1026</v>
      </c>
    </row>
    <row r="2" spans="2:10">
      <c r="C2" t="s">
        <v>1028</v>
      </c>
      <c r="D2" t="s">
        <v>1028</v>
      </c>
      <c r="E2" t="s">
        <v>1028</v>
      </c>
      <c r="F2" t="s">
        <v>1028</v>
      </c>
      <c r="G2" s="1071" t="s">
        <v>1030</v>
      </c>
      <c r="H2" s="1071" t="s">
        <v>1030</v>
      </c>
      <c r="I2" s="1071" t="s">
        <v>1030</v>
      </c>
      <c r="J2" s="1071" t="s">
        <v>1030</v>
      </c>
    </row>
    <row r="3" spans="2:10">
      <c r="C3" t="s">
        <v>1027</v>
      </c>
      <c r="D3" t="s">
        <v>1027</v>
      </c>
      <c r="E3" t="s">
        <v>1031</v>
      </c>
      <c r="F3" t="s">
        <v>1032</v>
      </c>
      <c r="G3" t="s">
        <v>1027</v>
      </c>
      <c r="H3" t="s">
        <v>1027</v>
      </c>
      <c r="I3" t="s">
        <v>1031</v>
      </c>
      <c r="J3" t="s">
        <v>1032</v>
      </c>
    </row>
    <row r="4" spans="2:10">
      <c r="B4" t="s">
        <v>1015</v>
      </c>
      <c r="C4" s="1074" t="s">
        <v>1099</v>
      </c>
      <c r="D4" s="1074" t="s">
        <v>1088</v>
      </c>
      <c r="E4" s="1074" t="s">
        <v>1092</v>
      </c>
      <c r="F4" s="1074" t="s">
        <v>980</v>
      </c>
      <c r="G4" s="1074" t="s">
        <v>1099</v>
      </c>
      <c r="H4" s="1074" t="s">
        <v>1088</v>
      </c>
      <c r="I4" s="1074" t="s">
        <v>1092</v>
      </c>
      <c r="J4" s="1074" t="s">
        <v>980</v>
      </c>
    </row>
    <row r="5" spans="2:10">
      <c r="B5" t="s">
        <v>219</v>
      </c>
      <c r="C5">
        <v>32.701000000000001</v>
      </c>
      <c r="D5">
        <v>19.277000000000001</v>
      </c>
      <c r="E5">
        <v>31.974</v>
      </c>
      <c r="F5">
        <v>41.654000000000003</v>
      </c>
      <c r="G5">
        <v>36.625</v>
      </c>
      <c r="H5">
        <v>14.367000000000001</v>
      </c>
      <c r="I5">
        <v>27.215</v>
      </c>
      <c r="J5">
        <v>46.584000000000003</v>
      </c>
    </row>
    <row r="6" spans="2:10">
      <c r="B6" t="s">
        <v>220</v>
      </c>
      <c r="C6">
        <v>35.646999999999998</v>
      </c>
      <c r="D6">
        <v>23.922999999999998</v>
      </c>
      <c r="E6">
        <v>30.568999999999999</v>
      </c>
      <c r="F6">
        <v>42.149000000000001</v>
      </c>
      <c r="G6">
        <v>36.078000000000003</v>
      </c>
      <c r="H6">
        <v>15.676</v>
      </c>
      <c r="I6">
        <v>30.222000000000001</v>
      </c>
      <c r="J6">
        <v>35.914999999999999</v>
      </c>
    </row>
    <row r="7" spans="2:10">
      <c r="B7" t="s">
        <v>222</v>
      </c>
      <c r="C7">
        <v>9.1649999999999991</v>
      </c>
      <c r="D7">
        <v>20.436</v>
      </c>
      <c r="E7">
        <v>15.359</v>
      </c>
      <c r="F7">
        <v>5.6559999999999997</v>
      </c>
      <c r="G7">
        <v>11.035</v>
      </c>
      <c r="H7">
        <v>22.995000000000001</v>
      </c>
      <c r="I7">
        <v>18.552</v>
      </c>
      <c r="J7">
        <v>6.4569999999999999</v>
      </c>
    </row>
    <row r="8" spans="2:10">
      <c r="B8" t="s">
        <v>224</v>
      </c>
      <c r="C8">
        <v>9.5920000000000005</v>
      </c>
      <c r="D8">
        <v>20.968</v>
      </c>
      <c r="E8">
        <v>13.023</v>
      </c>
      <c r="F8">
        <v>0.28399999999999997</v>
      </c>
      <c r="G8">
        <v>5.4569999999999999</v>
      </c>
      <c r="H8">
        <v>28.271000000000001</v>
      </c>
      <c r="I8">
        <v>13.759</v>
      </c>
      <c r="J8">
        <v>8.6999999999999994E-2</v>
      </c>
    </row>
    <row r="9" spans="2:10">
      <c r="B9" t="s">
        <v>221</v>
      </c>
      <c r="C9">
        <v>3.72</v>
      </c>
      <c r="D9">
        <v>1.4770000000000001</v>
      </c>
      <c r="E9">
        <v>2.5630000000000002</v>
      </c>
      <c r="F9">
        <v>4.3579999999999997</v>
      </c>
      <c r="G9">
        <v>3.94</v>
      </c>
      <c r="H9">
        <v>1.149</v>
      </c>
      <c r="I9">
        <v>2.234</v>
      </c>
      <c r="J9">
        <v>4.9539999999999997</v>
      </c>
    </row>
    <row r="10" spans="2:10">
      <c r="B10" t="s">
        <v>230</v>
      </c>
      <c r="C10">
        <v>1.76</v>
      </c>
      <c r="D10">
        <v>6.2030000000000003</v>
      </c>
      <c r="E10">
        <v>1.079</v>
      </c>
      <c r="F10">
        <v>0</v>
      </c>
      <c r="G10">
        <v>0.93700000000000006</v>
      </c>
      <c r="H10">
        <v>6.827</v>
      </c>
      <c r="I10">
        <v>1.794</v>
      </c>
      <c r="J10">
        <v>0</v>
      </c>
    </row>
    <row r="11" spans="2:10">
      <c r="B11" t="s">
        <v>223</v>
      </c>
      <c r="C11">
        <v>2.3759999999999999</v>
      </c>
      <c r="D11">
        <v>1.5629999999999999</v>
      </c>
      <c r="E11">
        <v>1.5449999999999999</v>
      </c>
      <c r="F11">
        <v>2.7109999999999999</v>
      </c>
      <c r="G11">
        <v>1.879</v>
      </c>
      <c r="H11">
        <v>0.68200000000000005</v>
      </c>
      <c r="I11">
        <v>1.5740000000000001</v>
      </c>
      <c r="J11">
        <v>2.3650000000000002</v>
      </c>
    </row>
    <row r="12" spans="2:10">
      <c r="B12" t="s">
        <v>2</v>
      </c>
      <c r="C12">
        <v>1.788</v>
      </c>
      <c r="D12">
        <v>1.1399999999999999</v>
      </c>
      <c r="E12">
        <v>1.298</v>
      </c>
      <c r="F12">
        <v>1.746</v>
      </c>
      <c r="G12">
        <v>1.784</v>
      </c>
      <c r="H12">
        <v>0.79800000000000004</v>
      </c>
      <c r="I12">
        <v>1.298</v>
      </c>
      <c r="J12">
        <v>1.911</v>
      </c>
    </row>
    <row r="13" spans="2:10">
      <c r="B13" t="s">
        <v>232</v>
      </c>
      <c r="C13">
        <v>0.78900000000000003</v>
      </c>
      <c r="D13">
        <v>1.95</v>
      </c>
      <c r="E13">
        <v>0.497</v>
      </c>
      <c r="F13">
        <v>1.2999999999999999E-2</v>
      </c>
      <c r="G13">
        <v>0.26900000000000002</v>
      </c>
      <c r="H13">
        <v>3.645</v>
      </c>
      <c r="I13">
        <v>1.03</v>
      </c>
      <c r="J13">
        <v>3.6999999999999998E-2</v>
      </c>
    </row>
    <row r="14" spans="2:10">
      <c r="B14" t="s">
        <v>231</v>
      </c>
      <c r="C14">
        <v>0.65800000000000003</v>
      </c>
      <c r="D14">
        <v>1.1659999999999999</v>
      </c>
      <c r="E14">
        <v>0.36199999999999999</v>
      </c>
      <c r="F14">
        <v>1.2E-2</v>
      </c>
      <c r="G14">
        <v>0.52900000000000003</v>
      </c>
      <c r="H14">
        <v>3.1179999999999999</v>
      </c>
      <c r="I14">
        <v>0.69099999999999995</v>
      </c>
      <c r="J14">
        <v>1E-3</v>
      </c>
    </row>
    <row r="15" spans="2:10">
      <c r="B15" t="s">
        <v>226</v>
      </c>
      <c r="C15">
        <v>0.221</v>
      </c>
      <c r="D15">
        <v>0.35699999999999998</v>
      </c>
      <c r="E15">
        <v>0.29299999999999998</v>
      </c>
      <c r="F15">
        <v>0.23899999999999999</v>
      </c>
      <c r="G15">
        <v>0.29799999999999999</v>
      </c>
      <c r="H15">
        <v>0.36099999999999999</v>
      </c>
      <c r="I15">
        <v>0.27800000000000002</v>
      </c>
      <c r="J15">
        <v>0.41899999999999998</v>
      </c>
    </row>
    <row r="16" spans="2:10">
      <c r="B16" t="s">
        <v>238</v>
      </c>
      <c r="C16">
        <v>0.312</v>
      </c>
      <c r="D16">
        <v>0.502</v>
      </c>
      <c r="E16">
        <v>0.33200000000000002</v>
      </c>
      <c r="F16">
        <v>1.4E-2</v>
      </c>
      <c r="G16">
        <v>0.113</v>
      </c>
      <c r="H16">
        <v>0.60599999999999998</v>
      </c>
      <c r="I16">
        <v>0.20699999999999999</v>
      </c>
      <c r="J16">
        <v>0</v>
      </c>
    </row>
    <row r="17" spans="2:10">
      <c r="B17" t="s">
        <v>229</v>
      </c>
      <c r="C17">
        <v>0.215</v>
      </c>
      <c r="D17">
        <v>0.17899999999999999</v>
      </c>
      <c r="E17">
        <v>0.16800000000000001</v>
      </c>
      <c r="F17">
        <v>0.27800000000000002</v>
      </c>
      <c r="G17">
        <v>0.27600000000000002</v>
      </c>
      <c r="H17">
        <v>0.32100000000000001</v>
      </c>
      <c r="I17">
        <v>0.22500000000000001</v>
      </c>
      <c r="J17">
        <v>0.20200000000000001</v>
      </c>
    </row>
    <row r="18" spans="2:10">
      <c r="B18" t="s">
        <v>3</v>
      </c>
      <c r="C18">
        <v>0.126</v>
      </c>
      <c r="D18">
        <v>0.33400000000000002</v>
      </c>
      <c r="E18">
        <v>0.27</v>
      </c>
      <c r="F18">
        <v>9.4E-2</v>
      </c>
      <c r="G18">
        <v>4.5999999999999999E-2</v>
      </c>
      <c r="H18">
        <v>0.36199999999999999</v>
      </c>
      <c r="I18">
        <v>0.11600000000000001</v>
      </c>
      <c r="J18">
        <v>7.0999999999999994E-2</v>
      </c>
    </row>
    <row r="19" spans="2:10">
      <c r="B19" t="s">
        <v>225</v>
      </c>
      <c r="C19">
        <v>0.22900000000000001</v>
      </c>
      <c r="D19">
        <v>3.0000000000000001E-3</v>
      </c>
      <c r="E19">
        <v>9.0999999999999998E-2</v>
      </c>
      <c r="F19">
        <v>0.13600000000000001</v>
      </c>
      <c r="G19">
        <v>0.20699999999999999</v>
      </c>
      <c r="H19">
        <v>9.9000000000000005E-2</v>
      </c>
      <c r="I19">
        <v>0.39800000000000002</v>
      </c>
      <c r="J19">
        <v>0.16800000000000001</v>
      </c>
    </row>
    <row r="20" spans="2:10">
      <c r="B20" t="s">
        <v>249</v>
      </c>
      <c r="C20">
        <v>0.26900000000000002</v>
      </c>
      <c r="D20">
        <v>4.8000000000000001E-2</v>
      </c>
      <c r="E20">
        <v>0.09</v>
      </c>
      <c r="F20">
        <v>0.22900000000000001</v>
      </c>
      <c r="G20">
        <v>7.9000000000000001E-2</v>
      </c>
      <c r="H20">
        <v>3.3000000000000002E-2</v>
      </c>
      <c r="I20">
        <v>5.1999999999999998E-2</v>
      </c>
      <c r="J20">
        <v>0.248</v>
      </c>
    </row>
    <row r="21" spans="2:10">
      <c r="B21" t="s">
        <v>227</v>
      </c>
      <c r="C21">
        <v>8.5000000000000006E-2</v>
      </c>
      <c r="D21">
        <v>8.3000000000000004E-2</v>
      </c>
      <c r="E21">
        <v>0.14799999999999999</v>
      </c>
      <c r="F21">
        <v>0.106</v>
      </c>
      <c r="G21">
        <v>0.14000000000000001</v>
      </c>
      <c r="H21">
        <v>0.13800000000000001</v>
      </c>
      <c r="I21">
        <v>4.1000000000000002E-2</v>
      </c>
      <c r="J21">
        <v>0.19</v>
      </c>
    </row>
    <row r="22" spans="2:10">
      <c r="B22" t="s">
        <v>228</v>
      </c>
      <c r="C22">
        <v>7.8E-2</v>
      </c>
      <c r="D22">
        <v>2.9000000000000001E-2</v>
      </c>
      <c r="E22">
        <v>5.7000000000000002E-2</v>
      </c>
      <c r="F22">
        <v>2.5000000000000001E-2</v>
      </c>
      <c r="G22">
        <v>0.08</v>
      </c>
      <c r="H22">
        <v>7.0000000000000001E-3</v>
      </c>
      <c r="I22">
        <v>6.3E-2</v>
      </c>
      <c r="J22">
        <v>0.16200000000000001</v>
      </c>
    </row>
    <row r="23" spans="2:10">
      <c r="B23" t="s">
        <v>235</v>
      </c>
      <c r="C23">
        <v>3.9E-2</v>
      </c>
      <c r="D23">
        <v>1.9E-2</v>
      </c>
      <c r="E23">
        <v>2.8000000000000001E-2</v>
      </c>
      <c r="F23">
        <v>0.17299999999999999</v>
      </c>
      <c r="G23">
        <v>0.11700000000000001</v>
      </c>
      <c r="H23">
        <v>1.2999999999999999E-2</v>
      </c>
      <c r="I23">
        <v>4.8000000000000001E-2</v>
      </c>
      <c r="J23">
        <v>5.2999999999999999E-2</v>
      </c>
    </row>
    <row r="24" spans="2:10">
      <c r="B24" t="s">
        <v>250</v>
      </c>
      <c r="C24">
        <v>1.9E-2</v>
      </c>
      <c r="D24">
        <v>0.12</v>
      </c>
      <c r="E24">
        <v>1E-3</v>
      </c>
      <c r="F24">
        <v>0</v>
      </c>
      <c r="G24">
        <v>8.0000000000000002E-3</v>
      </c>
      <c r="H24">
        <v>0.316</v>
      </c>
      <c r="I24">
        <v>4.0000000000000001E-3</v>
      </c>
      <c r="J24">
        <v>0</v>
      </c>
    </row>
    <row r="25" spans="2:10">
      <c r="B25" t="s">
        <v>237</v>
      </c>
      <c r="C25">
        <v>4.8000000000000001E-2</v>
      </c>
      <c r="D25">
        <v>7.5999999999999998E-2</v>
      </c>
      <c r="E25">
        <v>6.0999999999999999E-2</v>
      </c>
      <c r="F25">
        <v>1.2E-2</v>
      </c>
      <c r="G25">
        <v>5.0000000000000001E-3</v>
      </c>
      <c r="H25">
        <v>0.115</v>
      </c>
      <c r="I25">
        <v>8.4000000000000005E-2</v>
      </c>
      <c r="J25">
        <v>1.6E-2</v>
      </c>
    </row>
    <row r="26" spans="2:10">
      <c r="B26" t="s">
        <v>233</v>
      </c>
      <c r="C26">
        <v>4.3999999999999997E-2</v>
      </c>
      <c r="D26">
        <v>0.01</v>
      </c>
      <c r="E26">
        <v>1.4999999999999999E-2</v>
      </c>
      <c r="F26">
        <v>0.03</v>
      </c>
      <c r="G26">
        <v>2.5999999999999999E-2</v>
      </c>
      <c r="H26">
        <v>3.2000000000000001E-2</v>
      </c>
      <c r="I26">
        <v>1.2999999999999999E-2</v>
      </c>
      <c r="J26">
        <v>4.2999999999999997E-2</v>
      </c>
    </row>
    <row r="27" spans="2:10">
      <c r="B27" t="s">
        <v>236</v>
      </c>
      <c r="C27">
        <v>0.03</v>
      </c>
      <c r="D27">
        <v>1.4E-2</v>
      </c>
      <c r="E27">
        <v>9.5000000000000001E-2</v>
      </c>
      <c r="F27">
        <v>6.0000000000000001E-3</v>
      </c>
      <c r="G27">
        <v>4.0000000000000001E-3</v>
      </c>
      <c r="H27">
        <v>1E-3</v>
      </c>
      <c r="I27">
        <v>1.4E-2</v>
      </c>
      <c r="J27">
        <v>3.1E-2</v>
      </c>
    </row>
    <row r="28" spans="2:10">
      <c r="B28" t="s">
        <v>234</v>
      </c>
      <c r="C28">
        <v>2.5999999999999999E-2</v>
      </c>
      <c r="D28">
        <v>1.7999999999999999E-2</v>
      </c>
      <c r="E28">
        <v>1.7999999999999999E-2</v>
      </c>
      <c r="F28">
        <v>2.7E-2</v>
      </c>
      <c r="G28">
        <v>1.7999999999999999E-2</v>
      </c>
      <c r="H28">
        <v>6.0000000000000001E-3</v>
      </c>
      <c r="I28">
        <v>1.0999999999999999E-2</v>
      </c>
      <c r="J28">
        <v>4.4999999999999998E-2</v>
      </c>
    </row>
    <row r="29" spans="2:10">
      <c r="B29" t="s">
        <v>1016</v>
      </c>
      <c r="C29">
        <v>7.0000000000000001E-3</v>
      </c>
      <c r="D29">
        <v>4.2000000000000003E-2</v>
      </c>
      <c r="E29">
        <v>8.0000000000000002E-3</v>
      </c>
      <c r="F29">
        <v>0.02</v>
      </c>
      <c r="G29">
        <v>8.9999999999999993E-3</v>
      </c>
      <c r="H29">
        <v>1.0999999999999999E-2</v>
      </c>
      <c r="I29">
        <v>1E-3</v>
      </c>
      <c r="J29">
        <v>1.0999999999999999E-2</v>
      </c>
    </row>
    <row r="30" spans="2:10">
      <c r="B30" t="s">
        <v>1017</v>
      </c>
      <c r="C30">
        <v>3.0000000000000001E-3</v>
      </c>
      <c r="D30">
        <v>0.02</v>
      </c>
      <c r="E30">
        <v>2.8000000000000001E-2</v>
      </c>
      <c r="F30">
        <v>0</v>
      </c>
      <c r="G30">
        <v>1E-3</v>
      </c>
      <c r="H30">
        <v>1.2E-2</v>
      </c>
      <c r="I30">
        <v>1.7999999999999999E-2</v>
      </c>
      <c r="J30">
        <v>0</v>
      </c>
    </row>
    <row r="31" spans="2:10">
      <c r="B31" t="s">
        <v>1018</v>
      </c>
      <c r="C31">
        <v>3.0000000000000001E-3</v>
      </c>
      <c r="D31">
        <v>0.01</v>
      </c>
      <c r="E31">
        <v>1.2999999999999999E-2</v>
      </c>
      <c r="F31">
        <v>8.0000000000000002E-3</v>
      </c>
      <c r="G31">
        <v>0</v>
      </c>
      <c r="H31">
        <v>1.0999999999999999E-2</v>
      </c>
      <c r="I31">
        <v>0.02</v>
      </c>
      <c r="J31">
        <v>0</v>
      </c>
    </row>
    <row r="32" spans="2:10">
      <c r="B32" t="s">
        <v>239</v>
      </c>
      <c r="C32">
        <v>2.5000000000000001E-2</v>
      </c>
      <c r="D32">
        <v>7.0000000000000001E-3</v>
      </c>
      <c r="E32">
        <v>8.0000000000000002E-3</v>
      </c>
      <c r="F32">
        <v>2E-3</v>
      </c>
      <c r="G32">
        <v>4.0000000000000001E-3</v>
      </c>
      <c r="H32">
        <v>6.0000000000000001E-3</v>
      </c>
      <c r="I32">
        <v>8.9999999999999993E-3</v>
      </c>
      <c r="J32">
        <v>5.0000000000000001E-3</v>
      </c>
    </row>
    <row r="33" spans="2:10">
      <c r="B33" t="s">
        <v>244</v>
      </c>
      <c r="C33">
        <v>2.7E-2</v>
      </c>
      <c r="D33">
        <v>2.5000000000000001E-2</v>
      </c>
      <c r="E33">
        <v>5.0000000000000001E-3</v>
      </c>
      <c r="F33">
        <v>1.6E-2</v>
      </c>
      <c r="G33">
        <v>3.6999999999999998E-2</v>
      </c>
      <c r="H33">
        <v>2.1000000000000001E-2</v>
      </c>
      <c r="I33">
        <v>2.9000000000000001E-2</v>
      </c>
      <c r="J33">
        <v>2.3E-2</v>
      </c>
    </row>
    <row r="34" spans="2:10">
      <c r="B34" t="s">
        <v>30</v>
      </c>
      <c r="C34">
        <v>100</v>
      </c>
      <c r="D34">
        <v>100</v>
      </c>
      <c r="E34">
        <v>100</v>
      </c>
      <c r="F34">
        <v>100</v>
      </c>
      <c r="G34">
        <v>100</v>
      </c>
      <c r="H34">
        <v>100</v>
      </c>
      <c r="I34">
        <v>100</v>
      </c>
      <c r="J34">
        <v>100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7C49E-F778-4360-934D-FD654DEB7286}">
  <dimension ref="A1:I40"/>
  <sheetViews>
    <sheetView workbookViewId="0"/>
  </sheetViews>
  <sheetFormatPr baseColWidth="10" defaultRowHeight="14.5"/>
  <sheetData>
    <row r="1" spans="1:9">
      <c r="A1" t="s">
        <v>1</v>
      </c>
      <c r="B1" s="1074" t="s">
        <v>1019</v>
      </c>
      <c r="C1" s="1074" t="s">
        <v>1020</v>
      </c>
      <c r="D1" s="1074" t="s">
        <v>1021</v>
      </c>
      <c r="E1" s="1074" t="s">
        <v>1022</v>
      </c>
      <c r="F1" s="1074" t="s">
        <v>1023</v>
      </c>
      <c r="G1" s="1074" t="s">
        <v>1024</v>
      </c>
      <c r="H1" s="1074" t="s">
        <v>1025</v>
      </c>
      <c r="I1" s="1074" t="s">
        <v>1026</v>
      </c>
    </row>
    <row r="2" spans="1:9">
      <c r="B2" s="1074" t="s">
        <v>1028</v>
      </c>
      <c r="C2" s="1074" t="s">
        <v>1028</v>
      </c>
      <c r="D2" s="1074" t="s">
        <v>1028</v>
      </c>
      <c r="E2" s="1074" t="s">
        <v>1028</v>
      </c>
      <c r="F2" s="1077" t="s">
        <v>1030</v>
      </c>
      <c r="G2" s="1077" t="s">
        <v>1030</v>
      </c>
      <c r="H2" s="1077" t="s">
        <v>1030</v>
      </c>
      <c r="I2" s="1077" t="s">
        <v>1030</v>
      </c>
    </row>
    <row r="3" spans="1:9">
      <c r="B3" s="1074" t="s">
        <v>1027</v>
      </c>
      <c r="C3" s="1074" t="s">
        <v>1027</v>
      </c>
      <c r="D3" s="1074" t="s">
        <v>1100</v>
      </c>
      <c r="E3" s="1074" t="s">
        <v>1032</v>
      </c>
      <c r="F3" s="1074" t="s">
        <v>1027</v>
      </c>
      <c r="G3" s="1074" t="s">
        <v>1027</v>
      </c>
      <c r="H3" s="1074" t="s">
        <v>1031</v>
      </c>
      <c r="I3" s="1074" t="s">
        <v>1032</v>
      </c>
    </row>
    <row r="4" spans="1:9">
      <c r="B4" s="1074" t="s">
        <v>1099</v>
      </c>
      <c r="C4" s="1074" t="s">
        <v>1088</v>
      </c>
      <c r="D4" s="1074" t="s">
        <v>1092</v>
      </c>
      <c r="E4" s="1074" t="s">
        <v>980</v>
      </c>
      <c r="F4" s="1074" t="s">
        <v>1099</v>
      </c>
      <c r="G4" s="1074" t="s">
        <v>1088</v>
      </c>
      <c r="H4" s="1074" t="s">
        <v>1092</v>
      </c>
      <c r="I4" s="1074" t="s">
        <v>980</v>
      </c>
    </row>
    <row r="5" spans="1:9">
      <c r="A5" s="1080" t="s">
        <v>224</v>
      </c>
      <c r="B5" s="1081">
        <v>57.218299999999999</v>
      </c>
      <c r="C5" s="1081">
        <v>50.232799999999997</v>
      </c>
      <c r="D5" s="1081">
        <v>74.106300000000005</v>
      </c>
      <c r="E5" s="1081">
        <v>79.567800000000005</v>
      </c>
      <c r="F5" s="1081">
        <v>58.822699999999998</v>
      </c>
      <c r="G5" s="1081">
        <v>49.229399999999998</v>
      </c>
      <c r="H5" s="1081">
        <v>64.317700000000002</v>
      </c>
      <c r="I5" s="1081">
        <v>55.264800000000001</v>
      </c>
    </row>
    <row r="6" spans="1:9">
      <c r="A6" s="1080" t="s">
        <v>230</v>
      </c>
      <c r="B6" s="1081">
        <v>24.210699999999999</v>
      </c>
      <c r="C6" s="1081">
        <v>34.2729</v>
      </c>
      <c r="D6" s="1081">
        <v>14.166</v>
      </c>
      <c r="E6" s="1081">
        <v>0</v>
      </c>
      <c r="F6" s="1081">
        <v>23.297799999999999</v>
      </c>
      <c r="G6" s="1081">
        <v>27.415500000000002</v>
      </c>
      <c r="H6" s="1081">
        <v>19.334099999999999</v>
      </c>
      <c r="I6" s="1081">
        <v>0</v>
      </c>
    </row>
    <row r="7" spans="1:9">
      <c r="A7" s="1080" t="s">
        <v>232</v>
      </c>
      <c r="B7" s="1081">
        <v>8.5992999999999995</v>
      </c>
      <c r="C7" s="1081">
        <v>8.5422999999999991</v>
      </c>
      <c r="D7" s="1081">
        <v>5.1653000000000002</v>
      </c>
      <c r="E7" s="1081">
        <v>6.9081999999999999</v>
      </c>
      <c r="F7" s="1081">
        <v>5.3080999999999996</v>
      </c>
      <c r="G7" s="1081">
        <v>11.6046</v>
      </c>
      <c r="H7" s="1081">
        <v>8.8050999999999995</v>
      </c>
      <c r="I7" s="1081">
        <v>42.951799999999999</v>
      </c>
    </row>
    <row r="8" spans="1:9">
      <c r="A8" s="1080" t="s">
        <v>231</v>
      </c>
      <c r="B8" s="1081">
        <v>7.5370999999999997</v>
      </c>
      <c r="C8" s="1081">
        <v>5.3602999999999996</v>
      </c>
      <c r="D8" s="1081">
        <v>3.9498000000000002</v>
      </c>
      <c r="E8" s="1081">
        <v>6.5835999999999997</v>
      </c>
      <c r="F8" s="1081">
        <v>10.9458</v>
      </c>
      <c r="G8" s="1081">
        <v>10.4222</v>
      </c>
      <c r="H8" s="1081">
        <v>6.2020999999999997</v>
      </c>
      <c r="I8" s="1081">
        <v>1.7833000000000001</v>
      </c>
    </row>
    <row r="9" spans="1:9">
      <c r="A9" s="1080" t="s">
        <v>238</v>
      </c>
      <c r="B9" s="1081">
        <v>2.4207999999999998</v>
      </c>
      <c r="C9" s="1081">
        <v>1.5636000000000001</v>
      </c>
      <c r="D9" s="1081">
        <v>2.544</v>
      </c>
      <c r="E9" s="1081">
        <v>4.7670000000000003</v>
      </c>
      <c r="F9" s="1081">
        <v>1.6231</v>
      </c>
      <c r="G9" s="1081">
        <v>1.3115000000000001</v>
      </c>
      <c r="H9" s="1081">
        <v>1.2361</v>
      </c>
      <c r="I9" s="1081">
        <v>0</v>
      </c>
    </row>
    <row r="10" spans="1:9">
      <c r="A10" s="1080" t="s">
        <v>1018</v>
      </c>
      <c r="B10" s="1081">
        <v>1.2500000000000001E-2</v>
      </c>
      <c r="C10" s="1081">
        <v>2.3099999999999999E-2</v>
      </c>
      <c r="D10" s="1081">
        <v>5.6599999999999998E-2</v>
      </c>
      <c r="E10" s="1081">
        <v>2.1734</v>
      </c>
      <c r="F10" s="1081">
        <v>0</v>
      </c>
      <c r="G10" s="1081">
        <v>1.5299999999999999E-2</v>
      </c>
      <c r="H10" s="1081">
        <v>9.2899999999999996E-2</v>
      </c>
      <c r="I10" s="1081">
        <v>0</v>
      </c>
    </row>
    <row r="11" spans="1:9">
      <c r="A11" s="1080" t="s">
        <v>1017</v>
      </c>
      <c r="B11" s="1081">
        <v>1.1999999999999999E-3</v>
      </c>
      <c r="C11" s="1081">
        <v>3.5999999999999999E-3</v>
      </c>
      <c r="D11" s="1081">
        <v>1.2E-2</v>
      </c>
      <c r="E11" s="1081">
        <v>0</v>
      </c>
      <c r="F11" s="1081">
        <v>1.1000000000000001E-3</v>
      </c>
      <c r="G11" s="1081">
        <v>1.5E-3</v>
      </c>
      <c r="H11" s="1081">
        <v>6.3E-3</v>
      </c>
      <c r="I11" s="1081">
        <v>0</v>
      </c>
    </row>
    <row r="12" spans="1:9">
      <c r="A12" s="1080" t="s">
        <v>244</v>
      </c>
      <c r="B12" s="1081">
        <v>0</v>
      </c>
      <c r="C12" s="1081">
        <v>1.2999999999999999E-3</v>
      </c>
      <c r="D12" s="1081">
        <v>0</v>
      </c>
      <c r="E12" s="1081">
        <v>0</v>
      </c>
      <c r="F12" s="1081">
        <v>1.2999999999999999E-3</v>
      </c>
      <c r="G12" s="1081">
        <v>0</v>
      </c>
      <c r="H12" s="1081">
        <v>5.7000000000000002E-3</v>
      </c>
      <c r="I12" s="1081">
        <v>0</v>
      </c>
    </row>
    <row r="13" spans="1:9">
      <c r="A13" s="1080" t="s">
        <v>30</v>
      </c>
      <c r="B13" s="1079">
        <v>100</v>
      </c>
      <c r="C13" s="1079">
        <v>100</v>
      </c>
      <c r="D13" s="1079">
        <v>100</v>
      </c>
      <c r="E13" s="1079">
        <v>100</v>
      </c>
      <c r="F13" s="1079">
        <v>100</v>
      </c>
      <c r="G13" s="1079">
        <v>100</v>
      </c>
      <c r="H13" s="1079">
        <v>100</v>
      </c>
      <c r="I13" s="1079">
        <v>100</v>
      </c>
    </row>
    <row r="17" spans="1:9">
      <c r="A17" t="s">
        <v>17</v>
      </c>
      <c r="B17" s="1074" t="s">
        <v>1019</v>
      </c>
      <c r="C17" s="1074" t="s">
        <v>1020</v>
      </c>
      <c r="D17" s="1074" t="s">
        <v>1021</v>
      </c>
      <c r="E17" s="1074" t="s">
        <v>1022</v>
      </c>
      <c r="F17" s="1074" t="s">
        <v>1023</v>
      </c>
      <c r="G17" s="1074" t="s">
        <v>1024</v>
      </c>
      <c r="H17" s="1074" t="s">
        <v>1025</v>
      </c>
      <c r="I17" s="1074" t="s">
        <v>1026</v>
      </c>
    </row>
    <row r="18" spans="1:9">
      <c r="B18" s="1074" t="s">
        <v>1028</v>
      </c>
      <c r="C18" s="1074" t="s">
        <v>1028</v>
      </c>
      <c r="D18" s="1074" t="s">
        <v>1028</v>
      </c>
      <c r="E18" s="1074" t="s">
        <v>1028</v>
      </c>
      <c r="F18" s="1077" t="s">
        <v>1030</v>
      </c>
      <c r="G18" s="1077" t="s">
        <v>1030</v>
      </c>
      <c r="H18" s="1077" t="s">
        <v>1030</v>
      </c>
      <c r="I18" s="1077" t="s">
        <v>1030</v>
      </c>
    </row>
    <row r="19" spans="1:9">
      <c r="B19" s="1074" t="s">
        <v>1027</v>
      </c>
      <c r="C19" s="1074" t="s">
        <v>1027</v>
      </c>
      <c r="D19" s="1074" t="s">
        <v>1031</v>
      </c>
      <c r="E19" s="1074" t="s">
        <v>1032</v>
      </c>
      <c r="F19" s="1074" t="s">
        <v>1027</v>
      </c>
      <c r="G19" s="1074" t="s">
        <v>1027</v>
      </c>
      <c r="H19" s="1074" t="s">
        <v>1031</v>
      </c>
      <c r="I19" s="1074" t="s">
        <v>1032</v>
      </c>
    </row>
    <row r="20" spans="1:9">
      <c r="B20" s="1074" t="s">
        <v>972</v>
      </c>
      <c r="C20" s="1074" t="s">
        <v>1029</v>
      </c>
      <c r="D20" s="1074" t="s">
        <v>973</v>
      </c>
      <c r="E20" s="1074" t="s">
        <v>974</v>
      </c>
      <c r="F20" s="1074" t="s">
        <v>972</v>
      </c>
      <c r="G20" s="1074" t="s">
        <v>1029</v>
      </c>
      <c r="H20" s="1074" t="s">
        <v>973</v>
      </c>
      <c r="I20" s="1074" t="s">
        <v>974</v>
      </c>
    </row>
    <row r="21" spans="1:9">
      <c r="A21" s="1080" t="s">
        <v>222</v>
      </c>
      <c r="B21" s="1081">
        <v>55.246600000000001</v>
      </c>
      <c r="C21" s="1081">
        <v>58.274799999999999</v>
      </c>
      <c r="D21" s="1081">
        <v>62.354700000000001</v>
      </c>
      <c r="E21" s="1081">
        <v>86.108099999999993</v>
      </c>
      <c r="F21" s="1081">
        <v>70.907600000000002</v>
      </c>
      <c r="G21" s="1081">
        <v>53.577500000000001</v>
      </c>
      <c r="H21" s="1081">
        <v>64.249799999999993</v>
      </c>
      <c r="I21" s="1081">
        <v>86.547399999999996</v>
      </c>
    </row>
    <row r="22" spans="1:9">
      <c r="A22" s="1080" t="s">
        <v>224</v>
      </c>
      <c r="B22" s="1081">
        <v>37.776400000000002</v>
      </c>
      <c r="C22" s="1081">
        <v>39.0608</v>
      </c>
      <c r="D22" s="1081">
        <v>34.511800000000001</v>
      </c>
      <c r="E22" s="1081">
        <v>2.8227000000000002</v>
      </c>
      <c r="F22" s="1081">
        <v>22.906400000000001</v>
      </c>
      <c r="G22" s="1081">
        <v>43.049300000000002</v>
      </c>
      <c r="H22" s="1081">
        <v>31.077000000000002</v>
      </c>
      <c r="I22" s="1081">
        <v>0.7571</v>
      </c>
    </row>
    <row r="23" spans="1:9">
      <c r="A23" s="1080" t="s">
        <v>2</v>
      </c>
      <c r="B23" s="1081">
        <v>2.8605</v>
      </c>
      <c r="C23" s="1081">
        <v>0.86429999999999996</v>
      </c>
      <c r="D23" s="1081">
        <v>1.3994</v>
      </c>
      <c r="E23" s="1081">
        <v>7.0797999999999996</v>
      </c>
      <c r="F23" s="1081">
        <v>3.0213999999999999</v>
      </c>
      <c r="G23" s="1081">
        <v>0.48549999999999999</v>
      </c>
      <c r="H23" s="1081">
        <v>1.22</v>
      </c>
      <c r="I23" s="1081">
        <v>6.6795</v>
      </c>
    </row>
    <row r="24" spans="1:9">
      <c r="A24" s="1080" t="s">
        <v>225</v>
      </c>
      <c r="B24" s="1081">
        <v>2.1311</v>
      </c>
      <c r="C24" s="1081">
        <v>1.52E-2</v>
      </c>
      <c r="D24" s="1081">
        <v>0.56699999999999995</v>
      </c>
      <c r="E24" s="1081">
        <v>3.1631</v>
      </c>
      <c r="F24" s="1081">
        <v>2.0324</v>
      </c>
      <c r="G24" s="1081">
        <v>0.3574</v>
      </c>
      <c r="H24" s="1081">
        <v>2.1278999999999999</v>
      </c>
      <c r="I24" s="1081">
        <v>3.4592000000000001</v>
      </c>
    </row>
    <row r="25" spans="1:9">
      <c r="A25" s="1080" t="s">
        <v>232</v>
      </c>
      <c r="B25" s="1081">
        <v>1.1474</v>
      </c>
      <c r="C25" s="1081">
        <v>1.3287</v>
      </c>
      <c r="D25" s="1081">
        <v>0.48299999999999998</v>
      </c>
      <c r="E25" s="1081">
        <v>4.9000000000000002E-2</v>
      </c>
      <c r="F25" s="1081">
        <v>0.41389999999999999</v>
      </c>
      <c r="G25" s="1081">
        <v>2.0331000000000001</v>
      </c>
      <c r="H25" s="1081">
        <v>0.85429999999999995</v>
      </c>
      <c r="I25" s="1081">
        <v>0.1186</v>
      </c>
    </row>
    <row r="26" spans="1:9">
      <c r="A26" s="1080" t="s">
        <v>228</v>
      </c>
      <c r="B26" s="1081">
        <v>0.37119999999999997</v>
      </c>
      <c r="C26" s="1081">
        <v>6.4600000000000005E-2</v>
      </c>
      <c r="D26" s="1081">
        <v>0.18290000000000001</v>
      </c>
      <c r="E26" s="1081">
        <v>0.30009999999999998</v>
      </c>
      <c r="F26" s="1081">
        <v>0.40479999999999999</v>
      </c>
      <c r="G26" s="1081">
        <v>1.26E-2</v>
      </c>
      <c r="H26" s="1081">
        <v>0.1714</v>
      </c>
      <c r="I26" s="1081">
        <v>1.7109000000000001</v>
      </c>
    </row>
    <row r="27" spans="1:9">
      <c r="A27" s="1080" t="s">
        <v>238</v>
      </c>
      <c r="B27" s="1081">
        <v>0.28349999999999997</v>
      </c>
      <c r="C27" s="1081">
        <v>0.2228</v>
      </c>
      <c r="D27" s="1081">
        <v>0.11269999999999999</v>
      </c>
      <c r="E27" s="1081">
        <v>5.7099999999999998E-2</v>
      </c>
      <c r="F27" s="1081">
        <v>6.9099999999999995E-2</v>
      </c>
      <c r="G27" s="1081">
        <v>0.34520000000000001</v>
      </c>
      <c r="H27" s="1081">
        <v>0.13450000000000001</v>
      </c>
      <c r="I27" s="1081">
        <v>0</v>
      </c>
    </row>
    <row r="28" spans="1:9">
      <c r="A28" s="1080" t="s">
        <v>227</v>
      </c>
      <c r="B28" s="1081">
        <v>7.1199999999999999E-2</v>
      </c>
      <c r="C28" s="1081">
        <v>3.2599999999999997E-2</v>
      </c>
      <c r="D28" s="1081">
        <v>8.3299999999999999E-2</v>
      </c>
      <c r="E28" s="1081">
        <v>0.2235</v>
      </c>
      <c r="F28" s="1081">
        <v>0.1246</v>
      </c>
      <c r="G28" s="1081">
        <v>4.4600000000000001E-2</v>
      </c>
      <c r="H28" s="1081">
        <v>1.9599999999999999E-2</v>
      </c>
      <c r="I28" s="1081">
        <v>0.35239999999999999</v>
      </c>
    </row>
    <row r="29" spans="1:9">
      <c r="A29" s="1080" t="s">
        <v>236</v>
      </c>
      <c r="B29" s="1081">
        <v>2.7E-2</v>
      </c>
      <c r="C29" s="1081">
        <v>1.5599999999999999E-2</v>
      </c>
      <c r="D29" s="1081">
        <v>0.15959999999999999</v>
      </c>
      <c r="E29" s="1081">
        <v>3.78E-2</v>
      </c>
      <c r="F29" s="1081">
        <v>3.3999999999999998E-3</v>
      </c>
      <c r="G29" s="1081">
        <v>1.6000000000000001E-3</v>
      </c>
      <c r="H29" s="1081">
        <v>1.5599999999999999E-2</v>
      </c>
      <c r="I29" s="1081">
        <v>0.21229999999999999</v>
      </c>
    </row>
    <row r="30" spans="1:9">
      <c r="A30" s="1080" t="s">
        <v>1017</v>
      </c>
      <c r="B30" s="1081">
        <v>1.6E-2</v>
      </c>
      <c r="C30" s="1081">
        <v>5.6300000000000003E-2</v>
      </c>
      <c r="D30" s="1081">
        <v>0.1109</v>
      </c>
      <c r="E30" s="1081">
        <v>0</v>
      </c>
      <c r="F30" s="1081">
        <v>8.3999999999999995E-3</v>
      </c>
      <c r="G30" s="1081">
        <v>2.6499999999999999E-2</v>
      </c>
      <c r="H30" s="1081">
        <v>6.0199999999999997E-2</v>
      </c>
      <c r="I30" s="1081">
        <v>0</v>
      </c>
    </row>
    <row r="31" spans="1:9">
      <c r="A31" s="1080" t="s">
        <v>1033</v>
      </c>
      <c r="B31" s="1081">
        <v>4.4999999999999997E-3</v>
      </c>
      <c r="C31" s="1081">
        <v>0</v>
      </c>
      <c r="D31" s="1081">
        <v>0</v>
      </c>
      <c r="E31" s="1081">
        <v>0.13270000000000001</v>
      </c>
      <c r="F31" s="1081">
        <v>8.4199999999999997E-2</v>
      </c>
      <c r="G31" s="1081">
        <v>0</v>
      </c>
      <c r="H31" s="1081">
        <v>1.5800000000000002E-2</v>
      </c>
      <c r="I31" s="1081">
        <v>0</v>
      </c>
    </row>
    <row r="32" spans="1:9">
      <c r="A32" s="1082" t="s">
        <v>223</v>
      </c>
      <c r="B32" s="1081">
        <v>4.4999999999999997E-3</v>
      </c>
      <c r="C32" s="1081">
        <v>2.92E-2</v>
      </c>
      <c r="D32" s="1081">
        <v>0</v>
      </c>
      <c r="E32" s="1081">
        <v>0</v>
      </c>
      <c r="F32" s="1081">
        <v>1.66E-2</v>
      </c>
      <c r="G32" s="1081">
        <v>0</v>
      </c>
      <c r="H32" s="1081">
        <v>0</v>
      </c>
      <c r="I32" s="1081">
        <v>0.14510000000000001</v>
      </c>
    </row>
    <row r="33" spans="1:9">
      <c r="A33" s="1082" t="s">
        <v>250</v>
      </c>
      <c r="B33" s="1081">
        <v>7.1000000000000004E-3</v>
      </c>
      <c r="C33" s="1081">
        <v>2.1700000000000001E-2</v>
      </c>
      <c r="D33" s="1081">
        <v>2.9999999999999997E-4</v>
      </c>
      <c r="E33" s="1081">
        <v>0</v>
      </c>
      <c r="F33" s="1081">
        <v>3.2000000000000002E-3</v>
      </c>
      <c r="G33" s="1081">
        <v>4.82E-2</v>
      </c>
      <c r="H33" s="1081">
        <v>8.9999999999999998E-4</v>
      </c>
      <c r="I33" s="1081">
        <v>0</v>
      </c>
    </row>
    <row r="34" spans="1:9">
      <c r="A34" s="1082" t="s">
        <v>1018</v>
      </c>
      <c r="B34" s="1081">
        <v>1.5699999999999999E-2</v>
      </c>
      <c r="C34" s="1081">
        <v>1.1999999999999999E-3</v>
      </c>
      <c r="D34" s="1081">
        <v>2.86E-2</v>
      </c>
      <c r="E34" s="1081">
        <v>0</v>
      </c>
      <c r="F34" s="1081">
        <v>0</v>
      </c>
      <c r="G34" s="1081">
        <v>8.2000000000000007E-3</v>
      </c>
      <c r="H34" s="1081">
        <v>0</v>
      </c>
      <c r="I34" s="1081">
        <v>0</v>
      </c>
    </row>
    <row r="35" spans="1:9">
      <c r="A35" s="1080" t="s">
        <v>1034</v>
      </c>
      <c r="B35" s="1081">
        <v>0</v>
      </c>
      <c r="C35" s="1081">
        <v>0</v>
      </c>
      <c r="D35" s="1081">
        <v>0</v>
      </c>
      <c r="E35" s="1081">
        <v>0</v>
      </c>
      <c r="F35" s="1081">
        <v>0</v>
      </c>
      <c r="G35" s="1081">
        <v>0</v>
      </c>
      <c r="H35" s="1081">
        <v>4.6600000000000003E-2</v>
      </c>
      <c r="I35" s="1081">
        <v>0</v>
      </c>
    </row>
    <row r="36" spans="1:9">
      <c r="A36" s="1080" t="s">
        <v>241</v>
      </c>
      <c r="B36" s="1081">
        <v>2.7900000000000001E-2</v>
      </c>
      <c r="C36" s="1081">
        <v>0</v>
      </c>
      <c r="D36" s="1081">
        <v>6.9999999999999999E-4</v>
      </c>
      <c r="E36" s="1081">
        <v>0</v>
      </c>
      <c r="F36" s="1081">
        <v>0</v>
      </c>
      <c r="G36" s="1081">
        <v>7.1999999999999998E-3</v>
      </c>
      <c r="H36" s="1081">
        <v>1.5E-3</v>
      </c>
      <c r="I36" s="1081">
        <v>0</v>
      </c>
    </row>
    <row r="37" spans="1:9">
      <c r="A37" s="1080" t="s">
        <v>1035</v>
      </c>
      <c r="B37" s="1081">
        <v>0</v>
      </c>
      <c r="C37" s="1081">
        <v>1.1999999999999999E-3</v>
      </c>
      <c r="D37" s="1081">
        <v>1.8E-3</v>
      </c>
      <c r="E37" s="1081">
        <v>2.0899999999999998E-2</v>
      </c>
      <c r="F37" s="1081">
        <v>0</v>
      </c>
      <c r="G37" s="1081">
        <v>0</v>
      </c>
      <c r="H37" s="1081">
        <v>1.9E-3</v>
      </c>
      <c r="I37" s="1081">
        <v>0</v>
      </c>
    </row>
    <row r="38" spans="1:9">
      <c r="A38" s="1080" t="s">
        <v>242</v>
      </c>
      <c r="B38" s="1081">
        <v>0</v>
      </c>
      <c r="C38" s="1081">
        <v>0</v>
      </c>
      <c r="D38" s="1081">
        <v>0</v>
      </c>
      <c r="E38" s="1081">
        <v>0</v>
      </c>
      <c r="F38" s="1081">
        <v>0</v>
      </c>
      <c r="G38" s="1081">
        <v>0</v>
      </c>
      <c r="H38" s="1081">
        <v>0</v>
      </c>
      <c r="I38" s="1081">
        <v>1.7399999999999999E-2</v>
      </c>
    </row>
    <row r="39" spans="1:9">
      <c r="A39" s="1080" t="s">
        <v>244</v>
      </c>
      <c r="B39" s="1079">
        <v>9.4999999999999998E-3</v>
      </c>
      <c r="C39" s="1079">
        <v>1.09E-2</v>
      </c>
      <c r="D39" s="1079">
        <v>3.3E-3</v>
      </c>
      <c r="E39" s="1079">
        <v>5.1999999999999998E-3</v>
      </c>
      <c r="F39" s="1079">
        <v>4.0000000000000001E-3</v>
      </c>
      <c r="G39" s="1079">
        <v>3.0999999999999999E-3</v>
      </c>
      <c r="H39" s="1079">
        <v>3.0000000000000001E-3</v>
      </c>
      <c r="I39" s="1079">
        <v>0</v>
      </c>
    </row>
    <row r="40" spans="1:9">
      <c r="A40" s="1080" t="s">
        <v>30</v>
      </c>
      <c r="B40" s="1079">
        <v>100</v>
      </c>
      <c r="C40" s="1079">
        <v>100</v>
      </c>
      <c r="D40" s="1079">
        <v>100</v>
      </c>
      <c r="E40" s="1079">
        <v>100</v>
      </c>
      <c r="F40" s="1079">
        <v>100</v>
      </c>
      <c r="G40" s="1079">
        <v>100</v>
      </c>
      <c r="H40" s="1079">
        <v>100</v>
      </c>
      <c r="I40" s="1079">
        <v>100</v>
      </c>
    </row>
  </sheetData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60795-20C4-476C-8C1B-BFEC48DE649B}">
  <dimension ref="A1:O52"/>
  <sheetViews>
    <sheetView workbookViewId="0"/>
  </sheetViews>
  <sheetFormatPr baseColWidth="10" defaultRowHeight="14.5"/>
  <sheetData>
    <row r="1" spans="1:15">
      <c r="A1" s="1093"/>
      <c r="B1" s="1471" t="s">
        <v>1101</v>
      </c>
      <c r="C1" s="1093"/>
      <c r="D1" s="1093"/>
      <c r="E1" s="1471" t="s">
        <v>1102</v>
      </c>
      <c r="F1" s="1471"/>
      <c r="G1" s="1471"/>
      <c r="H1" s="1471"/>
      <c r="I1" s="1471"/>
      <c r="J1" s="1471"/>
      <c r="K1" s="1471"/>
      <c r="L1" s="1471"/>
      <c r="M1" s="1471"/>
      <c r="N1" s="1471"/>
      <c r="O1" s="1471"/>
    </row>
    <row r="2" spans="1:15">
      <c r="A2" s="1093"/>
      <c r="B2" s="1472"/>
      <c r="C2" s="1093"/>
      <c r="D2" s="1093"/>
      <c r="E2" s="1471"/>
      <c r="F2" s="1471"/>
      <c r="G2" s="1471"/>
      <c r="H2" s="1471"/>
      <c r="I2" s="1471"/>
      <c r="J2" s="1471"/>
      <c r="K2" s="1471"/>
      <c r="L2" s="1471"/>
      <c r="M2" s="1471"/>
      <c r="N2" s="1471"/>
      <c r="O2" s="1471"/>
    </row>
    <row r="3" spans="1:15">
      <c r="A3" s="1094" t="s">
        <v>1103</v>
      </c>
      <c r="B3" s="1094" t="s">
        <v>1104</v>
      </c>
      <c r="C3" s="1094"/>
      <c r="D3" s="1094"/>
      <c r="E3" s="1095" t="s">
        <v>1105</v>
      </c>
      <c r="F3" s="1096" t="s">
        <v>1106</v>
      </c>
      <c r="G3" s="1096" t="s">
        <v>1107</v>
      </c>
      <c r="H3" s="1096" t="s">
        <v>1108</v>
      </c>
      <c r="I3" s="1096" t="s">
        <v>1109</v>
      </c>
      <c r="J3" s="1096" t="s">
        <v>1110</v>
      </c>
      <c r="K3" s="1096" t="s">
        <v>1111</v>
      </c>
      <c r="L3" s="1096" t="s">
        <v>1112</v>
      </c>
      <c r="M3" s="1096" t="s">
        <v>1113</v>
      </c>
      <c r="N3" s="1096" t="s">
        <v>1114</v>
      </c>
      <c r="O3" s="1096" t="s">
        <v>1115</v>
      </c>
    </row>
    <row r="4" spans="1:15">
      <c r="A4" s="1097" t="s">
        <v>1019</v>
      </c>
      <c r="B4" s="1079" t="s">
        <v>224</v>
      </c>
      <c r="C4" s="1074" t="s">
        <v>1027</v>
      </c>
      <c r="D4" s="1074" t="s">
        <v>1099</v>
      </c>
      <c r="E4" s="1098">
        <v>1.7405999999999999</v>
      </c>
      <c r="F4" s="1098">
        <v>2.4531999999999998</v>
      </c>
      <c r="G4" s="1098">
        <v>2.2256</v>
      </c>
      <c r="H4" s="1098">
        <v>0.33289999999999997</v>
      </c>
      <c r="I4" s="1098">
        <v>1.4423999999999999</v>
      </c>
      <c r="J4" s="1098">
        <v>3.1267999999999998</v>
      </c>
      <c r="K4" s="1098">
        <v>5.7355</v>
      </c>
      <c r="L4" s="1098">
        <v>6.3381999999999996</v>
      </c>
      <c r="M4" s="1098">
        <v>0.504</v>
      </c>
      <c r="N4" s="1098">
        <v>76.100899999999996</v>
      </c>
      <c r="O4" s="1098">
        <v>100</v>
      </c>
    </row>
    <row r="5" spans="1:15">
      <c r="A5" s="1097" t="s">
        <v>1020</v>
      </c>
      <c r="B5" s="1079" t="s">
        <v>224</v>
      </c>
      <c r="C5" s="1074" t="s">
        <v>1027</v>
      </c>
      <c r="D5" s="1074" t="s">
        <v>1088</v>
      </c>
      <c r="E5" s="1098">
        <v>2.8123</v>
      </c>
      <c r="F5" s="1098">
        <v>3.1633</v>
      </c>
      <c r="G5" s="1098">
        <v>6.0406000000000004</v>
      </c>
      <c r="H5" s="1098">
        <v>9.3704000000000001</v>
      </c>
      <c r="I5" s="1098">
        <v>13.0341</v>
      </c>
      <c r="J5" s="1098">
        <v>11.7506</v>
      </c>
      <c r="K5" s="1098">
        <v>7.7317</v>
      </c>
      <c r="L5" s="1098">
        <v>4.7061999999999999</v>
      </c>
      <c r="M5" s="1098">
        <v>6.0815000000000001</v>
      </c>
      <c r="N5" s="1098">
        <v>35.3093</v>
      </c>
      <c r="O5" s="1098">
        <v>100</v>
      </c>
    </row>
    <row r="6" spans="1:15">
      <c r="A6" s="1097" t="s">
        <v>1021</v>
      </c>
      <c r="B6" s="1079" t="s">
        <v>224</v>
      </c>
      <c r="C6" s="1074" t="s">
        <v>1100</v>
      </c>
      <c r="D6" s="1074" t="s">
        <v>1092</v>
      </c>
      <c r="E6" s="1098">
        <v>8.3580000000000005</v>
      </c>
      <c r="F6" s="1098">
        <v>9.4149999999999991</v>
      </c>
      <c r="G6" s="1098">
        <v>7.9409999999999998</v>
      </c>
      <c r="H6" s="1098">
        <v>7.5107999999999997</v>
      </c>
      <c r="I6" s="1098">
        <v>8.5337999999999994</v>
      </c>
      <c r="J6" s="1098">
        <v>5.8776999999999999</v>
      </c>
      <c r="K6" s="1098">
        <v>3.3435999999999999</v>
      </c>
      <c r="L6" s="1098">
        <v>6.8227000000000002</v>
      </c>
      <c r="M6" s="1098">
        <v>4.6338999999999997</v>
      </c>
      <c r="N6" s="1098">
        <v>37.563499999999998</v>
      </c>
      <c r="O6" s="1098">
        <v>100</v>
      </c>
    </row>
    <row r="7" spans="1:15">
      <c r="A7" s="1097" t="s">
        <v>1022</v>
      </c>
      <c r="B7" s="1079" t="s">
        <v>224</v>
      </c>
      <c r="C7" s="1074" t="s">
        <v>1032</v>
      </c>
      <c r="D7" s="1074" t="s">
        <v>980</v>
      </c>
      <c r="E7" s="1098">
        <v>24.3017</v>
      </c>
      <c r="F7" s="1098">
        <v>32.448799999999999</v>
      </c>
      <c r="G7" s="1098">
        <v>2.8631000000000002</v>
      </c>
      <c r="H7" s="1098">
        <v>0</v>
      </c>
      <c r="I7" s="1098">
        <v>0</v>
      </c>
      <c r="J7" s="1098">
        <v>0</v>
      </c>
      <c r="K7" s="1098">
        <v>0</v>
      </c>
      <c r="L7" s="1098">
        <v>0</v>
      </c>
      <c r="M7" s="1098">
        <v>0</v>
      </c>
      <c r="N7" s="1098">
        <v>40.386400000000002</v>
      </c>
      <c r="O7" s="1098">
        <v>100</v>
      </c>
    </row>
    <row r="8" spans="1:15">
      <c r="A8" s="1097" t="s">
        <v>1023</v>
      </c>
      <c r="B8" s="1079" t="s">
        <v>224</v>
      </c>
      <c r="C8" s="1074" t="s">
        <v>1027</v>
      </c>
      <c r="D8" s="1074" t="s">
        <v>1099</v>
      </c>
      <c r="E8" s="1098">
        <v>0.27429999999999999</v>
      </c>
      <c r="F8" s="1098">
        <v>0.49769999999999998</v>
      </c>
      <c r="G8" s="1098">
        <v>9.9500000000000005E-2</v>
      </c>
      <c r="H8" s="1098">
        <v>4.9301000000000004</v>
      </c>
      <c r="I8" s="1098">
        <v>0.92190000000000005</v>
      </c>
      <c r="J8" s="1098">
        <v>1.0215000000000001</v>
      </c>
      <c r="K8" s="1098">
        <v>1.3935</v>
      </c>
      <c r="L8" s="1098">
        <v>2.3639999999999999</v>
      </c>
      <c r="M8" s="1098">
        <v>3.3647999999999998</v>
      </c>
      <c r="N8" s="1098">
        <v>85.132599999999996</v>
      </c>
      <c r="O8" s="1098">
        <v>100</v>
      </c>
    </row>
    <row r="9" spans="1:15">
      <c r="A9" s="1097" t="s">
        <v>1024</v>
      </c>
      <c r="B9" s="1079" t="s">
        <v>224</v>
      </c>
      <c r="C9" s="1074" t="s">
        <v>1027</v>
      </c>
      <c r="D9" s="1074" t="s">
        <v>1088</v>
      </c>
      <c r="E9" s="1098">
        <v>0.62139999999999995</v>
      </c>
      <c r="F9" s="1098">
        <v>1.6123000000000001</v>
      </c>
      <c r="G9" s="1098">
        <v>1.7669999999999999</v>
      </c>
      <c r="H9" s="1098">
        <v>1.1540999999999999</v>
      </c>
      <c r="I9" s="1098">
        <v>1.1193</v>
      </c>
      <c r="J9" s="1098">
        <v>3.4496000000000002</v>
      </c>
      <c r="K9" s="1098">
        <v>4.7892000000000001</v>
      </c>
      <c r="L9" s="1098">
        <v>5.6584000000000003</v>
      </c>
      <c r="M9" s="1098">
        <v>2.694</v>
      </c>
      <c r="N9" s="1098">
        <v>77.134799999999998</v>
      </c>
      <c r="O9" s="1098">
        <v>100</v>
      </c>
    </row>
    <row r="10" spans="1:15">
      <c r="A10" s="1097" t="s">
        <v>1025</v>
      </c>
      <c r="B10" s="1079" t="s">
        <v>224</v>
      </c>
      <c r="C10" s="1074" t="s">
        <v>1031</v>
      </c>
      <c r="D10" s="1074" t="s">
        <v>1092</v>
      </c>
      <c r="E10" s="1098">
        <v>4.5833000000000004</v>
      </c>
      <c r="F10" s="1098">
        <v>3.6726000000000001</v>
      </c>
      <c r="G10" s="1098">
        <v>4.5705999999999998</v>
      </c>
      <c r="H10" s="1098">
        <v>9.2545999999999999</v>
      </c>
      <c r="I10" s="1098">
        <v>4.5198999999999998</v>
      </c>
      <c r="J10" s="1098">
        <v>3.6152000000000002</v>
      </c>
      <c r="K10" s="1098">
        <v>3.7589999999999999</v>
      </c>
      <c r="L10" s="1098">
        <v>10.811999999999999</v>
      </c>
      <c r="M10" s="1098">
        <v>3.4695999999999998</v>
      </c>
      <c r="N10" s="1098">
        <v>51.743099999999998</v>
      </c>
      <c r="O10" s="1098">
        <v>100</v>
      </c>
    </row>
    <row r="11" spans="1:15">
      <c r="A11" s="1097" t="s">
        <v>1026</v>
      </c>
      <c r="B11" s="1079" t="s">
        <v>224</v>
      </c>
      <c r="C11" s="1074" t="s">
        <v>1032</v>
      </c>
      <c r="D11" s="1074" t="s">
        <v>980</v>
      </c>
      <c r="E11" s="1098">
        <v>0</v>
      </c>
      <c r="F11" s="1098">
        <v>0</v>
      </c>
      <c r="G11" s="1098">
        <v>0</v>
      </c>
      <c r="H11" s="1098">
        <v>0</v>
      </c>
      <c r="I11" s="1098">
        <v>0</v>
      </c>
      <c r="J11" s="1098">
        <v>0</v>
      </c>
      <c r="K11" s="1098">
        <v>0</v>
      </c>
      <c r="L11" s="1098">
        <v>0</v>
      </c>
      <c r="M11" s="1098">
        <v>0</v>
      </c>
      <c r="N11" s="1098">
        <v>100</v>
      </c>
      <c r="O11" s="1098">
        <v>100</v>
      </c>
    </row>
    <row r="12" spans="1:15">
      <c r="A12" s="1097" t="str">
        <f>A4</f>
        <v>PUNTO 1: ALIMENTACION 1° CLEANER TURNO_NOCHE 01-09-25</v>
      </c>
      <c r="B12" s="1079" t="s">
        <v>230</v>
      </c>
      <c r="C12" s="1074" t="s">
        <v>1027</v>
      </c>
      <c r="D12" s="1074" t="s">
        <v>1099</v>
      </c>
      <c r="E12" s="1098">
        <v>0.9143</v>
      </c>
      <c r="F12" s="1098">
        <v>2.1714000000000002</v>
      </c>
      <c r="G12" s="1098">
        <v>0.45710000000000001</v>
      </c>
      <c r="H12" s="1098">
        <v>3.7713999999999999</v>
      </c>
      <c r="I12" s="1098">
        <v>0</v>
      </c>
      <c r="J12" s="1098">
        <v>0.8</v>
      </c>
      <c r="K12" s="1098">
        <v>2.4</v>
      </c>
      <c r="L12" s="1098">
        <v>3.6570999999999998</v>
      </c>
      <c r="M12" s="1098">
        <v>2.0571000000000002</v>
      </c>
      <c r="N12" s="1098">
        <v>83.7714</v>
      </c>
      <c r="O12" s="1098">
        <v>100</v>
      </c>
    </row>
    <row r="13" spans="1:15">
      <c r="A13" s="1097" t="str">
        <f t="shared" ref="A13:A51" si="0">A5</f>
        <v>PUNTO 2: CONCENTRADO 1° CLEANER TURNO_NOCHE 01-09-25</v>
      </c>
      <c r="B13" s="1079" t="s">
        <v>230</v>
      </c>
      <c r="C13" s="1074" t="s">
        <v>1027</v>
      </c>
      <c r="D13" s="1074" t="s">
        <v>1088</v>
      </c>
      <c r="E13" s="1098">
        <v>3.1823000000000001</v>
      </c>
      <c r="F13" s="1098">
        <v>3.6858</v>
      </c>
      <c r="G13" s="1098">
        <v>1.5105999999999999</v>
      </c>
      <c r="H13" s="1098">
        <v>1.43</v>
      </c>
      <c r="I13" s="1098">
        <v>1.5911</v>
      </c>
      <c r="J13" s="1098">
        <v>1.4702999999999999</v>
      </c>
      <c r="K13" s="1098">
        <v>5.2568000000000001</v>
      </c>
      <c r="L13" s="1098">
        <v>4.4512</v>
      </c>
      <c r="M13" s="1098">
        <v>3.6858</v>
      </c>
      <c r="N13" s="1098">
        <v>73.736199999999997</v>
      </c>
      <c r="O13" s="1098">
        <v>100</v>
      </c>
    </row>
    <row r="14" spans="1:15">
      <c r="A14" s="1097" t="str">
        <f t="shared" si="0"/>
        <v>PUNTO 5: CONCENTRADO CLNR SCV TURNO_NOCHE 01-09-25</v>
      </c>
      <c r="B14" s="1079" t="s">
        <v>230</v>
      </c>
      <c r="C14" s="1074" t="s">
        <v>1100</v>
      </c>
      <c r="D14" s="1074" t="s">
        <v>1092</v>
      </c>
      <c r="E14" s="1098">
        <v>13.017799999999999</v>
      </c>
      <c r="F14" s="1098">
        <v>5.5621</v>
      </c>
      <c r="G14" s="1098">
        <v>13.609500000000001</v>
      </c>
      <c r="H14" s="1098">
        <v>31.9527</v>
      </c>
      <c r="I14" s="1098">
        <v>4.0236999999999998</v>
      </c>
      <c r="J14" s="1098">
        <v>0.47339999999999999</v>
      </c>
      <c r="K14" s="1098">
        <v>3.9645000000000001</v>
      </c>
      <c r="L14" s="1098">
        <v>0</v>
      </c>
      <c r="M14" s="1098">
        <v>2.1892999999999998</v>
      </c>
      <c r="N14" s="1098">
        <v>25.207100000000001</v>
      </c>
      <c r="O14" s="1098">
        <v>100</v>
      </c>
    </row>
    <row r="15" spans="1:15">
      <c r="A15" s="1097" t="str">
        <f t="shared" si="0"/>
        <v>PUNTO 8: RELAVE SCAVENGER TURNO_NOCHE 01-09-25</v>
      </c>
      <c r="B15" s="1079" t="s">
        <v>230</v>
      </c>
      <c r="C15" s="1074" t="s">
        <v>1032</v>
      </c>
      <c r="D15" s="1074" t="s">
        <v>980</v>
      </c>
      <c r="E15" s="1098">
        <v>0</v>
      </c>
      <c r="F15" s="1098">
        <v>0</v>
      </c>
      <c r="G15" s="1098">
        <v>0</v>
      </c>
      <c r="H15" s="1098">
        <v>0</v>
      </c>
      <c r="I15" s="1098">
        <v>0</v>
      </c>
      <c r="J15" s="1098">
        <v>0</v>
      </c>
      <c r="K15" s="1098">
        <v>0</v>
      </c>
      <c r="L15" s="1098">
        <v>0</v>
      </c>
      <c r="M15" s="1098">
        <v>0</v>
      </c>
      <c r="N15" s="1098">
        <v>0</v>
      </c>
      <c r="O15" s="1098">
        <v>0</v>
      </c>
    </row>
    <row r="16" spans="1:15">
      <c r="A16" s="1097" t="str">
        <f t="shared" si="0"/>
        <v>PUNTO 1: ALIMENTACION 1° CLEANER TURNO_DIA 22-09-25</v>
      </c>
      <c r="B16" s="1079" t="s">
        <v>230</v>
      </c>
      <c r="C16" s="1074" t="s">
        <v>1027</v>
      </c>
      <c r="D16" s="1074" t="s">
        <v>1099</v>
      </c>
      <c r="E16" s="1098">
        <v>0</v>
      </c>
      <c r="F16" s="1098">
        <v>0.21099999999999999</v>
      </c>
      <c r="G16" s="1098">
        <v>0.21099999999999999</v>
      </c>
      <c r="H16" s="1098">
        <v>1.6878</v>
      </c>
      <c r="I16" s="1098">
        <v>2.1097000000000001</v>
      </c>
      <c r="J16" s="1098">
        <v>0.4219</v>
      </c>
      <c r="K16" s="1098">
        <v>0.84389999999999998</v>
      </c>
      <c r="L16" s="1098">
        <v>0</v>
      </c>
      <c r="M16" s="1098">
        <v>4.0084</v>
      </c>
      <c r="N16" s="1098">
        <v>90.506299999999996</v>
      </c>
      <c r="O16" s="1098">
        <v>100</v>
      </c>
    </row>
    <row r="17" spans="1:15">
      <c r="A17" s="1097" t="str">
        <f t="shared" si="0"/>
        <v>PUNTO 2: CONCENTRADO 1° CLEANER TURNO_DIA 22-09-25</v>
      </c>
      <c r="B17" s="1079" t="s">
        <v>230</v>
      </c>
      <c r="C17" s="1074" t="s">
        <v>1027</v>
      </c>
      <c r="D17" s="1074" t="s">
        <v>1088</v>
      </c>
      <c r="E17" s="1098">
        <v>0.82150000000000001</v>
      </c>
      <c r="F17" s="1098">
        <v>0.94789999999999996</v>
      </c>
      <c r="G17" s="1098">
        <v>0.37909999999999999</v>
      </c>
      <c r="H17" s="1098">
        <v>0.34760000000000002</v>
      </c>
      <c r="I17" s="1098">
        <v>1.3586</v>
      </c>
      <c r="J17" s="1098">
        <v>2.9384000000000001</v>
      </c>
      <c r="K17" s="1098">
        <v>6.0979000000000001</v>
      </c>
      <c r="L17" s="1098">
        <v>4.9288999999999996</v>
      </c>
      <c r="M17" s="1098">
        <v>15.450200000000001</v>
      </c>
      <c r="N17" s="1098">
        <v>66.729900000000001</v>
      </c>
      <c r="O17" s="1098">
        <v>100</v>
      </c>
    </row>
    <row r="18" spans="1:15">
      <c r="A18" s="1097" t="str">
        <f t="shared" si="0"/>
        <v>PUNTO 5: CONCENTRADO CLNR SCV TURNO_DIA 22-09-25</v>
      </c>
      <c r="B18" s="1079" t="s">
        <v>230</v>
      </c>
      <c r="C18" s="1074" t="s">
        <v>1031</v>
      </c>
      <c r="D18" s="1074" t="s">
        <v>1092</v>
      </c>
      <c r="E18" s="1098">
        <v>6.9383999999999997</v>
      </c>
      <c r="F18" s="1098">
        <v>6.4180000000000001</v>
      </c>
      <c r="G18" s="1098">
        <v>4.7702</v>
      </c>
      <c r="H18" s="1098">
        <v>5.5507</v>
      </c>
      <c r="I18" s="1098">
        <v>0.86729999999999996</v>
      </c>
      <c r="J18" s="1098">
        <v>1.8212999999999999</v>
      </c>
      <c r="K18" s="1098">
        <v>13.7034</v>
      </c>
      <c r="L18" s="1098">
        <v>8.9331999999999994</v>
      </c>
      <c r="M18" s="1098">
        <v>2.6886000000000001</v>
      </c>
      <c r="N18" s="1098">
        <v>48.308799999999998</v>
      </c>
      <c r="O18" s="1098">
        <v>100</v>
      </c>
    </row>
    <row r="19" spans="1:15">
      <c r="A19" s="1097" t="str">
        <f t="shared" si="0"/>
        <v>PUNTO 8: RELAVE SCAVENGER TURNO_DIA 22-09-25</v>
      </c>
      <c r="B19" s="1079" t="s">
        <v>230</v>
      </c>
      <c r="C19" s="1074" t="s">
        <v>1032</v>
      </c>
      <c r="D19" s="1074" t="s">
        <v>980</v>
      </c>
      <c r="E19" s="1098">
        <v>0</v>
      </c>
      <c r="F19" s="1098">
        <v>0</v>
      </c>
      <c r="G19" s="1098">
        <v>0</v>
      </c>
      <c r="H19" s="1098">
        <v>0</v>
      </c>
      <c r="I19" s="1098">
        <v>0</v>
      </c>
      <c r="J19" s="1098">
        <v>0</v>
      </c>
      <c r="K19" s="1098">
        <v>0</v>
      </c>
      <c r="L19" s="1098">
        <v>0</v>
      </c>
      <c r="M19" s="1098">
        <v>0</v>
      </c>
      <c r="N19" s="1098">
        <v>0</v>
      </c>
      <c r="O19" s="1098">
        <v>0</v>
      </c>
    </row>
    <row r="20" spans="1:15">
      <c r="A20" s="1097" t="str">
        <f t="shared" si="0"/>
        <v>PUNTO 1: ALIMENTACION 1° CLEANER TURNO_NOCHE 01-09-25</v>
      </c>
      <c r="B20" s="1079" t="s">
        <v>232</v>
      </c>
      <c r="C20" s="1074" t="s">
        <v>1027</v>
      </c>
      <c r="D20" s="1074" t="s">
        <v>1099</v>
      </c>
      <c r="E20" s="1098">
        <v>14.7537</v>
      </c>
      <c r="F20" s="1098">
        <v>1.3070999999999999</v>
      </c>
      <c r="G20" s="1098">
        <v>1.7427999999999999</v>
      </c>
      <c r="H20" s="1098">
        <v>5.4462000000000002</v>
      </c>
      <c r="I20" s="1098">
        <v>0.43569999999999998</v>
      </c>
      <c r="J20" s="1098">
        <v>6.3174999999999999</v>
      </c>
      <c r="K20" s="1098">
        <v>6.0997000000000003</v>
      </c>
      <c r="L20" s="1098">
        <v>4.5747999999999998</v>
      </c>
      <c r="M20" s="1098">
        <v>0</v>
      </c>
      <c r="N20" s="1098">
        <v>59.322499999999998</v>
      </c>
      <c r="O20" s="1098">
        <v>100</v>
      </c>
    </row>
    <row r="21" spans="1:15">
      <c r="A21" s="1097" t="str">
        <f t="shared" si="0"/>
        <v>PUNTO 2: CONCENTRADO 1° CLEANER TURNO_NOCHE 01-09-25</v>
      </c>
      <c r="B21" s="1079" t="s">
        <v>232</v>
      </c>
      <c r="C21" s="1074" t="s">
        <v>1027</v>
      </c>
      <c r="D21" s="1074" t="s">
        <v>1088</v>
      </c>
      <c r="E21" s="1098">
        <v>9.2703000000000007</v>
      </c>
      <c r="F21" s="1098">
        <v>5.1718000000000002</v>
      </c>
      <c r="G21" s="1098">
        <v>4.4966999999999997</v>
      </c>
      <c r="H21" s="1098">
        <v>1.5508</v>
      </c>
      <c r="I21" s="1098">
        <v>3.4481999999999999</v>
      </c>
      <c r="J21" s="1098">
        <v>9.3765999999999998</v>
      </c>
      <c r="K21" s="1098">
        <v>11.597</v>
      </c>
      <c r="L21" s="1098">
        <v>10.7546</v>
      </c>
      <c r="M21" s="1098">
        <v>0</v>
      </c>
      <c r="N21" s="1098">
        <v>44.334000000000003</v>
      </c>
      <c r="O21" s="1098">
        <v>100</v>
      </c>
    </row>
    <row r="22" spans="1:15">
      <c r="A22" s="1097" t="str">
        <f t="shared" si="0"/>
        <v>PUNTO 5: CONCENTRADO CLNR SCV TURNO_NOCHE 01-09-25</v>
      </c>
      <c r="B22" s="1079" t="s">
        <v>232</v>
      </c>
      <c r="C22" s="1074" t="s">
        <v>1100</v>
      </c>
      <c r="D22" s="1074" t="s">
        <v>1092</v>
      </c>
      <c r="E22" s="1098">
        <v>18.7928</v>
      </c>
      <c r="F22" s="1098">
        <v>11.927300000000001</v>
      </c>
      <c r="G22" s="1098">
        <v>16.75</v>
      </c>
      <c r="H22" s="1098">
        <v>0.43959999999999999</v>
      </c>
      <c r="I22" s="1098">
        <v>5.2751999999999999</v>
      </c>
      <c r="J22" s="1098">
        <v>0.87919999999999998</v>
      </c>
      <c r="K22" s="1098">
        <v>1.9782</v>
      </c>
      <c r="L22" s="1098">
        <v>1.2089000000000001</v>
      </c>
      <c r="M22" s="1098">
        <v>5.6048999999999998</v>
      </c>
      <c r="N22" s="1098">
        <v>37.143900000000002</v>
      </c>
      <c r="O22" s="1098">
        <v>100</v>
      </c>
    </row>
    <row r="23" spans="1:15">
      <c r="A23" s="1097" t="str">
        <f t="shared" si="0"/>
        <v>PUNTO 8: RELAVE SCAVENGER TURNO_NOCHE 01-09-25</v>
      </c>
      <c r="B23" s="1079" t="s">
        <v>232</v>
      </c>
      <c r="C23" s="1074" t="s">
        <v>1032</v>
      </c>
      <c r="D23" s="1074" t="s">
        <v>980</v>
      </c>
      <c r="E23" s="1098">
        <v>0</v>
      </c>
      <c r="F23" s="1098">
        <v>0</v>
      </c>
      <c r="G23" s="1098">
        <v>0</v>
      </c>
      <c r="H23" s="1098">
        <v>100</v>
      </c>
      <c r="I23" s="1098">
        <v>0</v>
      </c>
      <c r="J23" s="1098">
        <v>0</v>
      </c>
      <c r="K23" s="1098">
        <v>0</v>
      </c>
      <c r="L23" s="1098">
        <v>0</v>
      </c>
      <c r="M23" s="1098">
        <v>0</v>
      </c>
      <c r="N23" s="1098">
        <v>0</v>
      </c>
      <c r="O23" s="1098">
        <v>100</v>
      </c>
    </row>
    <row r="24" spans="1:15">
      <c r="A24" s="1097" t="str">
        <f t="shared" si="0"/>
        <v>PUNTO 1: ALIMENTACION 1° CLEANER TURNO_DIA 22-09-25</v>
      </c>
      <c r="B24" s="1079" t="s">
        <v>232</v>
      </c>
      <c r="C24" s="1074" t="s">
        <v>1027</v>
      </c>
      <c r="D24" s="1074" t="s">
        <v>1099</v>
      </c>
      <c r="E24" s="1098">
        <v>0.62719999999999998</v>
      </c>
      <c r="F24" s="1098">
        <v>2.5085999999999999</v>
      </c>
      <c r="G24" s="1098">
        <v>0</v>
      </c>
      <c r="H24" s="1098">
        <v>1.2543</v>
      </c>
      <c r="I24" s="1098">
        <v>0</v>
      </c>
      <c r="J24" s="1098">
        <v>0</v>
      </c>
      <c r="K24" s="1098">
        <v>27.902100000000001</v>
      </c>
      <c r="L24" s="1098">
        <v>0</v>
      </c>
      <c r="M24" s="1098">
        <v>0</v>
      </c>
      <c r="N24" s="1098">
        <v>67.707800000000006</v>
      </c>
      <c r="O24" s="1098">
        <v>100</v>
      </c>
    </row>
    <row r="25" spans="1:15">
      <c r="A25" s="1097" t="str">
        <f t="shared" si="0"/>
        <v>PUNTO 2: CONCENTRADO 1° CLEANER TURNO_DIA 22-09-25</v>
      </c>
      <c r="B25" s="1079" t="s">
        <v>232</v>
      </c>
      <c r="C25" s="1074" t="s">
        <v>1027</v>
      </c>
      <c r="D25" s="1074" t="s">
        <v>1088</v>
      </c>
      <c r="E25" s="1098">
        <v>2.1619999999999999</v>
      </c>
      <c r="F25" s="1098">
        <v>2.9529999999999998</v>
      </c>
      <c r="G25" s="1098">
        <v>0.6532</v>
      </c>
      <c r="H25" s="1098">
        <v>2.5276999999999998</v>
      </c>
      <c r="I25" s="1098">
        <v>0.1517</v>
      </c>
      <c r="J25" s="1098">
        <v>0.64929999999999999</v>
      </c>
      <c r="K25" s="1098">
        <v>7.4553000000000003</v>
      </c>
      <c r="L25" s="1098">
        <v>15.4221</v>
      </c>
      <c r="M25" s="1098">
        <v>14.6797</v>
      </c>
      <c r="N25" s="1098">
        <v>53.345999999999997</v>
      </c>
      <c r="O25" s="1098">
        <v>100</v>
      </c>
    </row>
    <row r="26" spans="1:15">
      <c r="A26" s="1097" t="str">
        <f t="shared" si="0"/>
        <v>PUNTO 5: CONCENTRADO CLNR SCV TURNO_DIA 22-09-25</v>
      </c>
      <c r="B26" s="1079" t="s">
        <v>232</v>
      </c>
      <c r="C26" s="1074" t="s">
        <v>1031</v>
      </c>
      <c r="D26" s="1074" t="s">
        <v>1092</v>
      </c>
      <c r="E26" s="1098">
        <v>4.9589999999999996</v>
      </c>
      <c r="F26" s="1098">
        <v>9.5336999999999996</v>
      </c>
      <c r="G26" s="1098">
        <v>3.9929999999999999</v>
      </c>
      <c r="H26" s="1098">
        <v>4.9337</v>
      </c>
      <c r="I26" s="1098">
        <v>6.5774999999999997</v>
      </c>
      <c r="J26" s="1098">
        <v>8.1150000000000002</v>
      </c>
      <c r="K26" s="1098">
        <v>0.51590000000000003</v>
      </c>
      <c r="L26" s="1098">
        <v>0</v>
      </c>
      <c r="M26" s="1098">
        <v>8.1250999999999998</v>
      </c>
      <c r="N26" s="1098">
        <v>53.247</v>
      </c>
      <c r="O26" s="1098">
        <v>100</v>
      </c>
    </row>
    <row r="27" spans="1:15">
      <c r="A27" s="1097" t="str">
        <f t="shared" si="0"/>
        <v>PUNTO 8: RELAVE SCAVENGER TURNO_DIA 22-09-25</v>
      </c>
      <c r="B27" s="1079" t="s">
        <v>232</v>
      </c>
      <c r="C27" s="1074" t="s">
        <v>1032</v>
      </c>
      <c r="D27" s="1074" t="s">
        <v>980</v>
      </c>
      <c r="E27" s="1098">
        <v>0</v>
      </c>
      <c r="F27" s="1098">
        <v>0</v>
      </c>
      <c r="G27" s="1098">
        <v>95.8155</v>
      </c>
      <c r="H27" s="1098">
        <v>0</v>
      </c>
      <c r="I27" s="1098">
        <v>0</v>
      </c>
      <c r="J27" s="1098">
        <v>0</v>
      </c>
      <c r="K27" s="1098">
        <v>0</v>
      </c>
      <c r="L27" s="1098">
        <v>0</v>
      </c>
      <c r="M27" s="1098">
        <v>0</v>
      </c>
      <c r="N27" s="1098">
        <v>4.1844999999999999</v>
      </c>
      <c r="O27" s="1098">
        <v>100</v>
      </c>
    </row>
    <row r="28" spans="1:15">
      <c r="A28" s="1097" t="str">
        <f t="shared" si="0"/>
        <v>PUNTO 1: ALIMENTACION 1° CLEANER TURNO_NOCHE 01-09-25</v>
      </c>
      <c r="B28" s="1079" t="s">
        <v>231</v>
      </c>
      <c r="C28" s="1074" t="s">
        <v>1027</v>
      </c>
      <c r="D28" s="1074" t="s">
        <v>1099</v>
      </c>
      <c r="E28" s="1098">
        <v>0</v>
      </c>
      <c r="F28" s="1098">
        <v>6.6351000000000004</v>
      </c>
      <c r="G28" s="1098">
        <v>5.4501999999999997</v>
      </c>
      <c r="H28" s="1098">
        <v>1.1848000000000001</v>
      </c>
      <c r="I28" s="1098">
        <v>1.8956999999999999</v>
      </c>
      <c r="J28" s="1098">
        <v>0.47389999999999999</v>
      </c>
      <c r="K28" s="1098">
        <v>2.6065999999999998</v>
      </c>
      <c r="L28" s="1098">
        <v>0</v>
      </c>
      <c r="M28" s="1098">
        <v>4.9763000000000002</v>
      </c>
      <c r="N28" s="1098">
        <v>76.777299999999997</v>
      </c>
      <c r="O28" s="1098">
        <v>100</v>
      </c>
    </row>
    <row r="29" spans="1:15">
      <c r="A29" s="1097" t="str">
        <f t="shared" si="0"/>
        <v>PUNTO 2: CONCENTRADO 1° CLEANER TURNO_NOCHE 01-09-25</v>
      </c>
      <c r="B29" s="1079" t="s">
        <v>231</v>
      </c>
      <c r="C29" s="1074" t="s">
        <v>1027</v>
      </c>
      <c r="D29" s="1074" t="s">
        <v>1088</v>
      </c>
      <c r="E29" s="1098">
        <v>8.5618999999999996</v>
      </c>
      <c r="F29" s="1098">
        <v>3.99</v>
      </c>
      <c r="G29" s="1098">
        <v>5.2369000000000003</v>
      </c>
      <c r="H29" s="1098">
        <v>1.4963</v>
      </c>
      <c r="I29" s="1098">
        <v>1.5793999999999999</v>
      </c>
      <c r="J29" s="1098">
        <v>5.2369000000000003</v>
      </c>
      <c r="K29" s="1098">
        <v>1.8288</v>
      </c>
      <c r="L29" s="1098">
        <v>0</v>
      </c>
      <c r="M29" s="1098">
        <v>0</v>
      </c>
      <c r="N29" s="1098">
        <v>72.069800000000001</v>
      </c>
      <c r="O29" s="1098">
        <v>100</v>
      </c>
    </row>
    <row r="30" spans="1:15">
      <c r="A30" s="1097" t="str">
        <f t="shared" si="0"/>
        <v>PUNTO 5: CONCENTRADO CLNR SCV TURNO_NOCHE 01-09-25</v>
      </c>
      <c r="B30" s="1079" t="s">
        <v>231</v>
      </c>
      <c r="C30" s="1074" t="s">
        <v>1100</v>
      </c>
      <c r="D30" s="1074" t="s">
        <v>1092</v>
      </c>
      <c r="E30" s="1098">
        <v>9.3150999999999993</v>
      </c>
      <c r="F30" s="1098">
        <v>25.205500000000001</v>
      </c>
      <c r="G30" s="1098">
        <v>19.452100000000002</v>
      </c>
      <c r="H30" s="1098">
        <v>0</v>
      </c>
      <c r="I30" s="1098">
        <v>13.4247</v>
      </c>
      <c r="J30" s="1098">
        <v>1.2329000000000001</v>
      </c>
      <c r="K30" s="1098">
        <v>0</v>
      </c>
      <c r="L30" s="1098">
        <v>6.9863</v>
      </c>
      <c r="M30" s="1098">
        <v>6.4383999999999997</v>
      </c>
      <c r="N30" s="1098">
        <v>17.9452</v>
      </c>
      <c r="O30" s="1098">
        <v>100</v>
      </c>
    </row>
    <row r="31" spans="1:15">
      <c r="A31" s="1097" t="str">
        <f t="shared" si="0"/>
        <v>PUNTO 8: RELAVE SCAVENGER TURNO_NOCHE 01-09-25</v>
      </c>
      <c r="B31" s="1079" t="s">
        <v>231</v>
      </c>
      <c r="C31" s="1074" t="s">
        <v>1032</v>
      </c>
      <c r="D31" s="1074" t="s">
        <v>980</v>
      </c>
      <c r="E31" s="1098">
        <v>0</v>
      </c>
      <c r="F31" s="1098">
        <v>75</v>
      </c>
      <c r="G31" s="1098">
        <v>0</v>
      </c>
      <c r="H31" s="1098">
        <v>0</v>
      </c>
      <c r="I31" s="1098">
        <v>0</v>
      </c>
      <c r="J31" s="1098">
        <v>0</v>
      </c>
      <c r="K31" s="1098">
        <v>0</v>
      </c>
      <c r="L31" s="1098">
        <v>0</v>
      </c>
      <c r="M31" s="1098">
        <v>0</v>
      </c>
      <c r="N31" s="1098">
        <v>25</v>
      </c>
      <c r="O31" s="1098">
        <v>100</v>
      </c>
    </row>
    <row r="32" spans="1:15">
      <c r="A32" s="1097" t="str">
        <f t="shared" si="0"/>
        <v>PUNTO 1: ALIMENTACION 1° CLEANER TURNO_DIA 22-09-25</v>
      </c>
      <c r="B32" s="1079" t="s">
        <v>231</v>
      </c>
      <c r="C32" s="1074" t="s">
        <v>1027</v>
      </c>
      <c r="D32" s="1074" t="s">
        <v>1099</v>
      </c>
      <c r="E32" s="1098">
        <v>0</v>
      </c>
      <c r="F32" s="1098">
        <v>3.4782999999999999</v>
      </c>
      <c r="G32" s="1098">
        <v>0</v>
      </c>
      <c r="H32" s="1098">
        <v>0.57969999999999999</v>
      </c>
      <c r="I32" s="1098">
        <v>0</v>
      </c>
      <c r="J32" s="1098">
        <v>3.7681</v>
      </c>
      <c r="K32" s="1098">
        <v>2.8986000000000001</v>
      </c>
      <c r="L32" s="1098">
        <v>0</v>
      </c>
      <c r="M32" s="1098">
        <v>0</v>
      </c>
      <c r="N32" s="1098">
        <v>89.275400000000005</v>
      </c>
      <c r="O32" s="1098">
        <v>100</v>
      </c>
    </row>
    <row r="33" spans="1:15">
      <c r="A33" s="1097" t="str">
        <f t="shared" si="0"/>
        <v>PUNTO 2: CONCENTRADO 1° CLEANER TURNO_DIA 22-09-25</v>
      </c>
      <c r="B33" s="1079" t="s">
        <v>231</v>
      </c>
      <c r="C33" s="1074" t="s">
        <v>1027</v>
      </c>
      <c r="D33" s="1074" t="s">
        <v>1088</v>
      </c>
      <c r="E33" s="1098">
        <v>1.4484999999999999</v>
      </c>
      <c r="F33" s="1098">
        <v>3.3262</v>
      </c>
      <c r="G33" s="1098">
        <v>3.97</v>
      </c>
      <c r="H33" s="1098">
        <v>6.0621999999999998</v>
      </c>
      <c r="I33" s="1098">
        <v>2.1996000000000002</v>
      </c>
      <c r="J33" s="1098">
        <v>4.0236000000000001</v>
      </c>
      <c r="K33" s="1098">
        <v>2.3069000000000002</v>
      </c>
      <c r="L33" s="1098">
        <v>4.7210000000000001</v>
      </c>
      <c r="M33" s="1098">
        <v>13.787599999999999</v>
      </c>
      <c r="N33" s="1098">
        <v>58.154499999999999</v>
      </c>
      <c r="O33" s="1098">
        <v>100</v>
      </c>
    </row>
    <row r="34" spans="1:15">
      <c r="A34" s="1097" t="str">
        <f t="shared" si="0"/>
        <v>PUNTO 5: CONCENTRADO CLNR SCV TURNO_DIA 22-09-25</v>
      </c>
      <c r="B34" s="1079" t="s">
        <v>231</v>
      </c>
      <c r="C34" s="1074" t="s">
        <v>1031</v>
      </c>
      <c r="D34" s="1074" t="s">
        <v>1092</v>
      </c>
      <c r="E34" s="1098">
        <v>2.9668000000000001</v>
      </c>
      <c r="F34" s="1098">
        <v>14.485200000000001</v>
      </c>
      <c r="G34" s="1098">
        <v>3.1414</v>
      </c>
      <c r="H34" s="1098">
        <v>1.9197</v>
      </c>
      <c r="I34" s="1098">
        <v>5.9337</v>
      </c>
      <c r="J34" s="1098">
        <v>9.7730999999999995</v>
      </c>
      <c r="K34" s="1098">
        <v>4.8865999999999996</v>
      </c>
      <c r="L34" s="1098">
        <v>0.87260000000000004</v>
      </c>
      <c r="M34" s="1098">
        <v>2.7923</v>
      </c>
      <c r="N34" s="1098">
        <v>53.2286</v>
      </c>
      <c r="O34" s="1098">
        <v>100</v>
      </c>
    </row>
    <row r="35" spans="1:15">
      <c r="A35" s="1097" t="str">
        <f t="shared" si="0"/>
        <v>PUNTO 8: RELAVE SCAVENGER TURNO_DIA 22-09-25</v>
      </c>
      <c r="B35" s="1079" t="s">
        <v>231</v>
      </c>
      <c r="C35" s="1074" t="s">
        <v>1032</v>
      </c>
      <c r="D35" s="1074" t="s">
        <v>980</v>
      </c>
      <c r="E35" s="1098">
        <v>0</v>
      </c>
      <c r="F35" s="1098">
        <v>0</v>
      </c>
      <c r="G35" s="1098">
        <v>0</v>
      </c>
      <c r="H35" s="1098">
        <v>0</v>
      </c>
      <c r="I35" s="1098">
        <v>0</v>
      </c>
      <c r="J35" s="1098">
        <v>0</v>
      </c>
      <c r="K35" s="1098">
        <v>0</v>
      </c>
      <c r="L35" s="1098">
        <v>0</v>
      </c>
      <c r="M35" s="1098">
        <v>0</v>
      </c>
      <c r="N35" s="1098">
        <v>100</v>
      </c>
      <c r="O35" s="1098">
        <v>100</v>
      </c>
    </row>
    <row r="36" spans="1:15">
      <c r="A36" s="1097" t="str">
        <f t="shared" si="0"/>
        <v>PUNTO 1: ALIMENTACION 1° CLEANER TURNO_NOCHE 01-09-25</v>
      </c>
      <c r="B36" s="1079" t="s">
        <v>3</v>
      </c>
      <c r="C36" s="1074" t="s">
        <v>1027</v>
      </c>
      <c r="D36" s="1074" t="s">
        <v>1099</v>
      </c>
      <c r="E36" s="1098">
        <v>0</v>
      </c>
      <c r="F36" s="1098">
        <v>0</v>
      </c>
      <c r="G36" s="1098">
        <v>0</v>
      </c>
      <c r="H36" s="1098">
        <v>0</v>
      </c>
      <c r="I36" s="1098">
        <v>0</v>
      </c>
      <c r="J36" s="1098">
        <v>0</v>
      </c>
      <c r="K36" s="1098">
        <v>0</v>
      </c>
      <c r="L36" s="1098">
        <v>0</v>
      </c>
      <c r="M36" s="1098">
        <v>0</v>
      </c>
      <c r="N36" s="1098">
        <v>100</v>
      </c>
      <c r="O36" s="1098">
        <v>100</v>
      </c>
    </row>
    <row r="37" spans="1:15">
      <c r="A37" s="1097" t="str">
        <f t="shared" si="0"/>
        <v>PUNTO 2: CONCENTRADO 1° CLEANER TURNO_NOCHE 01-09-25</v>
      </c>
      <c r="B37" s="1079" t="s">
        <v>3</v>
      </c>
      <c r="C37" s="1074" t="s">
        <v>1027</v>
      </c>
      <c r="D37" s="1074" t="s">
        <v>1088</v>
      </c>
      <c r="E37" s="1098">
        <v>0</v>
      </c>
      <c r="F37" s="1098">
        <v>0</v>
      </c>
      <c r="G37" s="1098">
        <v>0</v>
      </c>
      <c r="H37" s="1098">
        <v>0</v>
      </c>
      <c r="I37" s="1098">
        <v>0</v>
      </c>
      <c r="J37" s="1098">
        <v>0</v>
      </c>
      <c r="K37" s="1098">
        <v>0</v>
      </c>
      <c r="L37" s="1098">
        <v>0</v>
      </c>
      <c r="M37" s="1098">
        <v>0</v>
      </c>
      <c r="N37" s="1098">
        <v>100</v>
      </c>
      <c r="O37" s="1098">
        <v>100</v>
      </c>
    </row>
    <row r="38" spans="1:15">
      <c r="A38" s="1097" t="str">
        <f t="shared" si="0"/>
        <v>PUNTO 5: CONCENTRADO CLNR SCV TURNO_NOCHE 01-09-25</v>
      </c>
      <c r="B38" s="1079" t="s">
        <v>3</v>
      </c>
      <c r="C38" s="1074" t="s">
        <v>1100</v>
      </c>
      <c r="D38" s="1074" t="s">
        <v>1092</v>
      </c>
      <c r="E38" s="1098">
        <v>0</v>
      </c>
      <c r="F38" s="1098">
        <v>0</v>
      </c>
      <c r="G38" s="1098">
        <v>0</v>
      </c>
      <c r="H38" s="1098">
        <v>0</v>
      </c>
      <c r="I38" s="1098">
        <v>0</v>
      </c>
      <c r="J38" s="1098">
        <v>0</v>
      </c>
      <c r="K38" s="1098">
        <v>0</v>
      </c>
      <c r="L38" s="1098">
        <v>1.3071999999999999</v>
      </c>
      <c r="M38" s="1098">
        <v>12.636200000000001</v>
      </c>
      <c r="N38" s="1098">
        <v>86.056600000000003</v>
      </c>
      <c r="O38" s="1098">
        <v>100</v>
      </c>
    </row>
    <row r="39" spans="1:15">
      <c r="A39" s="1097" t="str">
        <f t="shared" si="0"/>
        <v>PUNTO 8: RELAVE SCAVENGER TURNO_NOCHE 01-09-25</v>
      </c>
      <c r="B39" s="1079" t="s">
        <v>3</v>
      </c>
      <c r="C39" s="1074" t="s">
        <v>1032</v>
      </c>
      <c r="D39" s="1074" t="s">
        <v>980</v>
      </c>
      <c r="E39" s="1098">
        <v>0</v>
      </c>
      <c r="F39" s="1098">
        <v>0</v>
      </c>
      <c r="G39" s="1098">
        <v>0</v>
      </c>
      <c r="H39" s="1098">
        <v>0</v>
      </c>
      <c r="I39" s="1098">
        <v>0</v>
      </c>
      <c r="J39" s="1098">
        <v>0</v>
      </c>
      <c r="K39" s="1098">
        <v>0</v>
      </c>
      <c r="L39" s="1098">
        <v>0</v>
      </c>
      <c r="M39" s="1098">
        <v>0</v>
      </c>
      <c r="N39" s="1098">
        <v>100</v>
      </c>
      <c r="O39" s="1098">
        <v>100</v>
      </c>
    </row>
    <row r="40" spans="1:15">
      <c r="A40" s="1097" t="str">
        <f t="shared" si="0"/>
        <v>PUNTO 1: ALIMENTACION 1° CLEANER TURNO_DIA 22-09-25</v>
      </c>
      <c r="B40" s="1079" t="s">
        <v>3</v>
      </c>
      <c r="C40" s="1074" t="s">
        <v>1027</v>
      </c>
      <c r="D40" s="1074" t="s">
        <v>1099</v>
      </c>
      <c r="E40" s="1098">
        <v>0</v>
      </c>
      <c r="F40" s="1098">
        <v>0</v>
      </c>
      <c r="G40" s="1098">
        <v>0</v>
      </c>
      <c r="H40" s="1098">
        <v>0</v>
      </c>
      <c r="I40" s="1098">
        <v>0</v>
      </c>
      <c r="J40" s="1098">
        <v>0</v>
      </c>
      <c r="K40" s="1098">
        <v>0</v>
      </c>
      <c r="L40" s="1098">
        <v>12</v>
      </c>
      <c r="M40" s="1098">
        <v>0</v>
      </c>
      <c r="N40" s="1098">
        <v>88</v>
      </c>
      <c r="O40" s="1098">
        <v>100</v>
      </c>
    </row>
    <row r="41" spans="1:15">
      <c r="A41" s="1097" t="str">
        <f t="shared" si="0"/>
        <v>PUNTO 2: CONCENTRADO 1° CLEANER TURNO_DIA 22-09-25</v>
      </c>
      <c r="B41" s="1079" t="s">
        <v>3</v>
      </c>
      <c r="C41" s="1074" t="s">
        <v>1027</v>
      </c>
      <c r="D41" s="1074" t="s">
        <v>1088</v>
      </c>
      <c r="E41" s="1098">
        <v>0</v>
      </c>
      <c r="F41" s="1098">
        <v>0</v>
      </c>
      <c r="G41" s="1098">
        <v>0</v>
      </c>
      <c r="H41" s="1098">
        <v>0</v>
      </c>
      <c r="I41" s="1098">
        <v>0</v>
      </c>
      <c r="J41" s="1098">
        <v>0</v>
      </c>
      <c r="K41" s="1098">
        <v>0</v>
      </c>
      <c r="L41" s="1098">
        <v>0</v>
      </c>
      <c r="M41" s="1098">
        <v>0</v>
      </c>
      <c r="N41" s="1098">
        <v>100</v>
      </c>
      <c r="O41" s="1098">
        <v>100</v>
      </c>
    </row>
    <row r="42" spans="1:15">
      <c r="A42" s="1097" t="str">
        <f t="shared" si="0"/>
        <v>PUNTO 5: CONCENTRADO CLNR SCV TURNO_DIA 22-09-25</v>
      </c>
      <c r="B42" s="1079" t="s">
        <v>3</v>
      </c>
      <c r="C42" s="1074" t="s">
        <v>1031</v>
      </c>
      <c r="D42" s="1074" t="s">
        <v>1092</v>
      </c>
      <c r="E42" s="1098">
        <v>0</v>
      </c>
      <c r="F42" s="1098">
        <v>0</v>
      </c>
      <c r="G42" s="1098">
        <v>0</v>
      </c>
      <c r="H42" s="1098">
        <v>0</v>
      </c>
      <c r="I42" s="1098">
        <v>2.4691000000000001</v>
      </c>
      <c r="J42" s="1098">
        <v>0</v>
      </c>
      <c r="K42" s="1098">
        <v>0</v>
      </c>
      <c r="L42" s="1098">
        <v>0</v>
      </c>
      <c r="M42" s="1098">
        <v>0</v>
      </c>
      <c r="N42" s="1098">
        <v>97.530900000000003</v>
      </c>
      <c r="O42" s="1098">
        <v>100</v>
      </c>
    </row>
    <row r="43" spans="1:15">
      <c r="A43" s="1097" t="str">
        <f t="shared" si="0"/>
        <v>PUNTO 8: RELAVE SCAVENGER TURNO_DIA 22-09-25</v>
      </c>
      <c r="B43" s="1079" t="s">
        <v>3</v>
      </c>
      <c r="C43" s="1074" t="s">
        <v>1032</v>
      </c>
      <c r="D43" s="1074" t="s">
        <v>980</v>
      </c>
      <c r="E43" s="1098">
        <v>0</v>
      </c>
      <c r="F43" s="1098">
        <v>0</v>
      </c>
      <c r="G43" s="1098">
        <v>0</v>
      </c>
      <c r="H43" s="1098">
        <v>0</v>
      </c>
      <c r="I43" s="1098">
        <v>0</v>
      </c>
      <c r="J43" s="1098">
        <v>0</v>
      </c>
      <c r="K43" s="1098">
        <v>0</v>
      </c>
      <c r="L43" s="1098">
        <v>0</v>
      </c>
      <c r="M43" s="1098">
        <v>0</v>
      </c>
      <c r="N43" s="1098">
        <v>100</v>
      </c>
      <c r="O43" s="1098">
        <v>100</v>
      </c>
    </row>
    <row r="44" spans="1:15">
      <c r="A44" s="1097" t="str">
        <f t="shared" si="0"/>
        <v>PUNTO 1: ALIMENTACION 1° CLEANER TURNO_NOCHE 01-09-25</v>
      </c>
      <c r="B44" s="1079" t="s">
        <v>222</v>
      </c>
      <c r="C44" s="1074" t="s">
        <v>1027</v>
      </c>
      <c r="D44" s="1074" t="s">
        <v>1099</v>
      </c>
      <c r="E44" s="1098">
        <v>0.57089999999999996</v>
      </c>
      <c r="F44" s="1098">
        <v>3.6799999999999999E-2</v>
      </c>
      <c r="G44" s="1098">
        <v>9.2100000000000001E-2</v>
      </c>
      <c r="H44" s="1098">
        <v>0.66300000000000003</v>
      </c>
      <c r="I44" s="1098">
        <v>0.2026</v>
      </c>
      <c r="J44" s="1098">
        <v>2.2650999999999999</v>
      </c>
      <c r="K44" s="1098">
        <v>2.9832999999999998</v>
      </c>
      <c r="L44" s="1098">
        <v>2.6334</v>
      </c>
      <c r="M44" s="1098">
        <v>4.8064</v>
      </c>
      <c r="N44" s="1098">
        <v>85.746499999999997</v>
      </c>
      <c r="O44" s="1098">
        <v>100</v>
      </c>
    </row>
    <row r="45" spans="1:15">
      <c r="A45" s="1097" t="str">
        <f t="shared" si="0"/>
        <v>PUNTO 2: CONCENTRADO 1° CLEANER TURNO_NOCHE 01-09-25</v>
      </c>
      <c r="B45" s="1079" t="s">
        <v>222</v>
      </c>
      <c r="C45" s="1074" t="s">
        <v>1027</v>
      </c>
      <c r="D45" s="1074" t="s">
        <v>1088</v>
      </c>
      <c r="E45" s="1098">
        <v>0.88759999999999994</v>
      </c>
      <c r="F45" s="1098">
        <v>3.0476000000000001</v>
      </c>
      <c r="G45" s="1098">
        <v>4.71</v>
      </c>
      <c r="H45" s="1098">
        <v>4.2328000000000001</v>
      </c>
      <c r="I45" s="1098">
        <v>2.6474000000000002</v>
      </c>
      <c r="J45" s="1098">
        <v>2.5085000000000002</v>
      </c>
      <c r="K45" s="1098">
        <v>10.445</v>
      </c>
      <c r="L45" s="1098">
        <v>9.7614999999999998</v>
      </c>
      <c r="M45" s="1098">
        <v>13.9374</v>
      </c>
      <c r="N45" s="1098">
        <v>47.822299999999998</v>
      </c>
      <c r="O45" s="1098">
        <v>100</v>
      </c>
    </row>
    <row r="46" spans="1:15">
      <c r="A46" s="1097" t="str">
        <f t="shared" si="0"/>
        <v>PUNTO 5: CONCENTRADO CLNR SCV TURNO_NOCHE 01-09-25</v>
      </c>
      <c r="B46" s="1079" t="s">
        <v>222</v>
      </c>
      <c r="C46" s="1074" t="s">
        <v>1100</v>
      </c>
      <c r="D46" s="1074" t="s">
        <v>1092</v>
      </c>
      <c r="E46" s="1098">
        <v>5.5309999999999997</v>
      </c>
      <c r="F46" s="1098">
        <v>2.3277999999999999</v>
      </c>
      <c r="G46" s="1098">
        <v>2.6978</v>
      </c>
      <c r="H46" s="1098">
        <v>6.7729999999999997</v>
      </c>
      <c r="I46" s="1098">
        <v>2.8788999999999998</v>
      </c>
      <c r="J46" s="1098">
        <v>2.2751999999999999</v>
      </c>
      <c r="K46" s="1098">
        <v>4.2329999999999997</v>
      </c>
      <c r="L46" s="1098">
        <v>7.0938999999999997</v>
      </c>
      <c r="M46" s="1098">
        <v>8.8064999999999998</v>
      </c>
      <c r="N46" s="1098">
        <v>57.382800000000003</v>
      </c>
      <c r="O46" s="1098">
        <v>100</v>
      </c>
    </row>
    <row r="47" spans="1:15">
      <c r="A47" s="1097" t="str">
        <f t="shared" si="0"/>
        <v>PUNTO 8: RELAVE SCAVENGER TURNO_NOCHE 01-09-25</v>
      </c>
      <c r="B47" s="1079" t="s">
        <v>222</v>
      </c>
      <c r="C47" s="1074" t="s">
        <v>1032</v>
      </c>
      <c r="D47" s="1074" t="s">
        <v>980</v>
      </c>
      <c r="E47" s="1098">
        <v>5.8500000000000003E-2</v>
      </c>
      <c r="F47" s="1098">
        <v>5.4970999999999997</v>
      </c>
      <c r="G47" s="1098">
        <v>5.8500000000000003E-2</v>
      </c>
      <c r="H47" s="1098">
        <v>0.40939999999999999</v>
      </c>
      <c r="I47" s="1098">
        <v>0</v>
      </c>
      <c r="J47" s="1098">
        <v>0</v>
      </c>
      <c r="K47" s="1098">
        <v>0.46779999999999999</v>
      </c>
      <c r="L47" s="1098">
        <v>3.9180999999999999</v>
      </c>
      <c r="M47" s="1098">
        <v>11.2865</v>
      </c>
      <c r="N47" s="1098">
        <v>78.304100000000005</v>
      </c>
      <c r="O47" s="1098">
        <v>100</v>
      </c>
    </row>
    <row r="48" spans="1:15">
      <c r="A48" s="1097" t="str">
        <f t="shared" si="0"/>
        <v>PUNTO 1: ALIMENTACION 1° CLEANER TURNO_DIA 22-09-25</v>
      </c>
      <c r="B48" s="1079" t="s">
        <v>222</v>
      </c>
      <c r="C48" s="1074" t="s">
        <v>1027</v>
      </c>
      <c r="D48" s="1074" t="s">
        <v>1099</v>
      </c>
      <c r="E48" s="1098">
        <v>0.1203</v>
      </c>
      <c r="F48" s="1098">
        <v>4.5100000000000001E-2</v>
      </c>
      <c r="G48" s="1098">
        <v>1.4999999999999999E-2</v>
      </c>
      <c r="H48" s="1098">
        <v>3.0099999999999998E-2</v>
      </c>
      <c r="I48" s="1098">
        <v>7.5200000000000003E-2</v>
      </c>
      <c r="J48" s="1098">
        <v>0.51119999999999999</v>
      </c>
      <c r="K48" s="1098">
        <v>0.90210000000000001</v>
      </c>
      <c r="L48" s="1098">
        <v>1.9697</v>
      </c>
      <c r="M48" s="1098">
        <v>2.7966000000000002</v>
      </c>
      <c r="N48" s="1098">
        <v>93.534700000000001</v>
      </c>
      <c r="O48" s="1098">
        <v>100</v>
      </c>
    </row>
    <row r="49" spans="1:15">
      <c r="A49" s="1097" t="str">
        <f t="shared" si="0"/>
        <v>PUNTO 2: CONCENTRADO 1° CLEANER TURNO_DIA 22-09-25</v>
      </c>
      <c r="B49" s="1079" t="s">
        <v>222</v>
      </c>
      <c r="C49" s="1074" t="s">
        <v>1027</v>
      </c>
      <c r="D49" s="1074" t="s">
        <v>1088</v>
      </c>
      <c r="E49" s="1098">
        <v>0.92889999999999995</v>
      </c>
      <c r="F49" s="1098">
        <v>0.2283</v>
      </c>
      <c r="G49" s="1098">
        <v>0.50380000000000003</v>
      </c>
      <c r="H49" s="1098">
        <v>0.15740000000000001</v>
      </c>
      <c r="I49" s="1098">
        <v>0.54320000000000002</v>
      </c>
      <c r="J49" s="1098">
        <v>2.1097000000000001</v>
      </c>
      <c r="K49" s="1098">
        <v>2.5268999999999999</v>
      </c>
      <c r="L49" s="1098">
        <v>4.0141</v>
      </c>
      <c r="M49" s="1098">
        <v>8.7615999999999996</v>
      </c>
      <c r="N49" s="1098">
        <v>80.225999999999999</v>
      </c>
      <c r="O49" s="1098">
        <v>100</v>
      </c>
    </row>
    <row r="50" spans="1:15">
      <c r="A50" s="1097" t="str">
        <f t="shared" si="0"/>
        <v>PUNTO 5: CONCENTRADO CLNR SCV TURNO_DIA 22-09-25</v>
      </c>
      <c r="B50" s="1079" t="s">
        <v>222</v>
      </c>
      <c r="C50" s="1074" t="s">
        <v>1031</v>
      </c>
      <c r="D50" s="1074" t="s">
        <v>1092</v>
      </c>
      <c r="E50" s="1098">
        <v>0.7107</v>
      </c>
      <c r="F50" s="1098">
        <v>0.83730000000000004</v>
      </c>
      <c r="G50" s="1098">
        <v>1.1469</v>
      </c>
      <c r="H50" s="1098">
        <v>0.47849999999999998</v>
      </c>
      <c r="I50" s="1098">
        <v>0.40810000000000002</v>
      </c>
      <c r="J50" s="1098">
        <v>2.2932999999999999</v>
      </c>
      <c r="K50" s="1098">
        <v>1.2383999999999999</v>
      </c>
      <c r="L50" s="1098">
        <v>8.4367000000000001</v>
      </c>
      <c r="M50" s="1098">
        <v>10.603899999999999</v>
      </c>
      <c r="N50" s="1098">
        <v>73.846199999999996</v>
      </c>
      <c r="O50" s="1098">
        <v>100</v>
      </c>
    </row>
    <row r="51" spans="1:15">
      <c r="A51" s="1097" t="str">
        <f t="shared" si="0"/>
        <v>PUNTO 8: RELAVE SCAVENGER TURNO_DIA 22-09-25</v>
      </c>
      <c r="B51" s="1079" t="s">
        <v>222</v>
      </c>
      <c r="C51" s="1074" t="s">
        <v>1032</v>
      </c>
      <c r="D51" s="1074" t="s">
        <v>980</v>
      </c>
      <c r="E51" s="1098">
        <v>0.75609999999999999</v>
      </c>
      <c r="F51" s="1098">
        <v>0.14630000000000001</v>
      </c>
      <c r="G51" s="1098">
        <v>0.1951</v>
      </c>
      <c r="H51" s="1098">
        <v>2.4400000000000002E-2</v>
      </c>
      <c r="I51" s="1098">
        <v>0.58540000000000003</v>
      </c>
      <c r="J51" s="1098">
        <v>1.7318</v>
      </c>
      <c r="K51" s="1098">
        <v>0.73170000000000002</v>
      </c>
      <c r="L51" s="1098">
        <v>0.60980000000000001</v>
      </c>
      <c r="M51" s="1098">
        <v>1.1220000000000001</v>
      </c>
      <c r="N51" s="1098">
        <v>94.097399999999993</v>
      </c>
      <c r="O51" s="1098">
        <v>100</v>
      </c>
    </row>
    <row r="52" spans="1:15">
      <c r="B52" s="652"/>
      <c r="E52" s="652"/>
      <c r="F52" s="652"/>
      <c r="G52" s="652"/>
      <c r="H52" s="652"/>
      <c r="I52" s="652"/>
      <c r="J52" s="652"/>
      <c r="K52" s="652"/>
      <c r="L52" s="652"/>
      <c r="M52" s="652"/>
      <c r="N52" s="652"/>
    </row>
  </sheetData>
  <mergeCells count="2">
    <mergeCell ref="B1:B2"/>
    <mergeCell ref="E1:O2"/>
  </mergeCells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249E7-03A3-42B0-9802-B94D355C6945}">
  <dimension ref="A1:AO180"/>
  <sheetViews>
    <sheetView workbookViewId="0"/>
  </sheetViews>
  <sheetFormatPr baseColWidth="10" defaultRowHeight="14.5"/>
  <sheetData>
    <row r="1" spans="1:41">
      <c r="A1" s="1099" t="s">
        <v>248</v>
      </c>
      <c r="B1" s="1097" t="s">
        <v>233</v>
      </c>
      <c r="C1" s="1097" t="s">
        <v>220</v>
      </c>
      <c r="D1" s="1097" t="s">
        <v>223</v>
      </c>
      <c r="E1" s="1097" t="s">
        <v>249</v>
      </c>
      <c r="F1" s="1097" t="s">
        <v>221</v>
      </c>
      <c r="G1" s="1097" t="s">
        <v>234</v>
      </c>
      <c r="H1" s="1097" t="s">
        <v>242</v>
      </c>
      <c r="I1" s="1097" t="s">
        <v>225</v>
      </c>
      <c r="J1" s="1097" t="s">
        <v>236</v>
      </c>
      <c r="K1" s="1097" t="s">
        <v>227</v>
      </c>
      <c r="L1" s="1097" t="s">
        <v>2</v>
      </c>
      <c r="M1" s="1097" t="s">
        <v>232</v>
      </c>
      <c r="N1" s="1097" t="s">
        <v>230</v>
      </c>
      <c r="O1" s="1097" t="s">
        <v>3</v>
      </c>
      <c r="P1" s="1097" t="s">
        <v>235</v>
      </c>
      <c r="Q1" s="1097" t="s">
        <v>250</v>
      </c>
      <c r="R1" s="1097" t="s">
        <v>228</v>
      </c>
      <c r="S1" s="1097" t="s">
        <v>224</v>
      </c>
      <c r="T1" s="1097" t="s">
        <v>239</v>
      </c>
      <c r="U1" s="1097" t="s">
        <v>1033</v>
      </c>
      <c r="V1" s="1097" t="s">
        <v>219</v>
      </c>
      <c r="W1" s="1097" t="s">
        <v>229</v>
      </c>
      <c r="X1" s="1097" t="s">
        <v>222</v>
      </c>
      <c r="Y1" s="1097" t="s">
        <v>1018</v>
      </c>
      <c r="Z1" s="1097" t="s">
        <v>231</v>
      </c>
      <c r="AC1" s="1099" t="s">
        <v>248</v>
      </c>
      <c r="AD1" s="1097" t="s">
        <v>232</v>
      </c>
      <c r="AE1" s="1097" t="s">
        <v>230</v>
      </c>
      <c r="AF1" s="1097" t="s">
        <v>224</v>
      </c>
      <c r="AG1" s="1097" t="s">
        <v>222</v>
      </c>
      <c r="AH1" s="1097" t="s">
        <v>231</v>
      </c>
      <c r="AJ1" s="1099" t="s">
        <v>248</v>
      </c>
      <c r="AK1" s="1097" t="s">
        <v>232</v>
      </c>
      <c r="AL1" s="1097" t="s">
        <v>230</v>
      </c>
      <c r="AM1" s="1097" t="s">
        <v>224</v>
      </c>
      <c r="AN1" s="1097" t="s">
        <v>222</v>
      </c>
      <c r="AO1" s="1097" t="s">
        <v>231</v>
      </c>
    </row>
    <row r="2" spans="1:41">
      <c r="A2" s="1100" t="s">
        <v>1019</v>
      </c>
      <c r="B2" s="1079"/>
      <c r="C2" s="1079"/>
      <c r="D2" s="1079"/>
      <c r="E2" s="1079"/>
      <c r="F2" s="1079"/>
      <c r="G2" s="1079"/>
      <c r="H2" s="1079"/>
      <c r="I2" s="1079"/>
      <c r="J2" s="1079"/>
      <c r="K2" s="1079"/>
      <c r="L2" s="1079"/>
      <c r="M2" s="1079"/>
      <c r="N2" s="1079"/>
      <c r="O2" s="1079"/>
      <c r="P2" s="1079"/>
      <c r="Q2" s="1079"/>
      <c r="R2" s="1079"/>
      <c r="S2" s="1079"/>
      <c r="T2" s="1079"/>
      <c r="U2" s="1079"/>
      <c r="V2" s="1079"/>
      <c r="W2" s="1079"/>
      <c r="X2" s="1079"/>
      <c r="Y2" s="1079"/>
      <c r="Z2" s="1079"/>
      <c r="AC2" s="1100" t="s">
        <v>1019</v>
      </c>
      <c r="AD2" s="1079"/>
      <c r="AE2" s="1079"/>
      <c r="AF2" s="1079"/>
      <c r="AG2" s="1079"/>
      <c r="AH2" s="1079"/>
      <c r="AJ2" s="1101" t="s">
        <v>251</v>
      </c>
      <c r="AK2" s="1102">
        <v>55.84</v>
      </c>
      <c r="AL2" s="1102">
        <v>83.77</v>
      </c>
      <c r="AM2" s="1102">
        <v>71.790000000000006</v>
      </c>
      <c r="AN2" s="1102">
        <v>76.150000000000006</v>
      </c>
      <c r="AO2" s="1102">
        <v>62.32</v>
      </c>
    </row>
    <row r="3" spans="1:41">
      <c r="A3" s="1101" t="s">
        <v>251</v>
      </c>
      <c r="B3" s="1102">
        <v>72.55</v>
      </c>
      <c r="C3" s="1102">
        <v>84.54</v>
      </c>
      <c r="D3" s="1102">
        <v>76.09</v>
      </c>
      <c r="E3" s="1102">
        <v>97.63</v>
      </c>
      <c r="F3" s="1102">
        <v>74.27</v>
      </c>
      <c r="G3" s="1102">
        <v>8.17</v>
      </c>
      <c r="H3" s="1102">
        <v>0</v>
      </c>
      <c r="I3" s="1102">
        <v>99.25</v>
      </c>
      <c r="J3" s="1102">
        <v>93.32</v>
      </c>
      <c r="K3" s="1102">
        <v>50</v>
      </c>
      <c r="L3" s="1102">
        <v>71.31</v>
      </c>
      <c r="M3" s="1102">
        <v>55.84</v>
      </c>
      <c r="N3" s="1102">
        <v>83.77</v>
      </c>
      <c r="O3" s="1102">
        <v>100</v>
      </c>
      <c r="P3" s="1102">
        <v>100</v>
      </c>
      <c r="Q3" s="1102">
        <v>57.14</v>
      </c>
      <c r="R3" s="1102">
        <v>40.82</v>
      </c>
      <c r="S3" s="1102">
        <v>71.790000000000006</v>
      </c>
      <c r="T3" s="1102">
        <v>100</v>
      </c>
      <c r="U3" s="1102">
        <v>100</v>
      </c>
      <c r="V3" s="1102">
        <v>73.27</v>
      </c>
      <c r="W3" s="1102">
        <v>64.67</v>
      </c>
      <c r="X3" s="1102">
        <v>76.150000000000006</v>
      </c>
      <c r="Y3" s="1102">
        <v>100</v>
      </c>
      <c r="Z3" s="1102">
        <v>62.32</v>
      </c>
      <c r="AC3" s="1101" t="s">
        <v>251</v>
      </c>
      <c r="AD3" s="1102">
        <v>55.84</v>
      </c>
      <c r="AE3" s="1102">
        <v>83.77</v>
      </c>
      <c r="AF3" s="1102">
        <v>71.790000000000006</v>
      </c>
      <c r="AG3" s="1102">
        <v>76.150000000000006</v>
      </c>
      <c r="AH3" s="1102">
        <v>62.32</v>
      </c>
      <c r="AJ3" s="1101" t="s">
        <v>1116</v>
      </c>
      <c r="AK3" s="1102">
        <v>18.52</v>
      </c>
      <c r="AL3" s="1102">
        <v>11.89</v>
      </c>
      <c r="AM3" s="1102">
        <v>20.27</v>
      </c>
      <c r="AN3" s="1102">
        <v>20.420000000000002</v>
      </c>
      <c r="AO3" s="1102">
        <v>31.99</v>
      </c>
    </row>
    <row r="4" spans="1:41">
      <c r="A4" s="1101" t="s">
        <v>1116</v>
      </c>
      <c r="B4" s="1102">
        <v>27.45</v>
      </c>
      <c r="C4" s="1102">
        <v>12.32</v>
      </c>
      <c r="D4" s="1102">
        <v>18.510000000000002</v>
      </c>
      <c r="E4" s="1102">
        <v>2.37</v>
      </c>
      <c r="F4" s="1102">
        <v>14.84</v>
      </c>
      <c r="G4" s="1102">
        <v>87.74</v>
      </c>
      <c r="H4" s="1102">
        <v>0</v>
      </c>
      <c r="I4" s="1102">
        <v>0.75</v>
      </c>
      <c r="J4" s="1102">
        <v>6.68</v>
      </c>
      <c r="K4" s="1102">
        <v>37.799999999999997</v>
      </c>
      <c r="L4" s="1102">
        <v>19.04</v>
      </c>
      <c r="M4" s="1102">
        <v>18.52</v>
      </c>
      <c r="N4" s="1102">
        <v>11.89</v>
      </c>
      <c r="O4" s="1102">
        <v>0</v>
      </c>
      <c r="P4" s="1102">
        <v>0</v>
      </c>
      <c r="Q4" s="1102">
        <v>42.86</v>
      </c>
      <c r="R4" s="1102">
        <v>36.729999999999997</v>
      </c>
      <c r="S4" s="1102">
        <v>20.27</v>
      </c>
      <c r="T4" s="1102">
        <v>0</v>
      </c>
      <c r="U4" s="1102">
        <v>0</v>
      </c>
      <c r="V4" s="1102">
        <v>20.420000000000002</v>
      </c>
      <c r="W4" s="1102">
        <v>15.33</v>
      </c>
      <c r="X4" s="1102">
        <v>20.420000000000002</v>
      </c>
      <c r="Y4" s="1102">
        <v>0</v>
      </c>
      <c r="Z4" s="1102">
        <v>31.99</v>
      </c>
      <c r="AC4" s="1101" t="s">
        <v>1116</v>
      </c>
      <c r="AD4" s="1102">
        <v>18.52</v>
      </c>
      <c r="AE4" s="1102">
        <v>11.89</v>
      </c>
      <c r="AF4" s="1102">
        <v>20.27</v>
      </c>
      <c r="AG4" s="1102">
        <v>20.420000000000002</v>
      </c>
      <c r="AH4" s="1102">
        <v>31.99</v>
      </c>
      <c r="AJ4" s="1101" t="s">
        <v>253</v>
      </c>
      <c r="AK4" s="1102">
        <v>25.65</v>
      </c>
      <c r="AL4" s="1102">
        <v>4.34</v>
      </c>
      <c r="AM4" s="1102">
        <v>7.93</v>
      </c>
      <c r="AN4" s="1102">
        <v>3.43</v>
      </c>
      <c r="AO4" s="1102">
        <v>5.69</v>
      </c>
    </row>
    <row r="5" spans="1:41">
      <c r="A5" s="1103" t="s">
        <v>220</v>
      </c>
      <c r="B5" s="1079">
        <v>23.53</v>
      </c>
      <c r="C5" s="1079"/>
      <c r="D5" s="1079">
        <v>9.8000000000000007</v>
      </c>
      <c r="E5" s="1079">
        <v>2.37</v>
      </c>
      <c r="F5" s="1079">
        <v>10.23</v>
      </c>
      <c r="G5" s="1079">
        <v>33.1</v>
      </c>
      <c r="H5" s="1079">
        <v>0</v>
      </c>
      <c r="I5" s="1079">
        <v>0</v>
      </c>
      <c r="J5" s="1079">
        <v>0</v>
      </c>
      <c r="K5" s="1079">
        <v>7.32</v>
      </c>
      <c r="L5" s="1079">
        <v>7.56</v>
      </c>
      <c r="M5" s="1079">
        <v>7.84</v>
      </c>
      <c r="N5" s="1079">
        <v>4.2300000000000004</v>
      </c>
      <c r="O5" s="1079">
        <v>0</v>
      </c>
      <c r="P5" s="1079">
        <v>0</v>
      </c>
      <c r="Q5" s="1079">
        <v>42.86</v>
      </c>
      <c r="R5" s="1079">
        <v>0</v>
      </c>
      <c r="S5" s="1079">
        <v>10.33</v>
      </c>
      <c r="T5" s="1079">
        <v>0</v>
      </c>
      <c r="U5" s="1079">
        <v>0</v>
      </c>
      <c r="V5" s="1079">
        <v>16.63</v>
      </c>
      <c r="W5" s="1079">
        <v>8.67</v>
      </c>
      <c r="X5" s="1079">
        <v>8.56</v>
      </c>
      <c r="Y5" s="1079">
        <v>0</v>
      </c>
      <c r="Z5" s="1079">
        <v>8.77</v>
      </c>
      <c r="AC5" s="1103" t="s">
        <v>220</v>
      </c>
      <c r="AD5" s="1079">
        <v>7.84</v>
      </c>
      <c r="AE5" s="1079">
        <v>4.2300000000000004</v>
      </c>
      <c r="AF5" s="1079">
        <v>10.33</v>
      </c>
      <c r="AG5" s="1079">
        <v>8.56</v>
      </c>
      <c r="AH5" s="1079">
        <v>8.77</v>
      </c>
    </row>
    <row r="6" spans="1:41">
      <c r="A6" s="1103" t="s">
        <v>223</v>
      </c>
      <c r="B6" s="1079">
        <v>0</v>
      </c>
      <c r="C6" s="1079">
        <v>0.81</v>
      </c>
      <c r="D6" s="1079"/>
      <c r="E6" s="1079">
        <v>0</v>
      </c>
      <c r="F6" s="1079">
        <v>0.67</v>
      </c>
      <c r="G6" s="1079">
        <v>0</v>
      </c>
      <c r="H6" s="1079">
        <v>0</v>
      </c>
      <c r="I6" s="1079">
        <v>0</v>
      </c>
      <c r="J6" s="1079">
        <v>0</v>
      </c>
      <c r="K6" s="1079">
        <v>0</v>
      </c>
      <c r="L6" s="1079">
        <v>0.12</v>
      </c>
      <c r="M6" s="1079">
        <v>0</v>
      </c>
      <c r="N6" s="1079">
        <v>0</v>
      </c>
      <c r="O6" s="1079">
        <v>0</v>
      </c>
      <c r="P6" s="1079">
        <v>0</v>
      </c>
      <c r="Q6" s="1079">
        <v>0</v>
      </c>
      <c r="R6" s="1079">
        <v>0</v>
      </c>
      <c r="S6" s="1079">
        <v>0.06</v>
      </c>
      <c r="T6" s="1079">
        <v>0</v>
      </c>
      <c r="U6" s="1079">
        <v>0</v>
      </c>
      <c r="V6" s="1079">
        <v>0.93</v>
      </c>
      <c r="W6" s="1079">
        <v>0</v>
      </c>
      <c r="X6" s="1079">
        <v>0</v>
      </c>
      <c r="Y6" s="1079">
        <v>0</v>
      </c>
      <c r="Z6" s="1079">
        <v>0</v>
      </c>
      <c r="AC6" s="1103" t="s">
        <v>223</v>
      </c>
      <c r="AD6" s="1079">
        <v>0</v>
      </c>
      <c r="AE6" s="1079">
        <v>0</v>
      </c>
      <c r="AF6" s="1079">
        <v>0.06</v>
      </c>
      <c r="AG6" s="1079">
        <v>0</v>
      </c>
      <c r="AH6" s="1079">
        <v>0</v>
      </c>
      <c r="AJ6" s="1103" t="s">
        <v>220</v>
      </c>
      <c r="AK6" s="1079">
        <v>7.84</v>
      </c>
      <c r="AL6" s="1079">
        <v>4.2300000000000004</v>
      </c>
      <c r="AM6" s="1079">
        <v>10.33</v>
      </c>
      <c r="AN6" s="1079">
        <v>8.56</v>
      </c>
      <c r="AO6" s="1079">
        <v>8.77</v>
      </c>
    </row>
    <row r="7" spans="1:41">
      <c r="A7" s="1103" t="s">
        <v>221</v>
      </c>
      <c r="B7" s="1079">
        <v>0</v>
      </c>
      <c r="C7" s="1079">
        <v>0.93</v>
      </c>
      <c r="D7" s="1079">
        <v>3.87</v>
      </c>
      <c r="E7" s="1079">
        <v>0</v>
      </c>
      <c r="F7" s="1079"/>
      <c r="G7" s="1079">
        <v>0</v>
      </c>
      <c r="H7" s="1079">
        <v>0</v>
      </c>
      <c r="I7" s="1079">
        <v>0</v>
      </c>
      <c r="J7" s="1079">
        <v>0</v>
      </c>
      <c r="K7" s="1079">
        <v>0</v>
      </c>
      <c r="L7" s="1079">
        <v>0.89</v>
      </c>
      <c r="M7" s="1079">
        <v>0</v>
      </c>
      <c r="N7" s="1079">
        <v>0</v>
      </c>
      <c r="O7" s="1079">
        <v>0</v>
      </c>
      <c r="P7" s="1079">
        <v>0</v>
      </c>
      <c r="Q7" s="1079">
        <v>0</v>
      </c>
      <c r="R7" s="1079">
        <v>0</v>
      </c>
      <c r="S7" s="1079">
        <v>7.0000000000000007E-2</v>
      </c>
      <c r="T7" s="1079">
        <v>0</v>
      </c>
      <c r="U7" s="1079">
        <v>0</v>
      </c>
      <c r="V7" s="1079">
        <v>0.96</v>
      </c>
      <c r="W7" s="1079">
        <v>0</v>
      </c>
      <c r="X7" s="1079">
        <v>0</v>
      </c>
      <c r="Y7" s="1079">
        <v>0</v>
      </c>
      <c r="Z7" s="1079">
        <v>0</v>
      </c>
      <c r="AC7" s="1103" t="s">
        <v>221</v>
      </c>
      <c r="AD7" s="1079">
        <v>0</v>
      </c>
      <c r="AE7" s="1079">
        <v>0</v>
      </c>
      <c r="AF7" s="1079">
        <v>7.0000000000000007E-2</v>
      </c>
      <c r="AG7" s="1079">
        <v>0</v>
      </c>
      <c r="AH7" s="1079">
        <v>0</v>
      </c>
      <c r="AJ7" s="1103" t="s">
        <v>219</v>
      </c>
      <c r="AK7" s="1079">
        <v>0</v>
      </c>
      <c r="AL7" s="1079">
        <v>5.71</v>
      </c>
      <c r="AM7" s="1079">
        <v>3.27</v>
      </c>
      <c r="AN7" s="1079">
        <v>0.98</v>
      </c>
      <c r="AO7" s="1079">
        <v>0</v>
      </c>
    </row>
    <row r="8" spans="1:41">
      <c r="A8" s="1103" t="s">
        <v>234</v>
      </c>
      <c r="B8" s="1079">
        <v>0</v>
      </c>
      <c r="C8" s="1079">
        <v>0.01</v>
      </c>
      <c r="D8" s="1079">
        <v>0</v>
      </c>
      <c r="E8" s="1079">
        <v>0</v>
      </c>
      <c r="F8" s="1079">
        <v>0</v>
      </c>
      <c r="G8" s="1079"/>
      <c r="H8" s="1079">
        <v>0</v>
      </c>
      <c r="I8" s="1079">
        <v>0</v>
      </c>
      <c r="J8" s="1079">
        <v>6.68</v>
      </c>
      <c r="K8" s="1079">
        <v>0</v>
      </c>
      <c r="L8" s="1079">
        <v>0</v>
      </c>
      <c r="M8" s="1079">
        <v>0</v>
      </c>
      <c r="N8" s="1079">
        <v>0</v>
      </c>
      <c r="O8" s="1079">
        <v>0</v>
      </c>
      <c r="P8" s="1079">
        <v>0</v>
      </c>
      <c r="Q8" s="1079">
        <v>0</v>
      </c>
      <c r="R8" s="1079">
        <v>0</v>
      </c>
      <c r="S8" s="1079">
        <v>0</v>
      </c>
      <c r="T8" s="1079">
        <v>0</v>
      </c>
      <c r="U8" s="1079">
        <v>0</v>
      </c>
      <c r="V8" s="1079">
        <v>0.18</v>
      </c>
      <c r="W8" s="1079">
        <v>0</v>
      </c>
      <c r="X8" s="1079">
        <v>0</v>
      </c>
      <c r="Y8" s="1079">
        <v>0</v>
      </c>
      <c r="Z8" s="1079">
        <v>0</v>
      </c>
      <c r="AC8" s="1103" t="s">
        <v>234</v>
      </c>
      <c r="AD8" s="1079">
        <v>0</v>
      </c>
      <c r="AE8" s="1079">
        <v>0</v>
      </c>
      <c r="AF8" s="1079">
        <v>0</v>
      </c>
      <c r="AG8" s="1079">
        <v>0</v>
      </c>
      <c r="AH8" s="1079">
        <v>0</v>
      </c>
      <c r="AJ8" s="1103" t="s">
        <v>230</v>
      </c>
      <c r="AK8" s="1079">
        <v>0.65</v>
      </c>
      <c r="AL8" s="1079"/>
      <c r="AM8" s="1079">
        <v>0</v>
      </c>
      <c r="AN8" s="1079">
        <v>0</v>
      </c>
      <c r="AO8" s="1079">
        <v>12.09</v>
      </c>
    </row>
    <row r="9" spans="1:41">
      <c r="A9" s="1103" t="s">
        <v>225</v>
      </c>
      <c r="B9" s="1079">
        <v>0</v>
      </c>
      <c r="C9" s="1079">
        <v>0</v>
      </c>
      <c r="D9" s="1079">
        <v>0</v>
      </c>
      <c r="E9" s="1079">
        <v>0</v>
      </c>
      <c r="F9" s="1079">
        <v>0</v>
      </c>
      <c r="G9" s="1079">
        <v>0</v>
      </c>
      <c r="H9" s="1079">
        <v>0</v>
      </c>
      <c r="I9" s="1079"/>
      <c r="J9" s="1079">
        <v>0</v>
      </c>
      <c r="K9" s="1079">
        <v>0</v>
      </c>
      <c r="L9" s="1079">
        <v>0</v>
      </c>
      <c r="M9" s="1079">
        <v>0</v>
      </c>
      <c r="N9" s="1079">
        <v>0</v>
      </c>
      <c r="O9" s="1079">
        <v>0</v>
      </c>
      <c r="P9" s="1079">
        <v>0</v>
      </c>
      <c r="Q9" s="1079">
        <v>0</v>
      </c>
      <c r="R9" s="1079">
        <v>0</v>
      </c>
      <c r="S9" s="1079">
        <v>0</v>
      </c>
      <c r="T9" s="1079">
        <v>0</v>
      </c>
      <c r="U9" s="1079">
        <v>0</v>
      </c>
      <c r="V9" s="1079">
        <v>0.02</v>
      </c>
      <c r="W9" s="1079">
        <v>0</v>
      </c>
      <c r="X9" s="1079">
        <v>0</v>
      </c>
      <c r="Y9" s="1079">
        <v>0</v>
      </c>
      <c r="Z9" s="1079">
        <v>0</v>
      </c>
      <c r="AC9" s="1103" t="s">
        <v>225</v>
      </c>
      <c r="AD9" s="1079">
        <v>0</v>
      </c>
      <c r="AE9" s="1079">
        <v>0</v>
      </c>
      <c r="AF9" s="1079">
        <v>0</v>
      </c>
      <c r="AG9" s="1079">
        <v>0</v>
      </c>
      <c r="AH9" s="1079">
        <v>0</v>
      </c>
      <c r="AJ9" s="1103" t="s">
        <v>224</v>
      </c>
      <c r="AK9" s="1079">
        <v>2.83</v>
      </c>
      <c r="AL9" s="1079">
        <v>0</v>
      </c>
      <c r="AM9" s="1079"/>
      <c r="AN9" s="1079">
        <v>10.77</v>
      </c>
      <c r="AO9" s="1079">
        <v>2.13</v>
      </c>
    </row>
    <row r="10" spans="1:41">
      <c r="A10" s="1103" t="s">
        <v>236</v>
      </c>
      <c r="B10" s="1079">
        <v>0</v>
      </c>
      <c r="C10" s="1079">
        <v>0</v>
      </c>
      <c r="D10" s="1079">
        <v>0</v>
      </c>
      <c r="E10" s="1079">
        <v>0</v>
      </c>
      <c r="F10" s="1079">
        <v>0</v>
      </c>
      <c r="G10" s="1079">
        <v>12.61</v>
      </c>
      <c r="H10" s="1079">
        <v>0</v>
      </c>
      <c r="I10" s="1079">
        <v>0</v>
      </c>
      <c r="J10" s="1079"/>
      <c r="K10" s="1079">
        <v>0</v>
      </c>
      <c r="L10" s="1079">
        <v>0</v>
      </c>
      <c r="M10" s="1079">
        <v>0</v>
      </c>
      <c r="N10" s="1079">
        <v>0</v>
      </c>
      <c r="O10" s="1079">
        <v>0</v>
      </c>
      <c r="P10" s="1079">
        <v>0</v>
      </c>
      <c r="Q10" s="1079">
        <v>0</v>
      </c>
      <c r="R10" s="1079">
        <v>0</v>
      </c>
      <c r="S10" s="1079">
        <v>0</v>
      </c>
      <c r="T10" s="1079">
        <v>0</v>
      </c>
      <c r="U10" s="1079">
        <v>0</v>
      </c>
      <c r="V10" s="1079">
        <v>0</v>
      </c>
      <c r="W10" s="1079">
        <v>0</v>
      </c>
      <c r="X10" s="1079">
        <v>0</v>
      </c>
      <c r="Y10" s="1079">
        <v>0</v>
      </c>
      <c r="Z10" s="1079">
        <v>0</v>
      </c>
      <c r="AC10" s="1103" t="s">
        <v>236</v>
      </c>
      <c r="AD10" s="1079">
        <v>0</v>
      </c>
      <c r="AE10" s="1079">
        <v>0</v>
      </c>
      <c r="AF10" s="1079">
        <v>0</v>
      </c>
      <c r="AG10" s="1079">
        <v>0</v>
      </c>
      <c r="AH10" s="1079">
        <v>0</v>
      </c>
      <c r="AJ10" s="1103" t="s">
        <v>231</v>
      </c>
      <c r="AK10" s="1079">
        <v>6.54</v>
      </c>
      <c r="AL10" s="1079">
        <v>1.1399999999999999</v>
      </c>
      <c r="AM10" s="1079">
        <v>0.4</v>
      </c>
      <c r="AN10" s="1079">
        <v>0</v>
      </c>
      <c r="AO10" s="1079"/>
    </row>
    <row r="11" spans="1:41">
      <c r="A11" s="1103" t="s">
        <v>227</v>
      </c>
      <c r="B11" s="1079">
        <v>0</v>
      </c>
      <c r="C11" s="1079">
        <v>0.02</v>
      </c>
      <c r="D11" s="1079">
        <v>0</v>
      </c>
      <c r="E11" s="1079">
        <v>0</v>
      </c>
      <c r="F11" s="1079">
        <v>0</v>
      </c>
      <c r="G11" s="1079">
        <v>0</v>
      </c>
      <c r="H11" s="1079">
        <v>0</v>
      </c>
      <c r="I11" s="1079">
        <v>0</v>
      </c>
      <c r="J11" s="1079">
        <v>0</v>
      </c>
      <c r="K11" s="1079"/>
      <c r="L11" s="1079">
        <v>1.05</v>
      </c>
      <c r="M11" s="1079">
        <v>0</v>
      </c>
      <c r="N11" s="1079">
        <v>0</v>
      </c>
      <c r="O11" s="1079">
        <v>0</v>
      </c>
      <c r="P11" s="1079">
        <v>0</v>
      </c>
      <c r="Q11" s="1079">
        <v>0</v>
      </c>
      <c r="R11" s="1079">
        <v>0</v>
      </c>
      <c r="S11" s="1079">
        <v>0</v>
      </c>
      <c r="T11" s="1079">
        <v>0</v>
      </c>
      <c r="U11" s="1079">
        <v>0</v>
      </c>
      <c r="V11" s="1079">
        <v>0.05</v>
      </c>
      <c r="W11" s="1079">
        <v>0</v>
      </c>
      <c r="X11" s="1079">
        <v>0</v>
      </c>
      <c r="Y11" s="1079">
        <v>0</v>
      </c>
      <c r="Z11" s="1079">
        <v>0</v>
      </c>
      <c r="AC11" s="1103" t="s">
        <v>227</v>
      </c>
      <c r="AD11" s="1079">
        <v>0</v>
      </c>
      <c r="AE11" s="1079">
        <v>0</v>
      </c>
      <c r="AF11" s="1079">
        <v>0</v>
      </c>
      <c r="AG11" s="1079">
        <v>0</v>
      </c>
      <c r="AH11" s="1079">
        <v>0</v>
      </c>
    </row>
    <row r="12" spans="1:41">
      <c r="A12" s="1103" t="s">
        <v>2</v>
      </c>
      <c r="B12" s="1079">
        <v>0</v>
      </c>
      <c r="C12" s="1079">
        <v>0.36</v>
      </c>
      <c r="D12" s="1079">
        <v>0.06</v>
      </c>
      <c r="E12" s="1079">
        <v>0</v>
      </c>
      <c r="F12" s="1079">
        <v>1.24</v>
      </c>
      <c r="G12" s="1079">
        <v>0</v>
      </c>
      <c r="H12" s="1079">
        <v>0</v>
      </c>
      <c r="I12" s="1079">
        <v>0</v>
      </c>
      <c r="J12" s="1079">
        <v>0</v>
      </c>
      <c r="K12" s="1079">
        <v>28.05</v>
      </c>
      <c r="L12" s="1079"/>
      <c r="M12" s="1079">
        <v>0</v>
      </c>
      <c r="N12" s="1079">
        <v>0</v>
      </c>
      <c r="O12" s="1079">
        <v>0</v>
      </c>
      <c r="P12" s="1079">
        <v>0</v>
      </c>
      <c r="Q12" s="1079">
        <v>0</v>
      </c>
      <c r="R12" s="1079">
        <v>24.49</v>
      </c>
      <c r="S12" s="1079">
        <v>0.06</v>
      </c>
      <c r="T12" s="1079">
        <v>0</v>
      </c>
      <c r="U12" s="1079">
        <v>0</v>
      </c>
      <c r="V12" s="1079">
        <v>0.33</v>
      </c>
      <c r="W12" s="1079">
        <v>0</v>
      </c>
      <c r="X12" s="1079">
        <v>0</v>
      </c>
      <c r="Y12" s="1079">
        <v>0</v>
      </c>
      <c r="Z12" s="1079">
        <v>0</v>
      </c>
      <c r="AC12" s="1103" t="s">
        <v>2</v>
      </c>
      <c r="AD12" s="1079">
        <v>0</v>
      </c>
      <c r="AE12" s="1079">
        <v>0</v>
      </c>
      <c r="AF12" s="1079">
        <v>0.06</v>
      </c>
      <c r="AG12" s="1079">
        <v>0</v>
      </c>
      <c r="AH12" s="1079">
        <v>0</v>
      </c>
    </row>
    <row r="13" spans="1:41">
      <c r="A13" s="1103" t="s">
        <v>232</v>
      </c>
      <c r="B13" s="1079">
        <v>0</v>
      </c>
      <c r="C13" s="1079">
        <v>0.05</v>
      </c>
      <c r="D13" s="1079">
        <v>0</v>
      </c>
      <c r="E13" s="1079">
        <v>0</v>
      </c>
      <c r="F13" s="1079">
        <v>0</v>
      </c>
      <c r="G13" s="1079">
        <v>0</v>
      </c>
      <c r="H13" s="1079">
        <v>0</v>
      </c>
      <c r="I13" s="1079">
        <v>0</v>
      </c>
      <c r="J13" s="1079">
        <v>0</v>
      </c>
      <c r="K13" s="1079">
        <v>0</v>
      </c>
      <c r="L13" s="1079">
        <v>0</v>
      </c>
      <c r="M13" s="1079"/>
      <c r="N13" s="1079">
        <v>0.8</v>
      </c>
      <c r="O13" s="1079">
        <v>0</v>
      </c>
      <c r="P13" s="1079">
        <v>0</v>
      </c>
      <c r="Q13" s="1079">
        <v>0</v>
      </c>
      <c r="R13" s="1079">
        <v>0</v>
      </c>
      <c r="S13" s="1079">
        <v>0.71</v>
      </c>
      <c r="T13" s="1079">
        <v>0</v>
      </c>
      <c r="U13" s="1079">
        <v>0</v>
      </c>
      <c r="V13" s="1079">
        <v>0</v>
      </c>
      <c r="W13" s="1079">
        <v>0</v>
      </c>
      <c r="X13" s="1079">
        <v>0</v>
      </c>
      <c r="Y13" s="1079">
        <v>0</v>
      </c>
      <c r="Z13" s="1079">
        <v>3.55</v>
      </c>
      <c r="AC13" s="1103" t="s">
        <v>232</v>
      </c>
      <c r="AD13" s="1079"/>
      <c r="AE13" s="1079">
        <v>0.8</v>
      </c>
      <c r="AF13" s="1079">
        <v>0.71</v>
      </c>
      <c r="AG13" s="1079">
        <v>0</v>
      </c>
      <c r="AH13" s="1079">
        <v>3.55</v>
      </c>
    </row>
    <row r="14" spans="1:41">
      <c r="A14" s="1103" t="s">
        <v>230</v>
      </c>
      <c r="B14" s="1079">
        <v>0</v>
      </c>
      <c r="C14" s="1079">
        <v>0.13</v>
      </c>
      <c r="D14" s="1079">
        <v>0</v>
      </c>
      <c r="E14" s="1079">
        <v>0</v>
      </c>
      <c r="F14" s="1079">
        <v>0</v>
      </c>
      <c r="G14" s="1079">
        <v>0</v>
      </c>
      <c r="H14" s="1079">
        <v>0</v>
      </c>
      <c r="I14" s="1079">
        <v>0</v>
      </c>
      <c r="J14" s="1079">
        <v>0</v>
      </c>
      <c r="K14" s="1079">
        <v>0</v>
      </c>
      <c r="L14" s="1079">
        <v>0</v>
      </c>
      <c r="M14" s="1079">
        <v>0.65</v>
      </c>
      <c r="N14" s="1079"/>
      <c r="O14" s="1079">
        <v>0</v>
      </c>
      <c r="P14" s="1079">
        <v>0</v>
      </c>
      <c r="Q14" s="1079">
        <v>0</v>
      </c>
      <c r="R14" s="1079">
        <v>0</v>
      </c>
      <c r="S14" s="1079">
        <v>0</v>
      </c>
      <c r="T14" s="1079">
        <v>0</v>
      </c>
      <c r="U14" s="1079">
        <v>0</v>
      </c>
      <c r="V14" s="1079">
        <v>0.04</v>
      </c>
      <c r="W14" s="1079">
        <v>0</v>
      </c>
      <c r="X14" s="1079">
        <v>0</v>
      </c>
      <c r="Y14" s="1079">
        <v>0</v>
      </c>
      <c r="Z14" s="1079">
        <v>12.09</v>
      </c>
      <c r="AC14" s="1103" t="s">
        <v>230</v>
      </c>
      <c r="AD14" s="1079">
        <v>0.65</v>
      </c>
      <c r="AE14" s="1079"/>
      <c r="AF14" s="1079">
        <v>0</v>
      </c>
      <c r="AG14" s="1079">
        <v>0</v>
      </c>
      <c r="AH14" s="1079">
        <v>12.09</v>
      </c>
    </row>
    <row r="15" spans="1:41">
      <c r="A15" s="1103" t="s">
        <v>228</v>
      </c>
      <c r="B15" s="1079">
        <v>0</v>
      </c>
      <c r="C15" s="1079">
        <v>0</v>
      </c>
      <c r="D15" s="1079">
        <v>0</v>
      </c>
      <c r="E15" s="1079">
        <v>0</v>
      </c>
      <c r="F15" s="1079">
        <v>0</v>
      </c>
      <c r="G15" s="1079">
        <v>0</v>
      </c>
      <c r="H15" s="1079">
        <v>0</v>
      </c>
      <c r="I15" s="1079">
        <v>0</v>
      </c>
      <c r="J15" s="1079">
        <v>0</v>
      </c>
      <c r="K15" s="1079">
        <v>0</v>
      </c>
      <c r="L15" s="1079">
        <v>1.97</v>
      </c>
      <c r="M15" s="1079">
        <v>0</v>
      </c>
      <c r="N15" s="1079">
        <v>0</v>
      </c>
      <c r="O15" s="1079">
        <v>0</v>
      </c>
      <c r="P15" s="1079">
        <v>0</v>
      </c>
      <c r="Q15" s="1079">
        <v>0</v>
      </c>
      <c r="R15" s="1079"/>
      <c r="S15" s="1079">
        <v>0.45</v>
      </c>
      <c r="T15" s="1079">
        <v>0</v>
      </c>
      <c r="U15" s="1079">
        <v>0</v>
      </c>
      <c r="V15" s="1079">
        <v>0</v>
      </c>
      <c r="W15" s="1079">
        <v>0</v>
      </c>
      <c r="X15" s="1079">
        <v>0</v>
      </c>
      <c r="Y15" s="1079">
        <v>0</v>
      </c>
      <c r="Z15" s="1079">
        <v>0</v>
      </c>
      <c r="AC15" s="1103" t="s">
        <v>228</v>
      </c>
      <c r="AD15" s="1079">
        <v>0</v>
      </c>
      <c r="AE15" s="1079">
        <v>0</v>
      </c>
      <c r="AF15" s="1079">
        <v>0.45</v>
      </c>
      <c r="AG15" s="1079">
        <v>0</v>
      </c>
      <c r="AH15" s="1079">
        <v>0</v>
      </c>
    </row>
    <row r="16" spans="1:41">
      <c r="A16" s="1103" t="s">
        <v>224</v>
      </c>
      <c r="B16" s="1079">
        <v>0</v>
      </c>
      <c r="C16" s="1079">
        <v>2.4900000000000002</v>
      </c>
      <c r="D16" s="1079">
        <v>0.53</v>
      </c>
      <c r="E16" s="1079">
        <v>0</v>
      </c>
      <c r="F16" s="1079">
        <v>0.14000000000000001</v>
      </c>
      <c r="G16" s="1079">
        <v>0</v>
      </c>
      <c r="H16" s="1079">
        <v>0</v>
      </c>
      <c r="I16" s="1079">
        <v>0</v>
      </c>
      <c r="J16" s="1079">
        <v>0</v>
      </c>
      <c r="K16" s="1079">
        <v>0</v>
      </c>
      <c r="L16" s="1079">
        <v>0.1</v>
      </c>
      <c r="M16" s="1079">
        <v>2.83</v>
      </c>
      <c r="N16" s="1079">
        <v>0</v>
      </c>
      <c r="O16" s="1079">
        <v>0</v>
      </c>
      <c r="P16" s="1079">
        <v>0</v>
      </c>
      <c r="Q16" s="1079">
        <v>0</v>
      </c>
      <c r="R16" s="1079">
        <v>12.24</v>
      </c>
      <c r="S16" s="1079"/>
      <c r="T16" s="1079">
        <v>0</v>
      </c>
      <c r="U16" s="1079">
        <v>0</v>
      </c>
      <c r="V16" s="1079">
        <v>0.96</v>
      </c>
      <c r="W16" s="1079">
        <v>0</v>
      </c>
      <c r="X16" s="1079">
        <v>10.77</v>
      </c>
      <c r="Y16" s="1079">
        <v>0</v>
      </c>
      <c r="Z16" s="1079">
        <v>2.13</v>
      </c>
      <c r="AC16" s="1103" t="s">
        <v>224</v>
      </c>
      <c r="AD16" s="1079">
        <v>2.83</v>
      </c>
      <c r="AE16" s="1079">
        <v>0</v>
      </c>
      <c r="AF16" s="1079"/>
      <c r="AG16" s="1079">
        <v>10.77</v>
      </c>
      <c r="AH16" s="1079">
        <v>2.13</v>
      </c>
    </row>
    <row r="17" spans="1:41">
      <c r="A17" s="1103" t="s">
        <v>219</v>
      </c>
      <c r="B17" s="1079">
        <v>3.92</v>
      </c>
      <c r="C17" s="1079">
        <v>7.1</v>
      </c>
      <c r="D17" s="1079">
        <v>4.0999999999999996</v>
      </c>
      <c r="E17" s="1079">
        <v>0</v>
      </c>
      <c r="F17" s="1079">
        <v>2.2000000000000002</v>
      </c>
      <c r="G17" s="1079">
        <v>42.03</v>
      </c>
      <c r="H17" s="1079">
        <v>0</v>
      </c>
      <c r="I17" s="1079">
        <v>0.75</v>
      </c>
      <c r="J17" s="1079">
        <v>0</v>
      </c>
      <c r="K17" s="1079">
        <v>2.44</v>
      </c>
      <c r="L17" s="1079">
        <v>7.01</v>
      </c>
      <c r="M17" s="1079">
        <v>0</v>
      </c>
      <c r="N17" s="1079">
        <v>5.71</v>
      </c>
      <c r="O17" s="1079">
        <v>0</v>
      </c>
      <c r="P17" s="1079">
        <v>0</v>
      </c>
      <c r="Q17" s="1079">
        <v>0</v>
      </c>
      <c r="R17" s="1079">
        <v>0</v>
      </c>
      <c r="S17" s="1079">
        <v>3.27</v>
      </c>
      <c r="T17" s="1079">
        <v>0</v>
      </c>
      <c r="U17" s="1079">
        <v>0</v>
      </c>
      <c r="V17" s="1079"/>
      <c r="W17" s="1079">
        <v>6.67</v>
      </c>
      <c r="X17" s="1079">
        <v>0.98</v>
      </c>
      <c r="Y17" s="1079">
        <v>0</v>
      </c>
      <c r="Z17" s="1079">
        <v>0</v>
      </c>
      <c r="AC17" s="1103" t="s">
        <v>219</v>
      </c>
      <c r="AD17" s="1079">
        <v>0</v>
      </c>
      <c r="AE17" s="1079">
        <v>5.71</v>
      </c>
      <c r="AF17" s="1079">
        <v>3.27</v>
      </c>
      <c r="AG17" s="1079">
        <v>0.98</v>
      </c>
      <c r="AH17" s="1079">
        <v>0</v>
      </c>
    </row>
    <row r="18" spans="1:41">
      <c r="A18" s="1103" t="s">
        <v>229</v>
      </c>
      <c r="B18" s="1079">
        <v>0</v>
      </c>
      <c r="C18" s="1079">
        <v>0.01</v>
      </c>
      <c r="D18" s="1079">
        <v>0</v>
      </c>
      <c r="E18" s="1079">
        <v>0</v>
      </c>
      <c r="F18" s="1079">
        <v>0</v>
      </c>
      <c r="G18" s="1079">
        <v>0</v>
      </c>
      <c r="H18" s="1079">
        <v>0</v>
      </c>
      <c r="I18" s="1079">
        <v>0</v>
      </c>
      <c r="J18" s="1079">
        <v>0</v>
      </c>
      <c r="K18" s="1079">
        <v>0</v>
      </c>
      <c r="L18" s="1079">
        <v>0</v>
      </c>
      <c r="M18" s="1079">
        <v>0</v>
      </c>
      <c r="N18" s="1079">
        <v>0</v>
      </c>
      <c r="O18" s="1079">
        <v>0</v>
      </c>
      <c r="P18" s="1079">
        <v>0</v>
      </c>
      <c r="Q18" s="1079">
        <v>0</v>
      </c>
      <c r="R18" s="1079">
        <v>0</v>
      </c>
      <c r="S18" s="1079">
        <v>0</v>
      </c>
      <c r="T18" s="1079">
        <v>0</v>
      </c>
      <c r="U18" s="1079">
        <v>0</v>
      </c>
      <c r="V18" s="1079">
        <v>0.01</v>
      </c>
      <c r="W18" s="1079"/>
      <c r="X18" s="1079">
        <v>0</v>
      </c>
      <c r="Y18" s="1079">
        <v>0</v>
      </c>
      <c r="Z18" s="1079">
        <v>0</v>
      </c>
      <c r="AC18" s="1103" t="s">
        <v>229</v>
      </c>
      <c r="AD18" s="1079">
        <v>0</v>
      </c>
      <c r="AE18" s="1079">
        <v>0</v>
      </c>
      <c r="AF18" s="1079">
        <v>0</v>
      </c>
      <c r="AG18" s="1079">
        <v>0</v>
      </c>
      <c r="AH18" s="1079">
        <v>0</v>
      </c>
    </row>
    <row r="19" spans="1:41">
      <c r="A19" s="1103" t="s">
        <v>222</v>
      </c>
      <c r="B19" s="1079">
        <v>0</v>
      </c>
      <c r="C19" s="1079">
        <v>0.32</v>
      </c>
      <c r="D19" s="1079">
        <v>0</v>
      </c>
      <c r="E19" s="1079">
        <v>0</v>
      </c>
      <c r="F19" s="1079">
        <v>0</v>
      </c>
      <c r="G19" s="1079">
        <v>0</v>
      </c>
      <c r="H19" s="1079">
        <v>0</v>
      </c>
      <c r="I19" s="1079">
        <v>0</v>
      </c>
      <c r="J19" s="1079">
        <v>0</v>
      </c>
      <c r="K19" s="1079">
        <v>0</v>
      </c>
      <c r="L19" s="1079">
        <v>0</v>
      </c>
      <c r="M19" s="1079">
        <v>0</v>
      </c>
      <c r="N19" s="1079">
        <v>0</v>
      </c>
      <c r="O19" s="1079">
        <v>0</v>
      </c>
      <c r="P19" s="1079">
        <v>0</v>
      </c>
      <c r="Q19" s="1079">
        <v>0</v>
      </c>
      <c r="R19" s="1079">
        <v>0</v>
      </c>
      <c r="S19" s="1079">
        <v>2.68</v>
      </c>
      <c r="T19" s="1079">
        <v>0</v>
      </c>
      <c r="U19" s="1079">
        <v>0</v>
      </c>
      <c r="V19" s="1079">
        <v>0.05</v>
      </c>
      <c r="W19" s="1079">
        <v>0</v>
      </c>
      <c r="X19" s="1079"/>
      <c r="Y19" s="1079">
        <v>0</v>
      </c>
      <c r="Z19" s="1079">
        <v>0</v>
      </c>
      <c r="AC19" s="1103" t="s">
        <v>222</v>
      </c>
      <c r="AD19" s="1079">
        <v>0</v>
      </c>
      <c r="AE19" s="1079">
        <v>0</v>
      </c>
      <c r="AF19" s="1079">
        <v>2.68</v>
      </c>
      <c r="AG19" s="1079"/>
      <c r="AH19" s="1079">
        <v>0</v>
      </c>
    </row>
    <row r="20" spans="1:41">
      <c r="A20" s="1103" t="s">
        <v>231</v>
      </c>
      <c r="B20" s="1079">
        <v>0</v>
      </c>
      <c r="C20" s="1079">
        <v>0.02</v>
      </c>
      <c r="D20" s="1079">
        <v>0</v>
      </c>
      <c r="E20" s="1079">
        <v>0</v>
      </c>
      <c r="F20" s="1079">
        <v>0</v>
      </c>
      <c r="G20" s="1079">
        <v>0</v>
      </c>
      <c r="H20" s="1079">
        <v>0</v>
      </c>
      <c r="I20" s="1079">
        <v>0</v>
      </c>
      <c r="J20" s="1079">
        <v>0</v>
      </c>
      <c r="K20" s="1079">
        <v>0</v>
      </c>
      <c r="L20" s="1079">
        <v>0</v>
      </c>
      <c r="M20" s="1079">
        <v>6.54</v>
      </c>
      <c r="N20" s="1079">
        <v>1.1399999999999999</v>
      </c>
      <c r="O20" s="1079">
        <v>0</v>
      </c>
      <c r="P20" s="1079">
        <v>0</v>
      </c>
      <c r="Q20" s="1079">
        <v>0</v>
      </c>
      <c r="R20" s="1079">
        <v>0</v>
      </c>
      <c r="S20" s="1079">
        <v>0.4</v>
      </c>
      <c r="T20" s="1079">
        <v>0</v>
      </c>
      <c r="U20" s="1079">
        <v>0</v>
      </c>
      <c r="V20" s="1079">
        <v>0</v>
      </c>
      <c r="W20" s="1079">
        <v>0</v>
      </c>
      <c r="X20" s="1079">
        <v>0</v>
      </c>
      <c r="Y20" s="1079">
        <v>0</v>
      </c>
      <c r="Z20" s="1079"/>
      <c r="AC20" s="1103" t="s">
        <v>231</v>
      </c>
      <c r="AD20" s="1079">
        <v>6.54</v>
      </c>
      <c r="AE20" s="1079">
        <v>1.1399999999999999</v>
      </c>
      <c r="AF20" s="1079">
        <v>0.4</v>
      </c>
      <c r="AG20" s="1079">
        <v>0</v>
      </c>
      <c r="AH20" s="1079"/>
    </row>
    <row r="21" spans="1:41">
      <c r="A21" s="1103" t="s">
        <v>244</v>
      </c>
      <c r="B21" s="1079">
        <v>0</v>
      </c>
      <c r="C21" s="1079">
        <v>7.0000000000000007E-2</v>
      </c>
      <c r="D21" s="1079">
        <v>0.15</v>
      </c>
      <c r="E21" s="1079">
        <v>0</v>
      </c>
      <c r="F21" s="1079">
        <v>0.36</v>
      </c>
      <c r="G21" s="1079">
        <v>0</v>
      </c>
      <c r="H21" s="1079">
        <v>0</v>
      </c>
      <c r="I21" s="1079">
        <v>0</v>
      </c>
      <c r="J21" s="1079">
        <v>0</v>
      </c>
      <c r="K21" s="1079">
        <v>0</v>
      </c>
      <c r="L21" s="1079">
        <v>0.34</v>
      </c>
      <c r="M21" s="1079">
        <v>0.66</v>
      </c>
      <c r="N21" s="1079">
        <v>0.01</v>
      </c>
      <c r="O21" s="1079">
        <v>0</v>
      </c>
      <c r="P21" s="1079">
        <v>0</v>
      </c>
      <c r="Q21" s="1079">
        <v>0</v>
      </c>
      <c r="R21" s="1079">
        <v>0</v>
      </c>
      <c r="S21" s="1079">
        <v>2.2400000000000002</v>
      </c>
      <c r="T21" s="1079">
        <v>0</v>
      </c>
      <c r="U21" s="1079">
        <v>0</v>
      </c>
      <c r="V21" s="1079">
        <v>0.26</v>
      </c>
      <c r="W21" s="1079">
        <v>0</v>
      </c>
      <c r="X21" s="1079">
        <v>0.11</v>
      </c>
      <c r="Y21" s="1079">
        <v>0</v>
      </c>
      <c r="Z21" s="1079">
        <v>5.45</v>
      </c>
      <c r="AC21" s="1103" t="s">
        <v>244</v>
      </c>
      <c r="AD21" s="1079">
        <v>0.66</v>
      </c>
      <c r="AE21" s="1079">
        <v>0.01</v>
      </c>
      <c r="AF21" s="1079">
        <v>2.2400000000000002</v>
      </c>
      <c r="AG21" s="1079">
        <v>0.11</v>
      </c>
      <c r="AH21" s="1079">
        <v>5.45</v>
      </c>
    </row>
    <row r="22" spans="1:41">
      <c r="A22" s="1101" t="s">
        <v>253</v>
      </c>
      <c r="B22" s="1102">
        <v>0</v>
      </c>
      <c r="C22" s="1102">
        <v>3.14</v>
      </c>
      <c r="D22" s="1102">
        <v>5.4</v>
      </c>
      <c r="E22" s="1102">
        <v>0</v>
      </c>
      <c r="F22" s="1102">
        <v>10.88</v>
      </c>
      <c r="G22" s="1102">
        <v>4.09</v>
      </c>
      <c r="H22" s="1102">
        <v>0</v>
      </c>
      <c r="I22" s="1102">
        <v>0</v>
      </c>
      <c r="J22" s="1102">
        <v>0</v>
      </c>
      <c r="K22" s="1102">
        <v>12.2</v>
      </c>
      <c r="L22" s="1102">
        <v>9.65</v>
      </c>
      <c r="M22" s="1102">
        <v>25.65</v>
      </c>
      <c r="N22" s="1102">
        <v>4.34</v>
      </c>
      <c r="O22" s="1102">
        <v>0</v>
      </c>
      <c r="P22" s="1102">
        <v>0</v>
      </c>
      <c r="Q22" s="1102">
        <v>0</v>
      </c>
      <c r="R22" s="1102">
        <v>22.45</v>
      </c>
      <c r="S22" s="1102">
        <v>7.93</v>
      </c>
      <c r="T22" s="1102">
        <v>0</v>
      </c>
      <c r="U22" s="1102">
        <v>0</v>
      </c>
      <c r="V22" s="1102">
        <v>6.32</v>
      </c>
      <c r="W22" s="1102">
        <v>20</v>
      </c>
      <c r="X22" s="1102">
        <v>3.43</v>
      </c>
      <c r="Y22" s="1102">
        <v>0</v>
      </c>
      <c r="Z22" s="1102">
        <v>5.69</v>
      </c>
      <c r="AC22" s="1101" t="s">
        <v>253</v>
      </c>
      <c r="AD22" s="1102">
        <v>25.65</v>
      </c>
      <c r="AE22" s="1102">
        <v>4.34</v>
      </c>
      <c r="AF22" s="1102">
        <v>7.93</v>
      </c>
      <c r="AG22" s="1102">
        <v>3.43</v>
      </c>
      <c r="AH22" s="1102">
        <v>5.69</v>
      </c>
    </row>
    <row r="23" spans="1:41">
      <c r="A23" s="1101" t="s">
        <v>30</v>
      </c>
      <c r="B23" s="1102">
        <v>100</v>
      </c>
      <c r="C23" s="1102">
        <v>100</v>
      </c>
      <c r="D23" s="1102">
        <v>100</v>
      </c>
      <c r="E23" s="1102">
        <v>100</v>
      </c>
      <c r="F23" s="1102">
        <v>100</v>
      </c>
      <c r="G23" s="1102">
        <v>100</v>
      </c>
      <c r="H23" s="1102">
        <v>0</v>
      </c>
      <c r="I23" s="1102">
        <v>100</v>
      </c>
      <c r="J23" s="1102">
        <v>100</v>
      </c>
      <c r="K23" s="1102">
        <v>100</v>
      </c>
      <c r="L23" s="1102">
        <v>100</v>
      </c>
      <c r="M23" s="1102">
        <v>100</v>
      </c>
      <c r="N23" s="1102">
        <v>100</v>
      </c>
      <c r="O23" s="1102">
        <v>100</v>
      </c>
      <c r="P23" s="1102">
        <v>100</v>
      </c>
      <c r="Q23" s="1102">
        <v>100</v>
      </c>
      <c r="R23" s="1102">
        <v>100</v>
      </c>
      <c r="S23" s="1102">
        <v>100</v>
      </c>
      <c r="T23" s="1102">
        <v>100</v>
      </c>
      <c r="U23" s="1102">
        <v>100</v>
      </c>
      <c r="V23" s="1102">
        <v>100</v>
      </c>
      <c r="W23" s="1102">
        <v>100</v>
      </c>
      <c r="X23" s="1102">
        <v>100</v>
      </c>
      <c r="Y23" s="1102">
        <v>100</v>
      </c>
      <c r="Z23" s="1102">
        <v>100</v>
      </c>
      <c r="AC23" s="1101" t="s">
        <v>30</v>
      </c>
      <c r="AD23" s="1102">
        <v>100</v>
      </c>
      <c r="AE23" s="1102">
        <v>100</v>
      </c>
      <c r="AF23" s="1102">
        <v>100</v>
      </c>
      <c r="AG23" s="1102">
        <v>100</v>
      </c>
      <c r="AH23" s="1102">
        <v>100</v>
      </c>
    </row>
    <row r="24" spans="1:41">
      <c r="A24" s="1099" t="s">
        <v>248</v>
      </c>
      <c r="B24" s="1097" t="s">
        <v>233</v>
      </c>
      <c r="C24" s="1097" t="s">
        <v>220</v>
      </c>
      <c r="D24" s="1097" t="s">
        <v>223</v>
      </c>
      <c r="E24" s="1097" t="s">
        <v>249</v>
      </c>
      <c r="F24" s="1097" t="s">
        <v>221</v>
      </c>
      <c r="G24" s="1097" t="s">
        <v>234</v>
      </c>
      <c r="H24" s="1097" t="s">
        <v>242</v>
      </c>
      <c r="I24" s="1097" t="s">
        <v>225</v>
      </c>
      <c r="J24" s="1097" t="s">
        <v>236</v>
      </c>
      <c r="K24" s="1097" t="s">
        <v>227</v>
      </c>
      <c r="L24" s="1097" t="s">
        <v>2</v>
      </c>
      <c r="M24" s="1097" t="s">
        <v>232</v>
      </c>
      <c r="N24" s="1097" t="s">
        <v>230</v>
      </c>
      <c r="O24" s="1097" t="s">
        <v>3</v>
      </c>
      <c r="P24" s="1097" t="s">
        <v>235</v>
      </c>
      <c r="Q24" s="1097" t="s">
        <v>250</v>
      </c>
      <c r="R24" s="1097" t="s">
        <v>228</v>
      </c>
      <c r="S24" s="1097" t="s">
        <v>224</v>
      </c>
      <c r="T24" s="1097" t="s">
        <v>239</v>
      </c>
      <c r="U24" s="1097" t="s">
        <v>1033</v>
      </c>
      <c r="V24" s="1097" t="s">
        <v>219</v>
      </c>
      <c r="W24" s="1097" t="s">
        <v>229</v>
      </c>
      <c r="X24" s="1097" t="s">
        <v>222</v>
      </c>
      <c r="Y24" s="1097" t="s">
        <v>1018</v>
      </c>
      <c r="Z24" s="1097" t="s">
        <v>231</v>
      </c>
      <c r="AC24" s="1099" t="s">
        <v>248</v>
      </c>
      <c r="AD24" s="1097" t="s">
        <v>232</v>
      </c>
      <c r="AE24" s="1097" t="s">
        <v>230</v>
      </c>
      <c r="AF24" s="1097" t="s">
        <v>224</v>
      </c>
      <c r="AG24" s="1097" t="s">
        <v>222</v>
      </c>
      <c r="AH24" s="1097" t="s">
        <v>231</v>
      </c>
      <c r="AJ24" s="1099" t="s">
        <v>248</v>
      </c>
      <c r="AK24" s="1097" t="s">
        <v>232</v>
      </c>
      <c r="AL24" s="1097" t="s">
        <v>230</v>
      </c>
      <c r="AM24" s="1097" t="s">
        <v>224</v>
      </c>
      <c r="AN24" s="1097" t="s">
        <v>222</v>
      </c>
      <c r="AO24" s="1097" t="s">
        <v>231</v>
      </c>
    </row>
    <row r="25" spans="1:41">
      <c r="A25" s="1100" t="s">
        <v>1020</v>
      </c>
      <c r="B25" s="1079"/>
      <c r="C25" s="1079"/>
      <c r="D25" s="1079"/>
      <c r="E25" s="1079"/>
      <c r="F25" s="1079"/>
      <c r="G25" s="1079"/>
      <c r="H25" s="1079"/>
      <c r="I25" s="1079"/>
      <c r="J25" s="1079"/>
      <c r="K25" s="1079"/>
      <c r="L25" s="1079"/>
      <c r="M25" s="1079"/>
      <c r="N25" s="1079"/>
      <c r="O25" s="1079"/>
      <c r="P25" s="1079"/>
      <c r="Q25" s="1079"/>
      <c r="R25" s="1079"/>
      <c r="S25" s="1079"/>
      <c r="T25" s="1079"/>
      <c r="U25" s="1079"/>
      <c r="V25" s="1079"/>
      <c r="W25" s="1079"/>
      <c r="X25" s="1079"/>
      <c r="Y25" s="1079"/>
      <c r="Z25" s="1079"/>
      <c r="AC25" s="1100" t="s">
        <v>1020</v>
      </c>
      <c r="AD25" s="1079"/>
      <c r="AE25" s="1079"/>
      <c r="AF25" s="1079"/>
      <c r="AG25" s="1079"/>
      <c r="AH25" s="1079"/>
      <c r="AJ25" s="1101" t="s">
        <v>251</v>
      </c>
      <c r="AK25" s="1102">
        <v>44.33</v>
      </c>
      <c r="AL25" s="1102">
        <v>41.31</v>
      </c>
      <c r="AM25" s="1102">
        <v>34.700000000000003</v>
      </c>
      <c r="AN25" s="1102">
        <v>20.04</v>
      </c>
      <c r="AO25" s="1102">
        <v>59.02</v>
      </c>
    </row>
    <row r="26" spans="1:41">
      <c r="A26" s="1101" t="s">
        <v>251</v>
      </c>
      <c r="B26" s="1102">
        <v>77.78</v>
      </c>
      <c r="C26" s="1102">
        <v>47.31</v>
      </c>
      <c r="D26" s="1102">
        <v>49.98</v>
      </c>
      <c r="E26" s="1102">
        <v>100</v>
      </c>
      <c r="F26" s="1102">
        <v>61.97</v>
      </c>
      <c r="G26" s="1102">
        <v>7.51</v>
      </c>
      <c r="H26" s="1102">
        <v>0</v>
      </c>
      <c r="I26" s="1102">
        <v>100</v>
      </c>
      <c r="J26" s="1102">
        <v>51.83</v>
      </c>
      <c r="K26" s="1102">
        <v>38.28</v>
      </c>
      <c r="L26" s="1102">
        <v>35.58</v>
      </c>
      <c r="M26" s="1102">
        <v>44.33</v>
      </c>
      <c r="N26" s="1102">
        <v>41.31</v>
      </c>
      <c r="O26" s="1102">
        <v>100</v>
      </c>
      <c r="P26" s="1102">
        <v>51.72</v>
      </c>
      <c r="Q26" s="1102">
        <v>91.55</v>
      </c>
      <c r="R26" s="1102">
        <v>0</v>
      </c>
      <c r="S26" s="1102">
        <v>34.700000000000003</v>
      </c>
      <c r="T26" s="1102">
        <v>25</v>
      </c>
      <c r="U26" s="1102">
        <v>0</v>
      </c>
      <c r="V26" s="1102">
        <v>45.02</v>
      </c>
      <c r="W26" s="1102">
        <v>66.67</v>
      </c>
      <c r="X26" s="1102">
        <v>20.04</v>
      </c>
      <c r="Y26" s="1102">
        <v>4.17</v>
      </c>
      <c r="Z26" s="1102">
        <v>59.02</v>
      </c>
      <c r="AC26" s="1101" t="s">
        <v>251</v>
      </c>
      <c r="AD26" s="1102">
        <v>44.33</v>
      </c>
      <c r="AE26" s="1102">
        <v>41.31</v>
      </c>
      <c r="AF26" s="1102">
        <v>34.700000000000003</v>
      </c>
      <c r="AG26" s="1102">
        <v>20.04</v>
      </c>
      <c r="AH26" s="1102">
        <v>59.02</v>
      </c>
      <c r="AJ26" s="1101" t="s">
        <v>1116</v>
      </c>
      <c r="AK26" s="1102">
        <v>12.81</v>
      </c>
      <c r="AL26" s="1102">
        <v>38.67</v>
      </c>
      <c r="AM26" s="1102">
        <v>30.51</v>
      </c>
      <c r="AN26" s="1102">
        <v>26.33</v>
      </c>
      <c r="AO26" s="1102">
        <v>11.47</v>
      </c>
    </row>
    <row r="27" spans="1:41">
      <c r="A27" s="1101" t="s">
        <v>1116</v>
      </c>
      <c r="B27" s="1102">
        <v>0</v>
      </c>
      <c r="C27" s="1102">
        <v>23.99</v>
      </c>
      <c r="D27" s="1102">
        <v>12.96</v>
      </c>
      <c r="E27" s="1102">
        <v>0</v>
      </c>
      <c r="F27" s="1102">
        <v>16.350000000000001</v>
      </c>
      <c r="G27" s="1102">
        <v>85.09</v>
      </c>
      <c r="H27" s="1102">
        <v>0</v>
      </c>
      <c r="I27" s="1102">
        <v>0</v>
      </c>
      <c r="J27" s="1102">
        <v>4.32</v>
      </c>
      <c r="K27" s="1102">
        <v>6.25</v>
      </c>
      <c r="L27" s="1102">
        <v>14.56</v>
      </c>
      <c r="M27" s="1102">
        <v>12.81</v>
      </c>
      <c r="N27" s="1102">
        <v>38.67</v>
      </c>
      <c r="O27" s="1102">
        <v>0</v>
      </c>
      <c r="P27" s="1102">
        <v>31.03</v>
      </c>
      <c r="Q27" s="1102">
        <v>8.4499999999999993</v>
      </c>
      <c r="R27" s="1102">
        <v>0</v>
      </c>
      <c r="S27" s="1102">
        <v>30.51</v>
      </c>
      <c r="T27" s="1102">
        <v>0</v>
      </c>
      <c r="U27" s="1102">
        <v>0</v>
      </c>
      <c r="V27" s="1102">
        <v>23.63</v>
      </c>
      <c r="W27" s="1102">
        <v>8.4600000000000009</v>
      </c>
      <c r="X27" s="1102">
        <v>26.33</v>
      </c>
      <c r="Y27" s="1102">
        <v>0</v>
      </c>
      <c r="Z27" s="1102">
        <v>11.47</v>
      </c>
      <c r="AC27" s="1101" t="s">
        <v>1116</v>
      </c>
      <c r="AD27" s="1102">
        <v>12.81</v>
      </c>
      <c r="AE27" s="1102">
        <v>38.67</v>
      </c>
      <c r="AF27" s="1102">
        <v>30.51</v>
      </c>
      <c r="AG27" s="1102">
        <v>26.33</v>
      </c>
      <c r="AH27" s="1102">
        <v>11.47</v>
      </c>
      <c r="AJ27" s="1101" t="s">
        <v>253</v>
      </c>
      <c r="AK27" s="1102">
        <v>42.86</v>
      </c>
      <c r="AL27" s="1102">
        <v>20.02</v>
      </c>
      <c r="AM27" s="1102">
        <v>34.79</v>
      </c>
      <c r="AN27" s="1102">
        <v>53.64</v>
      </c>
      <c r="AO27" s="1102">
        <v>29.51</v>
      </c>
    </row>
    <row r="28" spans="1:41">
      <c r="A28" s="1103" t="s">
        <v>220</v>
      </c>
      <c r="B28" s="1079">
        <v>0</v>
      </c>
      <c r="C28" s="1079"/>
      <c r="D28" s="1079">
        <v>8.4</v>
      </c>
      <c r="E28" s="1079">
        <v>0</v>
      </c>
      <c r="F28" s="1079">
        <v>10.87</v>
      </c>
      <c r="G28" s="1079">
        <v>0</v>
      </c>
      <c r="H28" s="1079">
        <v>0</v>
      </c>
      <c r="I28" s="1079">
        <v>0</v>
      </c>
      <c r="J28" s="1079">
        <v>4.32</v>
      </c>
      <c r="K28" s="1079">
        <v>0</v>
      </c>
      <c r="L28" s="1079">
        <v>9.6</v>
      </c>
      <c r="M28" s="1079">
        <v>0.54</v>
      </c>
      <c r="N28" s="1079">
        <v>23.99</v>
      </c>
      <c r="O28" s="1079">
        <v>0</v>
      </c>
      <c r="P28" s="1079">
        <v>0</v>
      </c>
      <c r="Q28" s="1079">
        <v>0</v>
      </c>
      <c r="R28" s="1079">
        <v>0</v>
      </c>
      <c r="S28" s="1079">
        <v>25.03</v>
      </c>
      <c r="T28" s="1079">
        <v>0</v>
      </c>
      <c r="U28" s="1079">
        <v>0</v>
      </c>
      <c r="V28" s="1079">
        <v>18.12</v>
      </c>
      <c r="W28" s="1079">
        <v>3.48</v>
      </c>
      <c r="X28" s="1079">
        <v>7.41</v>
      </c>
      <c r="Y28" s="1079">
        <v>0</v>
      </c>
      <c r="Z28" s="1079">
        <v>0.5</v>
      </c>
      <c r="AC28" s="1103" t="s">
        <v>220</v>
      </c>
      <c r="AD28" s="1079">
        <v>0.54</v>
      </c>
      <c r="AE28" s="1079">
        <v>23.99</v>
      </c>
      <c r="AF28" s="1079">
        <v>25.03</v>
      </c>
      <c r="AG28" s="1079">
        <v>7.41</v>
      </c>
      <c r="AH28" s="1079">
        <v>0.5</v>
      </c>
    </row>
    <row r="29" spans="1:41">
      <c r="A29" s="1103" t="s">
        <v>223</v>
      </c>
      <c r="B29" s="1079">
        <v>0</v>
      </c>
      <c r="C29" s="1079">
        <v>0.3</v>
      </c>
      <c r="D29" s="1079"/>
      <c r="E29" s="1079">
        <v>0</v>
      </c>
      <c r="F29" s="1079">
        <v>0.67</v>
      </c>
      <c r="G29" s="1079">
        <v>0</v>
      </c>
      <c r="H29" s="1079">
        <v>0</v>
      </c>
      <c r="I29" s="1079">
        <v>0</v>
      </c>
      <c r="J29" s="1079">
        <v>0</v>
      </c>
      <c r="K29" s="1079">
        <v>0</v>
      </c>
      <c r="L29" s="1079">
        <v>0</v>
      </c>
      <c r="M29" s="1079">
        <v>0</v>
      </c>
      <c r="N29" s="1079">
        <v>0.18</v>
      </c>
      <c r="O29" s="1079">
        <v>0</v>
      </c>
      <c r="P29" s="1079">
        <v>0</v>
      </c>
      <c r="Q29" s="1079">
        <v>0</v>
      </c>
      <c r="R29" s="1079">
        <v>0</v>
      </c>
      <c r="S29" s="1079">
        <v>0.02</v>
      </c>
      <c r="T29" s="1079">
        <v>0</v>
      </c>
      <c r="U29" s="1079">
        <v>0</v>
      </c>
      <c r="V29" s="1079">
        <v>0.12</v>
      </c>
      <c r="W29" s="1079">
        <v>0</v>
      </c>
      <c r="X29" s="1079">
        <v>0.65</v>
      </c>
      <c r="Y29" s="1079">
        <v>0</v>
      </c>
      <c r="Z29" s="1079">
        <v>0</v>
      </c>
      <c r="AC29" s="1103" t="s">
        <v>223</v>
      </c>
      <c r="AD29" s="1079">
        <v>0</v>
      </c>
      <c r="AE29" s="1079">
        <v>0.18</v>
      </c>
      <c r="AF29" s="1079">
        <v>0.02</v>
      </c>
      <c r="AG29" s="1079">
        <v>0.65</v>
      </c>
      <c r="AH29" s="1079">
        <v>0</v>
      </c>
      <c r="AJ29" s="1103" t="s">
        <v>220</v>
      </c>
      <c r="AK29" s="1079">
        <v>0.54</v>
      </c>
      <c r="AL29" s="1079">
        <v>23.99</v>
      </c>
      <c r="AM29" s="1079">
        <v>25.03</v>
      </c>
      <c r="AN29" s="1079">
        <v>7.41</v>
      </c>
      <c r="AO29" s="1079">
        <v>0.5</v>
      </c>
    </row>
    <row r="30" spans="1:41">
      <c r="A30" s="1103" t="s">
        <v>221</v>
      </c>
      <c r="B30" s="1079">
        <v>0</v>
      </c>
      <c r="C30" s="1079">
        <v>0.38</v>
      </c>
      <c r="D30" s="1079">
        <v>1.65</v>
      </c>
      <c r="E30" s="1079">
        <v>0</v>
      </c>
      <c r="F30" s="1079"/>
      <c r="G30" s="1079">
        <v>0</v>
      </c>
      <c r="H30" s="1079">
        <v>0</v>
      </c>
      <c r="I30" s="1079">
        <v>0</v>
      </c>
      <c r="J30" s="1079">
        <v>0</v>
      </c>
      <c r="K30" s="1079">
        <v>0</v>
      </c>
      <c r="L30" s="1079">
        <v>1.31</v>
      </c>
      <c r="M30" s="1079">
        <v>0</v>
      </c>
      <c r="N30" s="1079">
        <v>0</v>
      </c>
      <c r="O30" s="1079">
        <v>0</v>
      </c>
      <c r="P30" s="1079">
        <v>0</v>
      </c>
      <c r="Q30" s="1079">
        <v>0</v>
      </c>
      <c r="R30" s="1079">
        <v>0</v>
      </c>
      <c r="S30" s="1079">
        <v>0.26</v>
      </c>
      <c r="T30" s="1079">
        <v>0</v>
      </c>
      <c r="U30" s="1079">
        <v>0</v>
      </c>
      <c r="V30" s="1079">
        <v>0.32</v>
      </c>
      <c r="W30" s="1079">
        <v>0</v>
      </c>
      <c r="X30" s="1079">
        <v>0.06</v>
      </c>
      <c r="Y30" s="1079">
        <v>0</v>
      </c>
      <c r="Z30" s="1079">
        <v>0</v>
      </c>
      <c r="AC30" s="1103" t="s">
        <v>221</v>
      </c>
      <c r="AD30" s="1079">
        <v>0</v>
      </c>
      <c r="AE30" s="1079">
        <v>0</v>
      </c>
      <c r="AF30" s="1079">
        <v>0.26</v>
      </c>
      <c r="AG30" s="1079">
        <v>0.06</v>
      </c>
      <c r="AH30" s="1079">
        <v>0</v>
      </c>
      <c r="AJ30" s="1103" t="s">
        <v>232</v>
      </c>
      <c r="AK30" s="1079"/>
      <c r="AL30" s="1079">
        <v>0.04</v>
      </c>
      <c r="AM30" s="1079">
        <v>0.86</v>
      </c>
      <c r="AN30" s="1079">
        <v>2.65</v>
      </c>
      <c r="AO30" s="1079">
        <v>0</v>
      </c>
    </row>
    <row r="31" spans="1:41">
      <c r="A31" s="1103" t="s">
        <v>234</v>
      </c>
      <c r="B31" s="1079">
        <v>0</v>
      </c>
      <c r="C31" s="1079">
        <v>0</v>
      </c>
      <c r="D31" s="1079">
        <v>0</v>
      </c>
      <c r="E31" s="1079">
        <v>0</v>
      </c>
      <c r="F31" s="1079">
        <v>0</v>
      </c>
      <c r="G31" s="1079"/>
      <c r="H31" s="1079">
        <v>0</v>
      </c>
      <c r="I31" s="1079">
        <v>0</v>
      </c>
      <c r="J31" s="1079">
        <v>0</v>
      </c>
      <c r="K31" s="1079">
        <v>0</v>
      </c>
      <c r="L31" s="1079">
        <v>0</v>
      </c>
      <c r="M31" s="1079">
        <v>0</v>
      </c>
      <c r="N31" s="1079">
        <v>0</v>
      </c>
      <c r="O31" s="1079">
        <v>0</v>
      </c>
      <c r="P31" s="1079">
        <v>0</v>
      </c>
      <c r="Q31" s="1079">
        <v>0</v>
      </c>
      <c r="R31" s="1079">
        <v>0</v>
      </c>
      <c r="S31" s="1079">
        <v>0</v>
      </c>
      <c r="T31" s="1079">
        <v>0</v>
      </c>
      <c r="U31" s="1079">
        <v>0</v>
      </c>
      <c r="V31" s="1079">
        <v>0</v>
      </c>
      <c r="W31" s="1079">
        <v>0</v>
      </c>
      <c r="X31" s="1079">
        <v>0</v>
      </c>
      <c r="Y31" s="1079">
        <v>0</v>
      </c>
      <c r="Z31" s="1079">
        <v>0.17</v>
      </c>
      <c r="AC31" s="1103" t="s">
        <v>234</v>
      </c>
      <c r="AD31" s="1079">
        <v>0</v>
      </c>
      <c r="AE31" s="1079">
        <v>0</v>
      </c>
      <c r="AF31" s="1079">
        <v>0</v>
      </c>
      <c r="AG31" s="1079">
        <v>0</v>
      </c>
      <c r="AH31" s="1079">
        <v>0.17</v>
      </c>
      <c r="AJ31" s="1103" t="s">
        <v>230</v>
      </c>
      <c r="AK31" s="1079">
        <v>0.11</v>
      </c>
      <c r="AL31" s="1079"/>
      <c r="AM31" s="1079">
        <v>0.05</v>
      </c>
      <c r="AN31" s="1079">
        <v>0.8</v>
      </c>
      <c r="AO31" s="1079">
        <v>6.57</v>
      </c>
    </row>
    <row r="32" spans="1:41">
      <c r="A32" s="1103" t="s">
        <v>227</v>
      </c>
      <c r="B32" s="1079">
        <v>0</v>
      </c>
      <c r="C32" s="1079">
        <v>0</v>
      </c>
      <c r="D32" s="1079">
        <v>0</v>
      </c>
      <c r="E32" s="1079">
        <v>0</v>
      </c>
      <c r="F32" s="1079">
        <v>0</v>
      </c>
      <c r="G32" s="1079">
        <v>0</v>
      </c>
      <c r="H32" s="1079">
        <v>0</v>
      </c>
      <c r="I32" s="1079">
        <v>0</v>
      </c>
      <c r="J32" s="1079">
        <v>0</v>
      </c>
      <c r="K32" s="1079"/>
      <c r="L32" s="1079">
        <v>0.15</v>
      </c>
      <c r="M32" s="1079">
        <v>0</v>
      </c>
      <c r="N32" s="1079">
        <v>0</v>
      </c>
      <c r="O32" s="1079">
        <v>0</v>
      </c>
      <c r="P32" s="1079">
        <v>0</v>
      </c>
      <c r="Q32" s="1079">
        <v>0</v>
      </c>
      <c r="R32" s="1079">
        <v>0</v>
      </c>
      <c r="S32" s="1079">
        <v>0.02</v>
      </c>
      <c r="T32" s="1079">
        <v>0</v>
      </c>
      <c r="U32" s="1079">
        <v>0</v>
      </c>
      <c r="V32" s="1079">
        <v>0.01</v>
      </c>
      <c r="W32" s="1079">
        <v>0</v>
      </c>
      <c r="X32" s="1079">
        <v>0</v>
      </c>
      <c r="Y32" s="1079">
        <v>0</v>
      </c>
      <c r="Z32" s="1079">
        <v>0</v>
      </c>
      <c r="AC32" s="1103" t="s">
        <v>227</v>
      </c>
      <c r="AD32" s="1079">
        <v>0</v>
      </c>
      <c r="AE32" s="1079">
        <v>0</v>
      </c>
      <c r="AF32" s="1079">
        <v>0.02</v>
      </c>
      <c r="AG32" s="1079">
        <v>0</v>
      </c>
      <c r="AH32" s="1079">
        <v>0</v>
      </c>
      <c r="AJ32" s="1103" t="s">
        <v>224</v>
      </c>
      <c r="AK32" s="1079">
        <v>10.74</v>
      </c>
      <c r="AL32" s="1079">
        <v>0.36</v>
      </c>
      <c r="AM32" s="1079"/>
      <c r="AN32" s="1079">
        <v>11.5</v>
      </c>
      <c r="AO32" s="1079">
        <v>0.75</v>
      </c>
    </row>
    <row r="33" spans="1:41">
      <c r="A33" s="1103" t="s">
        <v>2</v>
      </c>
      <c r="B33" s="1079">
        <v>0</v>
      </c>
      <c r="C33" s="1079">
        <v>0.24</v>
      </c>
      <c r="D33" s="1079">
        <v>0</v>
      </c>
      <c r="E33" s="1079">
        <v>0</v>
      </c>
      <c r="F33" s="1079">
        <v>1.05</v>
      </c>
      <c r="G33" s="1079">
        <v>0</v>
      </c>
      <c r="H33" s="1079">
        <v>0</v>
      </c>
      <c r="I33" s="1079">
        <v>0</v>
      </c>
      <c r="J33" s="1079">
        <v>0</v>
      </c>
      <c r="K33" s="1079">
        <v>1.56</v>
      </c>
      <c r="L33" s="1079"/>
      <c r="M33" s="1079">
        <v>0</v>
      </c>
      <c r="N33" s="1079">
        <v>0</v>
      </c>
      <c r="O33" s="1079">
        <v>0</v>
      </c>
      <c r="P33" s="1079">
        <v>0</v>
      </c>
      <c r="Q33" s="1079">
        <v>0</v>
      </c>
      <c r="R33" s="1079">
        <v>0</v>
      </c>
      <c r="S33" s="1079">
        <v>0.39</v>
      </c>
      <c r="T33" s="1079">
        <v>0</v>
      </c>
      <c r="U33" s="1079">
        <v>0</v>
      </c>
      <c r="V33" s="1079">
        <v>0.53</v>
      </c>
      <c r="W33" s="1079">
        <v>0</v>
      </c>
      <c r="X33" s="1079">
        <v>0</v>
      </c>
      <c r="Y33" s="1079">
        <v>0</v>
      </c>
      <c r="Z33" s="1079">
        <v>0</v>
      </c>
      <c r="AC33" s="1103" t="s">
        <v>2</v>
      </c>
      <c r="AD33" s="1079">
        <v>0</v>
      </c>
      <c r="AE33" s="1079">
        <v>0</v>
      </c>
      <c r="AF33" s="1079">
        <v>0.39</v>
      </c>
      <c r="AG33" s="1079">
        <v>0</v>
      </c>
      <c r="AH33" s="1079">
        <v>0</v>
      </c>
      <c r="AJ33" s="1103" t="s">
        <v>219</v>
      </c>
      <c r="AK33" s="1079">
        <v>0.27</v>
      </c>
      <c r="AL33" s="1079">
        <v>0.28000000000000003</v>
      </c>
      <c r="AM33" s="1079">
        <v>2.0699999999999998</v>
      </c>
      <c r="AN33" s="1079">
        <v>2.97</v>
      </c>
      <c r="AO33" s="1079">
        <v>2.66</v>
      </c>
    </row>
    <row r="34" spans="1:41">
      <c r="A34" s="1103" t="s">
        <v>232</v>
      </c>
      <c r="B34" s="1079">
        <v>0</v>
      </c>
      <c r="C34" s="1079">
        <v>0.02</v>
      </c>
      <c r="D34" s="1079">
        <v>0</v>
      </c>
      <c r="E34" s="1079">
        <v>0</v>
      </c>
      <c r="F34" s="1079">
        <v>0</v>
      </c>
      <c r="G34" s="1079">
        <v>0</v>
      </c>
      <c r="H34" s="1079">
        <v>0</v>
      </c>
      <c r="I34" s="1079">
        <v>0</v>
      </c>
      <c r="J34" s="1079">
        <v>0</v>
      </c>
      <c r="K34" s="1079">
        <v>0</v>
      </c>
      <c r="L34" s="1079">
        <v>0</v>
      </c>
      <c r="M34" s="1079"/>
      <c r="N34" s="1079">
        <v>0.04</v>
      </c>
      <c r="O34" s="1079">
        <v>0</v>
      </c>
      <c r="P34" s="1079">
        <v>0</v>
      </c>
      <c r="Q34" s="1079">
        <v>0</v>
      </c>
      <c r="R34" s="1079">
        <v>0</v>
      </c>
      <c r="S34" s="1079">
        <v>0.86</v>
      </c>
      <c r="T34" s="1079">
        <v>0</v>
      </c>
      <c r="U34" s="1079">
        <v>0</v>
      </c>
      <c r="V34" s="1079">
        <v>0.11</v>
      </c>
      <c r="W34" s="1079">
        <v>0</v>
      </c>
      <c r="X34" s="1079">
        <v>2.65</v>
      </c>
      <c r="Y34" s="1079">
        <v>0</v>
      </c>
      <c r="Z34" s="1079">
        <v>0</v>
      </c>
      <c r="AC34" s="1103" t="s">
        <v>232</v>
      </c>
      <c r="AD34" s="1079"/>
      <c r="AE34" s="1079">
        <v>0.04</v>
      </c>
      <c r="AF34" s="1079">
        <v>0.86</v>
      </c>
      <c r="AG34" s="1079">
        <v>2.65</v>
      </c>
      <c r="AH34" s="1079">
        <v>0</v>
      </c>
      <c r="AJ34" s="1103" t="s">
        <v>231</v>
      </c>
      <c r="AK34" s="1079">
        <v>0</v>
      </c>
      <c r="AL34" s="1079">
        <v>12.35</v>
      </c>
      <c r="AM34" s="1079">
        <v>0.03</v>
      </c>
      <c r="AN34" s="1079">
        <v>0.13</v>
      </c>
      <c r="AO34" s="1079"/>
    </row>
    <row r="35" spans="1:41">
      <c r="A35" s="1103" t="s">
        <v>230</v>
      </c>
      <c r="B35" s="1079">
        <v>0</v>
      </c>
      <c r="C35" s="1079">
        <v>0.79</v>
      </c>
      <c r="D35" s="1079">
        <v>0.16</v>
      </c>
      <c r="E35" s="1079">
        <v>0</v>
      </c>
      <c r="F35" s="1079">
        <v>0</v>
      </c>
      <c r="G35" s="1079">
        <v>0</v>
      </c>
      <c r="H35" s="1079">
        <v>0</v>
      </c>
      <c r="I35" s="1079">
        <v>0</v>
      </c>
      <c r="J35" s="1079">
        <v>0</v>
      </c>
      <c r="K35" s="1079">
        <v>0</v>
      </c>
      <c r="L35" s="1079">
        <v>0</v>
      </c>
      <c r="M35" s="1079">
        <v>0.11</v>
      </c>
      <c r="N35" s="1079"/>
      <c r="O35" s="1079">
        <v>0</v>
      </c>
      <c r="P35" s="1079">
        <v>0</v>
      </c>
      <c r="Q35" s="1079">
        <v>8.4499999999999993</v>
      </c>
      <c r="R35" s="1079">
        <v>0</v>
      </c>
      <c r="S35" s="1079">
        <v>0.05</v>
      </c>
      <c r="T35" s="1079">
        <v>0</v>
      </c>
      <c r="U35" s="1079">
        <v>0</v>
      </c>
      <c r="V35" s="1079">
        <v>0.02</v>
      </c>
      <c r="W35" s="1079">
        <v>0</v>
      </c>
      <c r="X35" s="1079">
        <v>0.8</v>
      </c>
      <c r="Y35" s="1079">
        <v>0</v>
      </c>
      <c r="Z35" s="1079">
        <v>6.57</v>
      </c>
      <c r="AC35" s="1103" t="s">
        <v>230</v>
      </c>
      <c r="AD35" s="1079">
        <v>0.11</v>
      </c>
      <c r="AE35" s="1079"/>
      <c r="AF35" s="1079">
        <v>0.05</v>
      </c>
      <c r="AG35" s="1079">
        <v>0.8</v>
      </c>
      <c r="AH35" s="1079">
        <v>6.57</v>
      </c>
    </row>
    <row r="36" spans="1:41">
      <c r="A36" s="1103" t="s">
        <v>235</v>
      </c>
      <c r="B36" s="1079">
        <v>0</v>
      </c>
      <c r="C36" s="1079">
        <v>0</v>
      </c>
      <c r="D36" s="1079">
        <v>0</v>
      </c>
      <c r="E36" s="1079">
        <v>0</v>
      </c>
      <c r="F36" s="1079">
        <v>0</v>
      </c>
      <c r="G36" s="1079">
        <v>0</v>
      </c>
      <c r="H36" s="1079">
        <v>0</v>
      </c>
      <c r="I36" s="1079">
        <v>0</v>
      </c>
      <c r="J36" s="1079">
        <v>0</v>
      </c>
      <c r="K36" s="1079">
        <v>0</v>
      </c>
      <c r="L36" s="1079">
        <v>0</v>
      </c>
      <c r="M36" s="1079">
        <v>0</v>
      </c>
      <c r="N36" s="1079">
        <v>0</v>
      </c>
      <c r="O36" s="1079">
        <v>0</v>
      </c>
      <c r="P36" s="1079"/>
      <c r="Q36" s="1079">
        <v>0</v>
      </c>
      <c r="R36" s="1079">
        <v>0</v>
      </c>
      <c r="S36" s="1079">
        <v>0.28999999999999998</v>
      </c>
      <c r="T36" s="1079">
        <v>0</v>
      </c>
      <c r="U36" s="1079">
        <v>0</v>
      </c>
      <c r="V36" s="1079">
        <v>0</v>
      </c>
      <c r="W36" s="1079">
        <v>0</v>
      </c>
      <c r="X36" s="1079">
        <v>0</v>
      </c>
      <c r="Y36" s="1079">
        <v>0</v>
      </c>
      <c r="Z36" s="1079">
        <v>0</v>
      </c>
      <c r="AC36" s="1103" t="s">
        <v>235</v>
      </c>
      <c r="AD36" s="1079">
        <v>0</v>
      </c>
      <c r="AE36" s="1079">
        <v>0</v>
      </c>
      <c r="AF36" s="1079">
        <v>0.28999999999999998</v>
      </c>
      <c r="AG36" s="1079">
        <v>0</v>
      </c>
      <c r="AH36" s="1079">
        <v>0</v>
      </c>
    </row>
    <row r="37" spans="1:41">
      <c r="A37" s="1103" t="s">
        <v>250</v>
      </c>
      <c r="B37" s="1079">
        <v>0</v>
      </c>
      <c r="C37" s="1079">
        <v>0</v>
      </c>
      <c r="D37" s="1079">
        <v>0</v>
      </c>
      <c r="E37" s="1079">
        <v>0</v>
      </c>
      <c r="F37" s="1079">
        <v>0</v>
      </c>
      <c r="G37" s="1079">
        <v>0</v>
      </c>
      <c r="H37" s="1079">
        <v>0</v>
      </c>
      <c r="I37" s="1079">
        <v>0</v>
      </c>
      <c r="J37" s="1079">
        <v>0</v>
      </c>
      <c r="K37" s="1079">
        <v>0</v>
      </c>
      <c r="L37" s="1079">
        <v>0</v>
      </c>
      <c r="M37" s="1079">
        <v>0</v>
      </c>
      <c r="N37" s="1079">
        <v>0.1</v>
      </c>
      <c r="O37" s="1079">
        <v>0</v>
      </c>
      <c r="P37" s="1079">
        <v>0</v>
      </c>
      <c r="Q37" s="1079"/>
      <c r="R37" s="1079">
        <v>0</v>
      </c>
      <c r="S37" s="1079">
        <v>0</v>
      </c>
      <c r="T37" s="1079">
        <v>0</v>
      </c>
      <c r="U37" s="1079">
        <v>0</v>
      </c>
      <c r="V37" s="1079">
        <v>0</v>
      </c>
      <c r="W37" s="1079">
        <v>0</v>
      </c>
      <c r="X37" s="1079">
        <v>0</v>
      </c>
      <c r="Y37" s="1079">
        <v>0</v>
      </c>
      <c r="Z37" s="1079">
        <v>0</v>
      </c>
      <c r="AC37" s="1103" t="s">
        <v>250</v>
      </c>
      <c r="AD37" s="1079">
        <v>0</v>
      </c>
      <c r="AE37" s="1079">
        <v>0.1</v>
      </c>
      <c r="AF37" s="1079">
        <v>0</v>
      </c>
      <c r="AG37" s="1079">
        <v>0</v>
      </c>
      <c r="AH37" s="1079">
        <v>0</v>
      </c>
    </row>
    <row r="38" spans="1:41">
      <c r="A38" s="1103" t="s">
        <v>224</v>
      </c>
      <c r="B38" s="1079">
        <v>0</v>
      </c>
      <c r="C38" s="1079">
        <v>13.24</v>
      </c>
      <c r="D38" s="1079">
        <v>0.19</v>
      </c>
      <c r="E38" s="1079">
        <v>0</v>
      </c>
      <c r="F38" s="1079">
        <v>1.6</v>
      </c>
      <c r="G38" s="1079">
        <v>0</v>
      </c>
      <c r="H38" s="1079">
        <v>0</v>
      </c>
      <c r="I38" s="1079">
        <v>0</v>
      </c>
      <c r="J38" s="1079">
        <v>0</v>
      </c>
      <c r="K38" s="1079">
        <v>3.91</v>
      </c>
      <c r="L38" s="1079">
        <v>1.0900000000000001</v>
      </c>
      <c r="M38" s="1079">
        <v>10.74</v>
      </c>
      <c r="N38" s="1079">
        <v>0.36</v>
      </c>
      <c r="O38" s="1079">
        <v>0</v>
      </c>
      <c r="P38" s="1079">
        <v>31.03</v>
      </c>
      <c r="Q38" s="1079">
        <v>0</v>
      </c>
      <c r="R38" s="1079">
        <v>0</v>
      </c>
      <c r="S38" s="1079"/>
      <c r="T38" s="1079">
        <v>0</v>
      </c>
      <c r="U38" s="1079">
        <v>0</v>
      </c>
      <c r="V38" s="1079">
        <v>3.75</v>
      </c>
      <c r="W38" s="1079">
        <v>0</v>
      </c>
      <c r="X38" s="1079">
        <v>11.5</v>
      </c>
      <c r="Y38" s="1079">
        <v>0</v>
      </c>
      <c r="Z38" s="1079">
        <v>0.75</v>
      </c>
      <c r="AC38" s="1103" t="s">
        <v>224</v>
      </c>
      <c r="AD38" s="1079">
        <v>10.74</v>
      </c>
      <c r="AE38" s="1079">
        <v>0.36</v>
      </c>
      <c r="AF38" s="1079"/>
      <c r="AG38" s="1079">
        <v>11.5</v>
      </c>
      <c r="AH38" s="1079">
        <v>0.75</v>
      </c>
    </row>
    <row r="39" spans="1:41">
      <c r="A39" s="1103" t="s">
        <v>219</v>
      </c>
      <c r="B39" s="1079">
        <v>0</v>
      </c>
      <c r="C39" s="1079">
        <v>8.02</v>
      </c>
      <c r="D39" s="1079">
        <v>1.82</v>
      </c>
      <c r="E39" s="1079">
        <v>0</v>
      </c>
      <c r="F39" s="1079">
        <v>1.8</v>
      </c>
      <c r="G39" s="1079">
        <v>0</v>
      </c>
      <c r="H39" s="1079">
        <v>0</v>
      </c>
      <c r="I39" s="1079">
        <v>0</v>
      </c>
      <c r="J39" s="1079">
        <v>0</v>
      </c>
      <c r="K39" s="1079">
        <v>0.78</v>
      </c>
      <c r="L39" s="1079">
        <v>2.41</v>
      </c>
      <c r="M39" s="1079">
        <v>0.27</v>
      </c>
      <c r="N39" s="1079">
        <v>0.28000000000000003</v>
      </c>
      <c r="O39" s="1079">
        <v>0</v>
      </c>
      <c r="P39" s="1079">
        <v>0</v>
      </c>
      <c r="Q39" s="1079">
        <v>0</v>
      </c>
      <c r="R39" s="1079">
        <v>0</v>
      </c>
      <c r="S39" s="1079">
        <v>2.0699999999999998</v>
      </c>
      <c r="T39" s="1079">
        <v>0</v>
      </c>
      <c r="U39" s="1079">
        <v>0</v>
      </c>
      <c r="V39" s="1079"/>
      <c r="W39" s="1079">
        <v>4.9800000000000004</v>
      </c>
      <c r="X39" s="1079">
        <v>2.97</v>
      </c>
      <c r="Y39" s="1079">
        <v>0</v>
      </c>
      <c r="Z39" s="1079">
        <v>2.66</v>
      </c>
      <c r="AC39" s="1103" t="s">
        <v>219</v>
      </c>
      <c r="AD39" s="1079">
        <v>0.27</v>
      </c>
      <c r="AE39" s="1079">
        <v>0.28000000000000003</v>
      </c>
      <c r="AF39" s="1079">
        <v>2.0699999999999998</v>
      </c>
      <c r="AG39" s="1079">
        <v>2.97</v>
      </c>
      <c r="AH39" s="1079">
        <v>2.66</v>
      </c>
    </row>
    <row r="40" spans="1:41">
      <c r="A40" s="1103" t="s">
        <v>229</v>
      </c>
      <c r="B40" s="1079">
        <v>0</v>
      </c>
      <c r="C40" s="1079">
        <v>0.08</v>
      </c>
      <c r="D40" s="1079">
        <v>0</v>
      </c>
      <c r="E40" s="1079">
        <v>0</v>
      </c>
      <c r="F40" s="1079">
        <v>0</v>
      </c>
      <c r="G40" s="1079">
        <v>0</v>
      </c>
      <c r="H40" s="1079">
        <v>0</v>
      </c>
      <c r="I40" s="1079">
        <v>0</v>
      </c>
      <c r="J40" s="1079">
        <v>0</v>
      </c>
      <c r="K40" s="1079">
        <v>0</v>
      </c>
      <c r="L40" s="1079">
        <v>0</v>
      </c>
      <c r="M40" s="1079">
        <v>0</v>
      </c>
      <c r="N40" s="1079">
        <v>0</v>
      </c>
      <c r="O40" s="1079">
        <v>0</v>
      </c>
      <c r="P40" s="1079">
        <v>0</v>
      </c>
      <c r="Q40" s="1079">
        <v>0</v>
      </c>
      <c r="R40" s="1079">
        <v>0</v>
      </c>
      <c r="S40" s="1079">
        <v>0</v>
      </c>
      <c r="T40" s="1079">
        <v>0</v>
      </c>
      <c r="U40" s="1079">
        <v>0</v>
      </c>
      <c r="V40" s="1079">
        <v>0.08</v>
      </c>
      <c r="W40" s="1079"/>
      <c r="X40" s="1079">
        <v>0</v>
      </c>
      <c r="Y40" s="1079">
        <v>0</v>
      </c>
      <c r="Z40" s="1079">
        <v>0</v>
      </c>
      <c r="AC40" s="1103" t="s">
        <v>229</v>
      </c>
      <c r="AD40" s="1079">
        <v>0</v>
      </c>
      <c r="AE40" s="1079">
        <v>0</v>
      </c>
      <c r="AF40" s="1079">
        <v>0</v>
      </c>
      <c r="AG40" s="1079">
        <v>0</v>
      </c>
      <c r="AH40" s="1079">
        <v>0</v>
      </c>
    </row>
    <row r="41" spans="1:41">
      <c r="A41" s="1103" t="s">
        <v>222</v>
      </c>
      <c r="B41" s="1079">
        <v>0</v>
      </c>
      <c r="C41" s="1079">
        <v>0.79</v>
      </c>
      <c r="D41" s="1079">
        <v>0.74</v>
      </c>
      <c r="E41" s="1079">
        <v>0</v>
      </c>
      <c r="F41" s="1079">
        <v>0.15</v>
      </c>
      <c r="G41" s="1079">
        <v>0</v>
      </c>
      <c r="H41" s="1079">
        <v>0</v>
      </c>
      <c r="I41" s="1079">
        <v>0</v>
      </c>
      <c r="J41" s="1079">
        <v>0</v>
      </c>
      <c r="K41" s="1079">
        <v>0</v>
      </c>
      <c r="L41" s="1079">
        <v>0</v>
      </c>
      <c r="M41" s="1079">
        <v>0.71</v>
      </c>
      <c r="N41" s="1079">
        <v>1.37</v>
      </c>
      <c r="O41" s="1079">
        <v>0</v>
      </c>
      <c r="P41" s="1079">
        <v>0</v>
      </c>
      <c r="Q41" s="1079">
        <v>0</v>
      </c>
      <c r="R41" s="1079">
        <v>0</v>
      </c>
      <c r="S41" s="1079">
        <v>1.34</v>
      </c>
      <c r="T41" s="1079">
        <v>0</v>
      </c>
      <c r="U41" s="1079">
        <v>0</v>
      </c>
      <c r="V41" s="1079">
        <v>0.22</v>
      </c>
      <c r="W41" s="1079">
        <v>0</v>
      </c>
      <c r="X41" s="1079"/>
      <c r="Y41" s="1079">
        <v>0</v>
      </c>
      <c r="Z41" s="1079">
        <v>0.33</v>
      </c>
      <c r="AC41" s="1103" t="s">
        <v>222</v>
      </c>
      <c r="AD41" s="1079">
        <v>0.71</v>
      </c>
      <c r="AE41" s="1079">
        <v>1.37</v>
      </c>
      <c r="AF41" s="1079">
        <v>1.34</v>
      </c>
      <c r="AG41" s="1079"/>
      <c r="AH41" s="1079">
        <v>0.33</v>
      </c>
    </row>
    <row r="42" spans="1:41">
      <c r="A42" s="1103" t="s">
        <v>231</v>
      </c>
      <c r="B42" s="1079">
        <v>0</v>
      </c>
      <c r="C42" s="1079">
        <v>0.02</v>
      </c>
      <c r="D42" s="1079">
        <v>0</v>
      </c>
      <c r="E42" s="1079">
        <v>0</v>
      </c>
      <c r="F42" s="1079">
        <v>0</v>
      </c>
      <c r="G42" s="1079">
        <v>85.09</v>
      </c>
      <c r="H42" s="1079">
        <v>0</v>
      </c>
      <c r="I42" s="1079">
        <v>0</v>
      </c>
      <c r="J42" s="1079">
        <v>0</v>
      </c>
      <c r="K42" s="1079">
        <v>0</v>
      </c>
      <c r="L42" s="1079">
        <v>0</v>
      </c>
      <c r="M42" s="1079">
        <v>0</v>
      </c>
      <c r="N42" s="1079">
        <v>12.35</v>
      </c>
      <c r="O42" s="1079">
        <v>0</v>
      </c>
      <c r="P42" s="1079">
        <v>0</v>
      </c>
      <c r="Q42" s="1079">
        <v>0</v>
      </c>
      <c r="R42" s="1079">
        <v>0</v>
      </c>
      <c r="S42" s="1079">
        <v>0.03</v>
      </c>
      <c r="T42" s="1079">
        <v>0</v>
      </c>
      <c r="U42" s="1079">
        <v>0</v>
      </c>
      <c r="V42" s="1079">
        <v>0.08</v>
      </c>
      <c r="W42" s="1079">
        <v>0</v>
      </c>
      <c r="X42" s="1079">
        <v>0.13</v>
      </c>
      <c r="Y42" s="1079">
        <v>0</v>
      </c>
      <c r="Z42" s="1079"/>
      <c r="AC42" s="1103" t="s">
        <v>231</v>
      </c>
      <c r="AD42" s="1079">
        <v>0</v>
      </c>
      <c r="AE42" s="1079">
        <v>12.35</v>
      </c>
      <c r="AF42" s="1079">
        <v>0.03</v>
      </c>
      <c r="AG42" s="1079">
        <v>0.13</v>
      </c>
      <c r="AH42" s="1079"/>
    </row>
    <row r="43" spans="1:41">
      <c r="A43" s="1103" t="s">
        <v>244</v>
      </c>
      <c r="B43" s="1079">
        <v>0</v>
      </c>
      <c r="C43" s="1079">
        <v>0.11</v>
      </c>
      <c r="D43" s="1079">
        <v>0</v>
      </c>
      <c r="E43" s="1079">
        <v>0</v>
      </c>
      <c r="F43" s="1079">
        <v>0.21</v>
      </c>
      <c r="G43" s="1079">
        <v>0</v>
      </c>
      <c r="H43" s="1079">
        <v>0</v>
      </c>
      <c r="I43" s="1079">
        <v>0</v>
      </c>
      <c r="J43" s="1079">
        <v>0</v>
      </c>
      <c r="K43" s="1079">
        <v>0</v>
      </c>
      <c r="L43" s="1079">
        <v>0</v>
      </c>
      <c r="M43" s="1079">
        <v>0.44</v>
      </c>
      <c r="N43" s="1079">
        <v>0</v>
      </c>
      <c r="O43" s="1079">
        <v>0</v>
      </c>
      <c r="P43" s="1079">
        <v>0</v>
      </c>
      <c r="Q43" s="1079">
        <v>0</v>
      </c>
      <c r="R43" s="1079">
        <v>0</v>
      </c>
      <c r="S43" s="1079">
        <v>0.15</v>
      </c>
      <c r="T43" s="1079">
        <v>0</v>
      </c>
      <c r="U43" s="1079">
        <v>0</v>
      </c>
      <c r="V43" s="1079">
        <v>0.27</v>
      </c>
      <c r="W43" s="1079">
        <v>0</v>
      </c>
      <c r="X43" s="1079">
        <v>0.16</v>
      </c>
      <c r="Y43" s="1079">
        <v>0</v>
      </c>
      <c r="Z43" s="1079">
        <v>0.49</v>
      </c>
      <c r="AC43" s="1103" t="s">
        <v>244</v>
      </c>
      <c r="AD43" s="1079">
        <v>0.44</v>
      </c>
      <c r="AE43" s="1079">
        <v>0</v>
      </c>
      <c r="AF43" s="1079">
        <v>0.15</v>
      </c>
      <c r="AG43" s="1079">
        <v>0.16</v>
      </c>
      <c r="AH43" s="1079">
        <v>0.49</v>
      </c>
    </row>
    <row r="44" spans="1:41">
      <c r="A44" s="1101" t="s">
        <v>253</v>
      </c>
      <c r="B44" s="1102">
        <v>22.22</v>
      </c>
      <c r="C44" s="1102">
        <v>28.7</v>
      </c>
      <c r="D44" s="1102">
        <v>37.06</v>
      </c>
      <c r="E44" s="1102">
        <v>0</v>
      </c>
      <c r="F44" s="1102">
        <v>21.68</v>
      </c>
      <c r="G44" s="1102">
        <v>7.4</v>
      </c>
      <c r="H44" s="1102">
        <v>0</v>
      </c>
      <c r="I44" s="1102">
        <v>0</v>
      </c>
      <c r="J44" s="1102">
        <v>43.85</v>
      </c>
      <c r="K44" s="1102">
        <v>55.47</v>
      </c>
      <c r="L44" s="1102">
        <v>49.86</v>
      </c>
      <c r="M44" s="1102">
        <v>42.86</v>
      </c>
      <c r="N44" s="1102">
        <v>20.02</v>
      </c>
      <c r="O44" s="1102">
        <v>0</v>
      </c>
      <c r="P44" s="1102">
        <v>17.239999999999998</v>
      </c>
      <c r="Q44" s="1102">
        <v>0</v>
      </c>
      <c r="R44" s="1102">
        <v>100</v>
      </c>
      <c r="S44" s="1102">
        <v>34.79</v>
      </c>
      <c r="T44" s="1102">
        <v>75</v>
      </c>
      <c r="U44" s="1102">
        <v>0</v>
      </c>
      <c r="V44" s="1102">
        <v>31.35</v>
      </c>
      <c r="W44" s="1102">
        <v>24.88</v>
      </c>
      <c r="X44" s="1102">
        <v>53.64</v>
      </c>
      <c r="Y44" s="1102">
        <v>95.83</v>
      </c>
      <c r="Z44" s="1102">
        <v>29.51</v>
      </c>
      <c r="AC44" s="1101" t="s">
        <v>253</v>
      </c>
      <c r="AD44" s="1102">
        <v>42.86</v>
      </c>
      <c r="AE44" s="1102">
        <v>20.02</v>
      </c>
      <c r="AF44" s="1102">
        <v>34.79</v>
      </c>
      <c r="AG44" s="1102">
        <v>53.64</v>
      </c>
      <c r="AH44" s="1102">
        <v>29.51</v>
      </c>
    </row>
    <row r="45" spans="1:41">
      <c r="A45" s="1101" t="s">
        <v>30</v>
      </c>
      <c r="B45" s="1102">
        <v>100</v>
      </c>
      <c r="C45" s="1102">
        <v>100</v>
      </c>
      <c r="D45" s="1102">
        <v>100</v>
      </c>
      <c r="E45" s="1102">
        <v>100</v>
      </c>
      <c r="F45" s="1102">
        <v>100</v>
      </c>
      <c r="G45" s="1102">
        <v>100</v>
      </c>
      <c r="H45" s="1102">
        <v>0</v>
      </c>
      <c r="I45" s="1102">
        <v>100</v>
      </c>
      <c r="J45" s="1102">
        <v>100</v>
      </c>
      <c r="K45" s="1102">
        <v>100</v>
      </c>
      <c r="L45" s="1102">
        <v>100</v>
      </c>
      <c r="M45" s="1102">
        <v>100</v>
      </c>
      <c r="N45" s="1102">
        <v>100</v>
      </c>
      <c r="O45" s="1102">
        <v>100</v>
      </c>
      <c r="P45" s="1102">
        <v>100</v>
      </c>
      <c r="Q45" s="1102">
        <v>100</v>
      </c>
      <c r="R45" s="1102">
        <v>100</v>
      </c>
      <c r="S45" s="1102">
        <v>100</v>
      </c>
      <c r="T45" s="1102">
        <v>100</v>
      </c>
      <c r="U45" s="1102">
        <v>0</v>
      </c>
      <c r="V45" s="1102">
        <v>100</v>
      </c>
      <c r="W45" s="1102">
        <v>100</v>
      </c>
      <c r="X45" s="1102">
        <v>100</v>
      </c>
      <c r="Y45" s="1102">
        <v>100</v>
      </c>
      <c r="Z45" s="1102">
        <v>100</v>
      </c>
      <c r="AC45" s="1101" t="s">
        <v>30</v>
      </c>
      <c r="AD45" s="1102">
        <v>100</v>
      </c>
      <c r="AE45" s="1102">
        <v>100</v>
      </c>
      <c r="AF45" s="1102">
        <v>100</v>
      </c>
      <c r="AG45" s="1102">
        <v>100</v>
      </c>
      <c r="AH45" s="1102">
        <v>100</v>
      </c>
    </row>
    <row r="46" spans="1:41">
      <c r="A46" s="1099" t="s">
        <v>248</v>
      </c>
      <c r="B46" s="1097" t="s">
        <v>233</v>
      </c>
      <c r="C46" s="1097" t="s">
        <v>220</v>
      </c>
      <c r="D46" s="1097" t="s">
        <v>223</v>
      </c>
      <c r="E46" s="1097" t="s">
        <v>249</v>
      </c>
      <c r="F46" s="1097" t="s">
        <v>221</v>
      </c>
      <c r="G46" s="1097" t="s">
        <v>234</v>
      </c>
      <c r="H46" s="1097" t="s">
        <v>242</v>
      </c>
      <c r="I46" s="1097" t="s">
        <v>225</v>
      </c>
      <c r="J46" s="1097" t="s">
        <v>236</v>
      </c>
      <c r="K46" s="1097" t="s">
        <v>227</v>
      </c>
      <c r="L46" s="1097" t="s">
        <v>2</v>
      </c>
      <c r="M46" s="1097" t="s">
        <v>232</v>
      </c>
      <c r="N46" s="1097" t="s">
        <v>230</v>
      </c>
      <c r="O46" s="1097" t="s">
        <v>3</v>
      </c>
      <c r="P46" s="1097" t="s">
        <v>235</v>
      </c>
      <c r="Q46" s="1097" t="s">
        <v>250</v>
      </c>
      <c r="R46" s="1097" t="s">
        <v>228</v>
      </c>
      <c r="S46" s="1097" t="s">
        <v>224</v>
      </c>
      <c r="T46" s="1097" t="s">
        <v>239</v>
      </c>
      <c r="U46" s="1097" t="s">
        <v>1033</v>
      </c>
      <c r="V46" s="1097" t="s">
        <v>219</v>
      </c>
      <c r="W46" s="1097" t="s">
        <v>229</v>
      </c>
      <c r="X46" s="1097" t="s">
        <v>222</v>
      </c>
      <c r="Y46" s="1097" t="s">
        <v>1018</v>
      </c>
      <c r="Z46" s="1097" t="s">
        <v>231</v>
      </c>
      <c r="AC46" s="1099" t="s">
        <v>248</v>
      </c>
      <c r="AD46" s="1097" t="s">
        <v>232</v>
      </c>
      <c r="AE46" s="1097" t="s">
        <v>230</v>
      </c>
      <c r="AF46" s="1097" t="s">
        <v>224</v>
      </c>
      <c r="AG46" s="1097" t="s">
        <v>222</v>
      </c>
      <c r="AH46" s="1097" t="s">
        <v>231</v>
      </c>
      <c r="AJ46" s="1099" t="s">
        <v>248</v>
      </c>
      <c r="AK46" s="1097" t="s">
        <v>232</v>
      </c>
      <c r="AL46" s="1097" t="s">
        <v>230</v>
      </c>
      <c r="AM46" s="1097" t="s">
        <v>224</v>
      </c>
      <c r="AN46" s="1097" t="s">
        <v>222</v>
      </c>
      <c r="AO46" s="1097" t="s">
        <v>231</v>
      </c>
    </row>
    <row r="47" spans="1:41">
      <c r="A47" s="1100" t="s">
        <v>1021</v>
      </c>
      <c r="B47" s="1079"/>
      <c r="C47" s="1079"/>
      <c r="D47" s="1079"/>
      <c r="E47" s="1079"/>
      <c r="F47" s="1079"/>
      <c r="G47" s="1079"/>
      <c r="H47" s="1079"/>
      <c r="I47" s="1079"/>
      <c r="J47" s="1079"/>
      <c r="K47" s="1079"/>
      <c r="L47" s="1079"/>
      <c r="M47" s="1079"/>
      <c r="N47" s="1079"/>
      <c r="O47" s="1079"/>
      <c r="P47" s="1079"/>
      <c r="Q47" s="1079"/>
      <c r="R47" s="1079"/>
      <c r="S47" s="1079"/>
      <c r="T47" s="1079"/>
      <c r="U47" s="1079"/>
      <c r="V47" s="1079"/>
      <c r="W47" s="1079"/>
      <c r="X47" s="1079"/>
      <c r="Y47" s="1079"/>
      <c r="Z47" s="1079"/>
      <c r="AC47" s="1100" t="s">
        <v>1021</v>
      </c>
      <c r="AD47" s="1079"/>
      <c r="AE47" s="1079"/>
      <c r="AF47" s="1079"/>
      <c r="AG47" s="1079"/>
      <c r="AH47" s="1079"/>
      <c r="AJ47" s="1101" t="s">
        <v>251</v>
      </c>
      <c r="AK47" s="1102">
        <v>37.14</v>
      </c>
      <c r="AL47" s="1102">
        <v>24.44</v>
      </c>
      <c r="AM47" s="1102">
        <v>34.32</v>
      </c>
      <c r="AN47" s="1102">
        <v>40.78</v>
      </c>
      <c r="AO47" s="1102">
        <v>17.95</v>
      </c>
    </row>
    <row r="48" spans="1:41">
      <c r="A48" s="1101" t="s">
        <v>251</v>
      </c>
      <c r="B48" s="1102">
        <v>48.21</v>
      </c>
      <c r="C48" s="1102">
        <v>33.18</v>
      </c>
      <c r="D48" s="1102">
        <v>44.68</v>
      </c>
      <c r="E48" s="1102">
        <v>42.77</v>
      </c>
      <c r="F48" s="1102">
        <v>33.08</v>
      </c>
      <c r="G48" s="1102">
        <v>45.87</v>
      </c>
      <c r="H48" s="1102">
        <v>0</v>
      </c>
      <c r="I48" s="1102">
        <v>84.19</v>
      </c>
      <c r="J48" s="1102">
        <v>14.29</v>
      </c>
      <c r="K48" s="1102">
        <v>14.48</v>
      </c>
      <c r="L48" s="1102">
        <v>27.83</v>
      </c>
      <c r="M48" s="1102">
        <v>37.14</v>
      </c>
      <c r="N48" s="1102">
        <v>24.44</v>
      </c>
      <c r="O48" s="1102">
        <v>77.56</v>
      </c>
      <c r="P48" s="1102">
        <v>48.78</v>
      </c>
      <c r="Q48" s="1102">
        <v>49.56</v>
      </c>
      <c r="R48" s="1102">
        <v>4.42</v>
      </c>
      <c r="S48" s="1102">
        <v>34.32</v>
      </c>
      <c r="T48" s="1102">
        <v>36</v>
      </c>
      <c r="U48" s="1102">
        <v>0</v>
      </c>
      <c r="V48" s="1102">
        <v>27.81</v>
      </c>
      <c r="W48" s="1102">
        <v>30.35</v>
      </c>
      <c r="X48" s="1102">
        <v>40.78</v>
      </c>
      <c r="Y48" s="1102">
        <v>0</v>
      </c>
      <c r="Z48" s="1102">
        <v>17.95</v>
      </c>
      <c r="AC48" s="1101" t="s">
        <v>251</v>
      </c>
      <c r="AD48" s="1102">
        <v>37.14</v>
      </c>
      <c r="AE48" s="1102">
        <v>24.44</v>
      </c>
      <c r="AF48" s="1102">
        <v>34.32</v>
      </c>
      <c r="AG48" s="1102">
        <v>40.78</v>
      </c>
      <c r="AH48" s="1102">
        <v>17.95</v>
      </c>
      <c r="AJ48" s="1101" t="s">
        <v>1116</v>
      </c>
      <c r="AK48" s="1102">
        <v>14.97</v>
      </c>
      <c r="AL48" s="1102">
        <v>4.62</v>
      </c>
      <c r="AM48" s="1102">
        <v>17.09</v>
      </c>
      <c r="AN48" s="1102">
        <v>17.010000000000002</v>
      </c>
      <c r="AO48" s="1102">
        <v>11.1</v>
      </c>
    </row>
    <row r="49" spans="1:41">
      <c r="A49" s="1101" t="s">
        <v>1116</v>
      </c>
      <c r="B49" s="1102">
        <v>32.14</v>
      </c>
      <c r="C49" s="1102">
        <v>19.02</v>
      </c>
      <c r="D49" s="1102">
        <v>22.81</v>
      </c>
      <c r="E49" s="1102">
        <v>33.119999999999997</v>
      </c>
      <c r="F49" s="1102">
        <v>14.23</v>
      </c>
      <c r="G49" s="1102">
        <v>0</v>
      </c>
      <c r="H49" s="1102">
        <v>0</v>
      </c>
      <c r="I49" s="1102">
        <v>9.6300000000000008</v>
      </c>
      <c r="J49" s="1102">
        <v>0</v>
      </c>
      <c r="K49" s="1102">
        <v>7.35</v>
      </c>
      <c r="L49" s="1102">
        <v>14.65</v>
      </c>
      <c r="M49" s="1102">
        <v>14.97</v>
      </c>
      <c r="N49" s="1102">
        <v>4.62</v>
      </c>
      <c r="O49" s="1102">
        <v>22.44</v>
      </c>
      <c r="P49" s="1102">
        <v>0</v>
      </c>
      <c r="Q49" s="1102">
        <v>0</v>
      </c>
      <c r="R49" s="1102">
        <v>0</v>
      </c>
      <c r="S49" s="1102">
        <v>17.09</v>
      </c>
      <c r="T49" s="1102">
        <v>28</v>
      </c>
      <c r="U49" s="1102">
        <v>0</v>
      </c>
      <c r="V49" s="1102">
        <v>22.51</v>
      </c>
      <c r="W49" s="1102">
        <v>5.15</v>
      </c>
      <c r="X49" s="1102">
        <v>17.010000000000002</v>
      </c>
      <c r="Y49" s="1102">
        <v>0</v>
      </c>
      <c r="Z49" s="1102">
        <v>11.1</v>
      </c>
      <c r="AC49" s="1101" t="s">
        <v>1116</v>
      </c>
      <c r="AD49" s="1102">
        <v>14.97</v>
      </c>
      <c r="AE49" s="1102">
        <v>4.62</v>
      </c>
      <c r="AF49" s="1102">
        <v>17.09</v>
      </c>
      <c r="AG49" s="1102">
        <v>17.010000000000002</v>
      </c>
      <c r="AH49" s="1102">
        <v>11.1</v>
      </c>
      <c r="AJ49" s="1101" t="s">
        <v>253</v>
      </c>
      <c r="AK49" s="1102">
        <v>47.89</v>
      </c>
      <c r="AL49" s="1102">
        <v>70.95</v>
      </c>
      <c r="AM49" s="1102">
        <v>48.59</v>
      </c>
      <c r="AN49" s="1102">
        <v>42.21</v>
      </c>
      <c r="AO49" s="1102">
        <v>70.959999999999994</v>
      </c>
    </row>
    <row r="50" spans="1:41">
      <c r="A50" s="1103" t="s">
        <v>233</v>
      </c>
      <c r="B50" s="1079"/>
      <c r="C50" s="1079">
        <v>0</v>
      </c>
      <c r="D50" s="1079">
        <v>0</v>
      </c>
      <c r="E50" s="1079">
        <v>0</v>
      </c>
      <c r="F50" s="1079">
        <v>0</v>
      </c>
      <c r="G50" s="1079">
        <v>0</v>
      </c>
      <c r="H50" s="1079">
        <v>0</v>
      </c>
      <c r="I50" s="1079">
        <v>0</v>
      </c>
      <c r="J50" s="1079">
        <v>0</v>
      </c>
      <c r="K50" s="1079">
        <v>0</v>
      </c>
      <c r="L50" s="1079">
        <v>0</v>
      </c>
      <c r="M50" s="1079">
        <v>0</v>
      </c>
      <c r="N50" s="1079">
        <v>0</v>
      </c>
      <c r="O50" s="1079">
        <v>0</v>
      </c>
      <c r="P50" s="1079">
        <v>0</v>
      </c>
      <c r="Q50" s="1079">
        <v>0</v>
      </c>
      <c r="R50" s="1079">
        <v>0</v>
      </c>
      <c r="S50" s="1079">
        <v>0</v>
      </c>
      <c r="T50" s="1079">
        <v>0</v>
      </c>
      <c r="U50" s="1079">
        <v>0</v>
      </c>
      <c r="V50" s="1079">
        <v>0.02</v>
      </c>
      <c r="W50" s="1079">
        <v>0</v>
      </c>
      <c r="X50" s="1079">
        <v>0</v>
      </c>
      <c r="Y50" s="1079">
        <v>0</v>
      </c>
      <c r="Z50" s="1079">
        <v>0</v>
      </c>
      <c r="AC50" s="1103" t="s">
        <v>233</v>
      </c>
      <c r="AD50" s="1079">
        <v>0</v>
      </c>
      <c r="AE50" s="1079">
        <v>0</v>
      </c>
      <c r="AF50" s="1079">
        <v>0</v>
      </c>
      <c r="AG50" s="1079">
        <v>0</v>
      </c>
      <c r="AH50" s="1079">
        <v>0</v>
      </c>
    </row>
    <row r="51" spans="1:41">
      <c r="A51" s="1103" t="s">
        <v>220</v>
      </c>
      <c r="B51" s="1079">
        <v>0</v>
      </c>
      <c r="C51" s="1079"/>
      <c r="D51" s="1079">
        <v>5.95</v>
      </c>
      <c r="E51" s="1079">
        <v>22.83</v>
      </c>
      <c r="F51" s="1079">
        <v>6.27</v>
      </c>
      <c r="G51" s="1079">
        <v>0</v>
      </c>
      <c r="H51" s="1079">
        <v>0</v>
      </c>
      <c r="I51" s="1079">
        <v>1.21</v>
      </c>
      <c r="J51" s="1079">
        <v>0</v>
      </c>
      <c r="K51" s="1079">
        <v>1.1100000000000001</v>
      </c>
      <c r="L51" s="1079">
        <v>6.03</v>
      </c>
      <c r="M51" s="1079">
        <v>5.81</v>
      </c>
      <c r="N51" s="1079">
        <v>0.77</v>
      </c>
      <c r="O51" s="1079">
        <v>22.44</v>
      </c>
      <c r="P51" s="1079">
        <v>0</v>
      </c>
      <c r="Q51" s="1079">
        <v>0</v>
      </c>
      <c r="R51" s="1079">
        <v>0</v>
      </c>
      <c r="S51" s="1079">
        <v>13.91</v>
      </c>
      <c r="T51" s="1079">
        <v>0</v>
      </c>
      <c r="U51" s="1079">
        <v>0</v>
      </c>
      <c r="V51" s="1079">
        <v>21.04</v>
      </c>
      <c r="W51" s="1079">
        <v>3.52</v>
      </c>
      <c r="X51" s="1079">
        <v>5.74</v>
      </c>
      <c r="Y51" s="1079">
        <v>0</v>
      </c>
      <c r="Z51" s="1079">
        <v>1.23</v>
      </c>
      <c r="AC51" s="1103" t="s">
        <v>220</v>
      </c>
      <c r="AD51" s="1079">
        <v>5.81</v>
      </c>
      <c r="AE51" s="1079">
        <v>0.77</v>
      </c>
      <c r="AF51" s="1079">
        <v>13.91</v>
      </c>
      <c r="AG51" s="1079">
        <v>5.74</v>
      </c>
      <c r="AH51" s="1079">
        <v>1.23</v>
      </c>
      <c r="AJ51" s="1103" t="s">
        <v>220</v>
      </c>
      <c r="AK51" s="1079">
        <v>5.81</v>
      </c>
      <c r="AL51" s="1079">
        <v>0.77</v>
      </c>
      <c r="AM51" s="1079">
        <v>13.91</v>
      </c>
      <c r="AN51" s="1079">
        <v>5.74</v>
      </c>
      <c r="AO51" s="1079">
        <v>1.23</v>
      </c>
    </row>
    <row r="52" spans="1:41">
      <c r="A52" s="1103" t="s">
        <v>223</v>
      </c>
      <c r="B52" s="1079">
        <v>0</v>
      </c>
      <c r="C52" s="1079">
        <v>1.35</v>
      </c>
      <c r="D52" s="1079"/>
      <c r="E52" s="1079">
        <v>0</v>
      </c>
      <c r="F52" s="1079">
        <v>0.57999999999999996</v>
      </c>
      <c r="G52" s="1079">
        <v>0</v>
      </c>
      <c r="H52" s="1079">
        <v>0</v>
      </c>
      <c r="I52" s="1079">
        <v>2.42</v>
      </c>
      <c r="J52" s="1079">
        <v>0</v>
      </c>
      <c r="K52" s="1079">
        <v>0</v>
      </c>
      <c r="L52" s="1079">
        <v>1.56</v>
      </c>
      <c r="M52" s="1079">
        <v>0</v>
      </c>
      <c r="N52" s="1079">
        <v>0</v>
      </c>
      <c r="O52" s="1079">
        <v>0</v>
      </c>
      <c r="P52" s="1079">
        <v>0</v>
      </c>
      <c r="Q52" s="1079">
        <v>0</v>
      </c>
      <c r="R52" s="1079">
        <v>0</v>
      </c>
      <c r="S52" s="1079">
        <v>0.05</v>
      </c>
      <c r="T52" s="1079">
        <v>0</v>
      </c>
      <c r="U52" s="1079">
        <v>0</v>
      </c>
      <c r="V52" s="1079">
        <v>0.31</v>
      </c>
      <c r="W52" s="1079">
        <v>0</v>
      </c>
      <c r="X52" s="1079">
        <v>0.19</v>
      </c>
      <c r="Y52" s="1079">
        <v>0</v>
      </c>
      <c r="Z52" s="1079">
        <v>0</v>
      </c>
      <c r="AC52" s="1103" t="s">
        <v>223</v>
      </c>
      <c r="AD52" s="1079">
        <v>0</v>
      </c>
      <c r="AE52" s="1079">
        <v>0</v>
      </c>
      <c r="AF52" s="1079">
        <v>0.05</v>
      </c>
      <c r="AG52" s="1079">
        <v>0.19</v>
      </c>
      <c r="AH52" s="1079">
        <v>0</v>
      </c>
      <c r="AJ52" s="1103" t="s">
        <v>232</v>
      </c>
      <c r="AK52" s="1079"/>
      <c r="AL52" s="1079">
        <v>0</v>
      </c>
      <c r="AM52" s="1079">
        <v>0.04</v>
      </c>
      <c r="AN52" s="1079">
        <v>0.28999999999999998</v>
      </c>
      <c r="AO52" s="1079">
        <v>5.62</v>
      </c>
    </row>
    <row r="53" spans="1:41">
      <c r="A53" s="1103" t="s">
        <v>249</v>
      </c>
      <c r="B53" s="1079">
        <v>0</v>
      </c>
      <c r="C53" s="1079">
        <v>0</v>
      </c>
      <c r="D53" s="1079">
        <v>0</v>
      </c>
      <c r="E53" s="1079"/>
      <c r="F53" s="1079">
        <v>0</v>
      </c>
      <c r="G53" s="1079">
        <v>0</v>
      </c>
      <c r="H53" s="1079">
        <v>0</v>
      </c>
      <c r="I53" s="1079">
        <v>0</v>
      </c>
      <c r="J53" s="1079">
        <v>0</v>
      </c>
      <c r="K53" s="1079">
        <v>0</v>
      </c>
      <c r="L53" s="1079">
        <v>0</v>
      </c>
      <c r="M53" s="1079">
        <v>0</v>
      </c>
      <c r="N53" s="1079">
        <v>0</v>
      </c>
      <c r="O53" s="1079">
        <v>0</v>
      </c>
      <c r="P53" s="1079">
        <v>0</v>
      </c>
      <c r="Q53" s="1079">
        <v>0</v>
      </c>
      <c r="R53" s="1079">
        <v>0</v>
      </c>
      <c r="S53" s="1079">
        <v>0</v>
      </c>
      <c r="T53" s="1079">
        <v>0</v>
      </c>
      <c r="U53" s="1079">
        <v>0</v>
      </c>
      <c r="V53" s="1079">
        <v>0</v>
      </c>
      <c r="W53" s="1079">
        <v>0</v>
      </c>
      <c r="X53" s="1079">
        <v>0.22</v>
      </c>
      <c r="Y53" s="1079">
        <v>0</v>
      </c>
      <c r="Z53" s="1079">
        <v>0</v>
      </c>
      <c r="AC53" s="1103" t="s">
        <v>249</v>
      </c>
      <c r="AD53" s="1079">
        <v>0</v>
      </c>
      <c r="AE53" s="1079">
        <v>0</v>
      </c>
      <c r="AF53" s="1079">
        <v>0</v>
      </c>
      <c r="AG53" s="1079">
        <v>0.22</v>
      </c>
      <c r="AH53" s="1079">
        <v>0</v>
      </c>
      <c r="AJ53" s="1103" t="s">
        <v>224</v>
      </c>
      <c r="AK53" s="1079">
        <v>1.32</v>
      </c>
      <c r="AL53" s="1079">
        <v>0.65</v>
      </c>
      <c r="AM53" s="1079"/>
      <c r="AN53" s="1079">
        <v>5.87</v>
      </c>
      <c r="AO53" s="1079">
        <v>1.23</v>
      </c>
    </row>
    <row r="54" spans="1:41">
      <c r="A54" s="1103" t="s">
        <v>221</v>
      </c>
      <c r="B54" s="1079">
        <v>0</v>
      </c>
      <c r="C54" s="1079">
        <v>0.31</v>
      </c>
      <c r="D54" s="1079">
        <v>2.2200000000000002</v>
      </c>
      <c r="E54" s="1079">
        <v>0</v>
      </c>
      <c r="F54" s="1079"/>
      <c r="G54" s="1079">
        <v>0</v>
      </c>
      <c r="H54" s="1079">
        <v>0</v>
      </c>
      <c r="I54" s="1079">
        <v>0</v>
      </c>
      <c r="J54" s="1079">
        <v>0</v>
      </c>
      <c r="K54" s="1079">
        <v>0</v>
      </c>
      <c r="L54" s="1079">
        <v>4.1900000000000004</v>
      </c>
      <c r="M54" s="1079">
        <v>0</v>
      </c>
      <c r="N54" s="1079">
        <v>0.12</v>
      </c>
      <c r="O54" s="1079">
        <v>0</v>
      </c>
      <c r="P54" s="1079">
        <v>0</v>
      </c>
      <c r="Q54" s="1079">
        <v>0</v>
      </c>
      <c r="R54" s="1079">
        <v>0</v>
      </c>
      <c r="S54" s="1079">
        <v>0.37</v>
      </c>
      <c r="T54" s="1079">
        <v>0</v>
      </c>
      <c r="U54" s="1079">
        <v>0</v>
      </c>
      <c r="V54" s="1079">
        <v>0.26</v>
      </c>
      <c r="W54" s="1079">
        <v>0</v>
      </c>
      <c r="X54" s="1079">
        <v>0.23</v>
      </c>
      <c r="Y54" s="1079">
        <v>0</v>
      </c>
      <c r="Z54" s="1079">
        <v>0</v>
      </c>
      <c r="AC54" s="1103" t="s">
        <v>221</v>
      </c>
      <c r="AD54" s="1079">
        <v>0</v>
      </c>
      <c r="AE54" s="1079">
        <v>0.12</v>
      </c>
      <c r="AF54" s="1079">
        <v>0.37</v>
      </c>
      <c r="AG54" s="1079">
        <v>0.23</v>
      </c>
      <c r="AH54" s="1079">
        <v>0</v>
      </c>
      <c r="AJ54" s="1103" t="s">
        <v>219</v>
      </c>
      <c r="AK54" s="1079">
        <v>0.87</v>
      </c>
      <c r="AL54" s="1079">
        <v>1.72</v>
      </c>
      <c r="AM54" s="1079">
        <v>1.34</v>
      </c>
      <c r="AN54" s="1079">
        <v>2.58</v>
      </c>
      <c r="AO54" s="1079">
        <v>1.37</v>
      </c>
    </row>
    <row r="55" spans="1:41">
      <c r="A55" s="1103" t="s">
        <v>225</v>
      </c>
      <c r="B55" s="1079">
        <v>0</v>
      </c>
      <c r="C55" s="1079">
        <v>0.01</v>
      </c>
      <c r="D55" s="1079">
        <v>0.03</v>
      </c>
      <c r="E55" s="1079">
        <v>0</v>
      </c>
      <c r="F55" s="1079">
        <v>0</v>
      </c>
      <c r="G55" s="1079">
        <v>0</v>
      </c>
      <c r="H55" s="1079">
        <v>0</v>
      </c>
      <c r="I55" s="1079"/>
      <c r="J55" s="1079">
        <v>0</v>
      </c>
      <c r="K55" s="1079">
        <v>0</v>
      </c>
      <c r="L55" s="1079">
        <v>0</v>
      </c>
      <c r="M55" s="1079">
        <v>0</v>
      </c>
      <c r="N55" s="1079">
        <v>0</v>
      </c>
      <c r="O55" s="1079">
        <v>0</v>
      </c>
      <c r="P55" s="1079">
        <v>0</v>
      </c>
      <c r="Q55" s="1079">
        <v>0</v>
      </c>
      <c r="R55" s="1079">
        <v>0</v>
      </c>
      <c r="S55" s="1079">
        <v>0</v>
      </c>
      <c r="T55" s="1079">
        <v>0</v>
      </c>
      <c r="U55" s="1079">
        <v>0</v>
      </c>
      <c r="V55" s="1079">
        <v>0</v>
      </c>
      <c r="W55" s="1079">
        <v>0</v>
      </c>
      <c r="X55" s="1079">
        <v>0</v>
      </c>
      <c r="Y55" s="1079">
        <v>0</v>
      </c>
      <c r="Z55" s="1079">
        <v>0</v>
      </c>
      <c r="AC55" s="1103" t="s">
        <v>225</v>
      </c>
      <c r="AD55" s="1079">
        <v>0</v>
      </c>
      <c r="AE55" s="1079">
        <v>0</v>
      </c>
      <c r="AF55" s="1079">
        <v>0</v>
      </c>
      <c r="AG55" s="1079">
        <v>0</v>
      </c>
      <c r="AH55" s="1079">
        <v>0</v>
      </c>
      <c r="AJ55" s="1103" t="s">
        <v>231</v>
      </c>
      <c r="AK55" s="1079">
        <v>2.09</v>
      </c>
      <c r="AL55" s="1079">
        <v>0.06</v>
      </c>
      <c r="AM55" s="1079">
        <v>0.1</v>
      </c>
      <c r="AN55" s="1079">
        <v>0.2</v>
      </c>
      <c r="AO55" s="1079"/>
    </row>
    <row r="56" spans="1:41">
      <c r="A56" s="1103" t="s">
        <v>227</v>
      </c>
      <c r="B56" s="1079">
        <v>0</v>
      </c>
      <c r="C56" s="1079">
        <v>0</v>
      </c>
      <c r="D56" s="1079">
        <v>0</v>
      </c>
      <c r="E56" s="1079">
        <v>0</v>
      </c>
      <c r="F56" s="1079">
        <v>0</v>
      </c>
      <c r="G56" s="1079">
        <v>0</v>
      </c>
      <c r="H56" s="1079">
        <v>0</v>
      </c>
      <c r="I56" s="1079">
        <v>0</v>
      </c>
      <c r="J56" s="1079">
        <v>0</v>
      </c>
      <c r="K56" s="1079"/>
      <c r="L56" s="1079">
        <v>0.28999999999999998</v>
      </c>
      <c r="M56" s="1079">
        <v>0.66</v>
      </c>
      <c r="N56" s="1079">
        <v>0</v>
      </c>
      <c r="O56" s="1079">
        <v>0</v>
      </c>
      <c r="P56" s="1079">
        <v>0</v>
      </c>
      <c r="Q56" s="1079">
        <v>0</v>
      </c>
      <c r="R56" s="1079">
        <v>0</v>
      </c>
      <c r="S56" s="1079">
        <v>0</v>
      </c>
      <c r="T56" s="1079">
        <v>0</v>
      </c>
      <c r="U56" s="1079">
        <v>0</v>
      </c>
      <c r="V56" s="1079">
        <v>0.01</v>
      </c>
      <c r="W56" s="1079">
        <v>0</v>
      </c>
      <c r="X56" s="1079">
        <v>0</v>
      </c>
      <c r="Y56" s="1079">
        <v>0</v>
      </c>
      <c r="Z56" s="1079">
        <v>0</v>
      </c>
      <c r="AC56" s="1103" t="s">
        <v>227</v>
      </c>
      <c r="AD56" s="1079">
        <v>0.66</v>
      </c>
      <c r="AE56" s="1079">
        <v>0</v>
      </c>
      <c r="AF56" s="1079">
        <v>0</v>
      </c>
      <c r="AG56" s="1079">
        <v>0</v>
      </c>
      <c r="AH56" s="1079">
        <v>0</v>
      </c>
    </row>
    <row r="57" spans="1:41">
      <c r="A57" s="1103" t="s">
        <v>2</v>
      </c>
      <c r="B57" s="1079">
        <v>0</v>
      </c>
      <c r="C57" s="1079">
        <v>0.51</v>
      </c>
      <c r="D57" s="1079">
        <v>0.65</v>
      </c>
      <c r="E57" s="1079">
        <v>0</v>
      </c>
      <c r="F57" s="1079">
        <v>5.24</v>
      </c>
      <c r="G57" s="1079">
        <v>0</v>
      </c>
      <c r="H57" s="1079">
        <v>0</v>
      </c>
      <c r="I57" s="1079">
        <v>0</v>
      </c>
      <c r="J57" s="1079">
        <v>0</v>
      </c>
      <c r="K57" s="1079">
        <v>2.4500000000000002</v>
      </c>
      <c r="L57" s="1079"/>
      <c r="M57" s="1079">
        <v>0</v>
      </c>
      <c r="N57" s="1079">
        <v>0</v>
      </c>
      <c r="O57" s="1079">
        <v>0</v>
      </c>
      <c r="P57" s="1079">
        <v>0</v>
      </c>
      <c r="Q57" s="1079">
        <v>0</v>
      </c>
      <c r="R57" s="1079">
        <v>0</v>
      </c>
      <c r="S57" s="1079">
        <v>0.19</v>
      </c>
      <c r="T57" s="1079">
        <v>0</v>
      </c>
      <c r="U57" s="1079">
        <v>0</v>
      </c>
      <c r="V57" s="1079">
        <v>0.09</v>
      </c>
      <c r="W57" s="1079">
        <v>0</v>
      </c>
      <c r="X57" s="1079">
        <v>0</v>
      </c>
      <c r="Y57" s="1079">
        <v>0</v>
      </c>
      <c r="Z57" s="1079">
        <v>0</v>
      </c>
      <c r="AC57" s="1103" t="s">
        <v>2</v>
      </c>
      <c r="AD57" s="1079">
        <v>0</v>
      </c>
      <c r="AE57" s="1079">
        <v>0</v>
      </c>
      <c r="AF57" s="1079">
        <v>0.19</v>
      </c>
      <c r="AG57" s="1079">
        <v>0</v>
      </c>
      <c r="AH57" s="1079">
        <v>0</v>
      </c>
    </row>
    <row r="58" spans="1:41">
      <c r="A58" s="1103" t="s">
        <v>232</v>
      </c>
      <c r="B58" s="1079">
        <v>0</v>
      </c>
      <c r="C58" s="1079">
        <v>7.0000000000000007E-2</v>
      </c>
      <c r="D58" s="1079">
        <v>0</v>
      </c>
      <c r="E58" s="1079">
        <v>0</v>
      </c>
      <c r="F58" s="1079">
        <v>0</v>
      </c>
      <c r="G58" s="1079">
        <v>0</v>
      </c>
      <c r="H58" s="1079">
        <v>0</v>
      </c>
      <c r="I58" s="1079">
        <v>0</v>
      </c>
      <c r="J58" s="1079">
        <v>0</v>
      </c>
      <c r="K58" s="1079">
        <v>2.23</v>
      </c>
      <c r="L58" s="1079">
        <v>0</v>
      </c>
      <c r="M58" s="1079"/>
      <c r="N58" s="1079">
        <v>0</v>
      </c>
      <c r="O58" s="1079">
        <v>0</v>
      </c>
      <c r="P58" s="1079">
        <v>0</v>
      </c>
      <c r="Q58" s="1079">
        <v>0</v>
      </c>
      <c r="R58" s="1079">
        <v>0</v>
      </c>
      <c r="S58" s="1079">
        <v>0.04</v>
      </c>
      <c r="T58" s="1079">
        <v>0</v>
      </c>
      <c r="U58" s="1079">
        <v>0</v>
      </c>
      <c r="V58" s="1079">
        <v>0.01</v>
      </c>
      <c r="W58" s="1079">
        <v>0</v>
      </c>
      <c r="X58" s="1079">
        <v>0.28999999999999998</v>
      </c>
      <c r="Y58" s="1079">
        <v>0</v>
      </c>
      <c r="Z58" s="1079">
        <v>5.62</v>
      </c>
      <c r="AC58" s="1103" t="s">
        <v>232</v>
      </c>
      <c r="AD58" s="1079"/>
      <c r="AE58" s="1079">
        <v>0</v>
      </c>
      <c r="AF58" s="1079">
        <v>0.04</v>
      </c>
      <c r="AG58" s="1079">
        <v>0.28999999999999998</v>
      </c>
      <c r="AH58" s="1079">
        <v>5.62</v>
      </c>
    </row>
    <row r="59" spans="1:41">
      <c r="A59" s="1103" t="s">
        <v>230</v>
      </c>
      <c r="B59" s="1079">
        <v>0</v>
      </c>
      <c r="C59" s="1079">
        <v>0.32</v>
      </c>
      <c r="D59" s="1079">
        <v>0</v>
      </c>
      <c r="E59" s="1079">
        <v>0</v>
      </c>
      <c r="F59" s="1079">
        <v>0.01</v>
      </c>
      <c r="G59" s="1079">
        <v>0</v>
      </c>
      <c r="H59" s="1079">
        <v>0</v>
      </c>
      <c r="I59" s="1079">
        <v>0</v>
      </c>
      <c r="J59" s="1079">
        <v>0</v>
      </c>
      <c r="K59" s="1079">
        <v>0</v>
      </c>
      <c r="L59" s="1079">
        <v>0</v>
      </c>
      <c r="M59" s="1079">
        <v>0</v>
      </c>
      <c r="N59" s="1079"/>
      <c r="O59" s="1079">
        <v>0</v>
      </c>
      <c r="P59" s="1079">
        <v>0</v>
      </c>
      <c r="Q59" s="1079">
        <v>0</v>
      </c>
      <c r="R59" s="1079">
        <v>0</v>
      </c>
      <c r="S59" s="1079">
        <v>0.05</v>
      </c>
      <c r="T59" s="1079">
        <v>0</v>
      </c>
      <c r="U59" s="1079">
        <v>0</v>
      </c>
      <c r="V59" s="1079">
        <v>0.01</v>
      </c>
      <c r="W59" s="1079">
        <v>0</v>
      </c>
      <c r="X59" s="1079">
        <v>0.23</v>
      </c>
      <c r="Y59" s="1079">
        <v>0</v>
      </c>
      <c r="Z59" s="1079">
        <v>0.68</v>
      </c>
      <c r="AC59" s="1103" t="s">
        <v>230</v>
      </c>
      <c r="AD59" s="1079">
        <v>0</v>
      </c>
      <c r="AE59" s="1079"/>
      <c r="AF59" s="1079">
        <v>0.05</v>
      </c>
      <c r="AG59" s="1079">
        <v>0.23</v>
      </c>
      <c r="AH59" s="1079">
        <v>0.68</v>
      </c>
    </row>
    <row r="60" spans="1:41">
      <c r="A60" s="1103" t="s">
        <v>224</v>
      </c>
      <c r="B60" s="1079">
        <v>0</v>
      </c>
      <c r="C60" s="1079">
        <v>3.71</v>
      </c>
      <c r="D60" s="1079">
        <v>0.27</v>
      </c>
      <c r="E60" s="1079">
        <v>0</v>
      </c>
      <c r="F60" s="1079">
        <v>0.62</v>
      </c>
      <c r="G60" s="1079">
        <v>0</v>
      </c>
      <c r="H60" s="1079">
        <v>0</v>
      </c>
      <c r="I60" s="1079">
        <v>0</v>
      </c>
      <c r="J60" s="1079">
        <v>0</v>
      </c>
      <c r="K60" s="1079">
        <v>0</v>
      </c>
      <c r="L60" s="1079">
        <v>0.46</v>
      </c>
      <c r="M60" s="1079">
        <v>1.32</v>
      </c>
      <c r="N60" s="1079">
        <v>0.65</v>
      </c>
      <c r="O60" s="1079">
        <v>0</v>
      </c>
      <c r="P60" s="1079">
        <v>0</v>
      </c>
      <c r="Q60" s="1079">
        <v>0</v>
      </c>
      <c r="R60" s="1079">
        <v>0</v>
      </c>
      <c r="S60" s="1079"/>
      <c r="T60" s="1079">
        <v>0</v>
      </c>
      <c r="U60" s="1079">
        <v>0</v>
      </c>
      <c r="V60" s="1079">
        <v>0.69</v>
      </c>
      <c r="W60" s="1079">
        <v>1.08</v>
      </c>
      <c r="X60" s="1079">
        <v>5.87</v>
      </c>
      <c r="Y60" s="1079">
        <v>0</v>
      </c>
      <c r="Z60" s="1079">
        <v>1.23</v>
      </c>
      <c r="AC60" s="1103" t="s">
        <v>224</v>
      </c>
      <c r="AD60" s="1079">
        <v>1.32</v>
      </c>
      <c r="AE60" s="1079">
        <v>0.65</v>
      </c>
      <c r="AF60" s="1079"/>
      <c r="AG60" s="1079">
        <v>5.87</v>
      </c>
      <c r="AH60" s="1079">
        <v>1.23</v>
      </c>
    </row>
    <row r="61" spans="1:41">
      <c r="A61" s="1103" t="s">
        <v>239</v>
      </c>
      <c r="B61" s="1079">
        <v>0</v>
      </c>
      <c r="C61" s="1079">
        <v>0</v>
      </c>
      <c r="D61" s="1079">
        <v>0</v>
      </c>
      <c r="E61" s="1079">
        <v>0</v>
      </c>
      <c r="F61" s="1079">
        <v>0</v>
      </c>
      <c r="G61" s="1079">
        <v>0</v>
      </c>
      <c r="H61" s="1079">
        <v>0</v>
      </c>
      <c r="I61" s="1079">
        <v>0</v>
      </c>
      <c r="J61" s="1079">
        <v>0</v>
      </c>
      <c r="K61" s="1079">
        <v>0</v>
      </c>
      <c r="L61" s="1079">
        <v>0</v>
      </c>
      <c r="M61" s="1079">
        <v>0</v>
      </c>
      <c r="N61" s="1079">
        <v>0</v>
      </c>
      <c r="O61" s="1079">
        <v>0</v>
      </c>
      <c r="P61" s="1079">
        <v>0</v>
      </c>
      <c r="Q61" s="1079">
        <v>0</v>
      </c>
      <c r="R61" s="1079">
        <v>0</v>
      </c>
      <c r="S61" s="1079">
        <v>0</v>
      </c>
      <c r="T61" s="1079"/>
      <c r="U61" s="1079">
        <v>0</v>
      </c>
      <c r="V61" s="1079">
        <v>0</v>
      </c>
      <c r="W61" s="1079">
        <v>0</v>
      </c>
      <c r="X61" s="1079">
        <v>0.63</v>
      </c>
      <c r="Y61" s="1079">
        <v>0</v>
      </c>
      <c r="Z61" s="1079">
        <v>0</v>
      </c>
      <c r="AC61" s="1103" t="s">
        <v>239</v>
      </c>
      <c r="AD61" s="1079">
        <v>0</v>
      </c>
      <c r="AE61" s="1079">
        <v>0</v>
      </c>
      <c r="AF61" s="1079">
        <v>0</v>
      </c>
      <c r="AG61" s="1079">
        <v>0.63</v>
      </c>
      <c r="AH61" s="1079">
        <v>0</v>
      </c>
    </row>
    <row r="62" spans="1:41">
      <c r="A62" s="1103" t="s">
        <v>219</v>
      </c>
      <c r="B62" s="1079">
        <v>32.14</v>
      </c>
      <c r="C62" s="1079">
        <v>11.59</v>
      </c>
      <c r="D62" s="1079">
        <v>13.37</v>
      </c>
      <c r="E62" s="1079">
        <v>0</v>
      </c>
      <c r="F62" s="1079">
        <v>1.32</v>
      </c>
      <c r="G62" s="1079">
        <v>0</v>
      </c>
      <c r="H62" s="1079">
        <v>0</v>
      </c>
      <c r="I62" s="1079">
        <v>0</v>
      </c>
      <c r="J62" s="1079">
        <v>0</v>
      </c>
      <c r="K62" s="1079">
        <v>1.1100000000000001</v>
      </c>
      <c r="L62" s="1079">
        <v>2.1</v>
      </c>
      <c r="M62" s="1079">
        <v>0.87</v>
      </c>
      <c r="N62" s="1079">
        <v>1.72</v>
      </c>
      <c r="O62" s="1079">
        <v>0</v>
      </c>
      <c r="P62" s="1079">
        <v>0</v>
      </c>
      <c r="Q62" s="1079">
        <v>0</v>
      </c>
      <c r="R62" s="1079">
        <v>0</v>
      </c>
      <c r="S62" s="1079">
        <v>1.34</v>
      </c>
      <c r="T62" s="1079">
        <v>0</v>
      </c>
      <c r="U62" s="1079">
        <v>0</v>
      </c>
      <c r="V62" s="1079"/>
      <c r="W62" s="1079">
        <v>0</v>
      </c>
      <c r="X62" s="1079">
        <v>2.58</v>
      </c>
      <c r="Y62" s="1079">
        <v>0</v>
      </c>
      <c r="Z62" s="1079">
        <v>1.37</v>
      </c>
      <c r="AC62" s="1103" t="s">
        <v>219</v>
      </c>
      <c r="AD62" s="1079">
        <v>0.87</v>
      </c>
      <c r="AE62" s="1079">
        <v>1.72</v>
      </c>
      <c r="AF62" s="1079">
        <v>1.34</v>
      </c>
      <c r="AG62" s="1079">
        <v>2.58</v>
      </c>
      <c r="AH62" s="1079">
        <v>1.37</v>
      </c>
    </row>
    <row r="63" spans="1:41">
      <c r="A63" s="1103" t="s">
        <v>229</v>
      </c>
      <c r="B63" s="1079">
        <v>0</v>
      </c>
      <c r="C63" s="1079">
        <v>0.45</v>
      </c>
      <c r="D63" s="1079">
        <v>0</v>
      </c>
      <c r="E63" s="1079">
        <v>0</v>
      </c>
      <c r="F63" s="1079">
        <v>0</v>
      </c>
      <c r="G63" s="1079">
        <v>0</v>
      </c>
      <c r="H63" s="1079">
        <v>0</v>
      </c>
      <c r="I63" s="1079">
        <v>0</v>
      </c>
      <c r="J63" s="1079">
        <v>0</v>
      </c>
      <c r="K63" s="1079">
        <v>0</v>
      </c>
      <c r="L63" s="1079">
        <v>0</v>
      </c>
      <c r="M63" s="1079">
        <v>0</v>
      </c>
      <c r="N63" s="1079">
        <v>0</v>
      </c>
      <c r="O63" s="1079">
        <v>0</v>
      </c>
      <c r="P63" s="1079">
        <v>0</v>
      </c>
      <c r="Q63" s="1079">
        <v>0</v>
      </c>
      <c r="R63" s="1079">
        <v>0</v>
      </c>
      <c r="S63" s="1079">
        <v>0.01</v>
      </c>
      <c r="T63" s="1079">
        <v>0</v>
      </c>
      <c r="U63" s="1079">
        <v>0</v>
      </c>
      <c r="V63" s="1079">
        <v>0</v>
      </c>
      <c r="W63" s="1079"/>
      <c r="X63" s="1079">
        <v>0.32</v>
      </c>
      <c r="Y63" s="1079">
        <v>0</v>
      </c>
      <c r="Z63" s="1079">
        <v>0</v>
      </c>
      <c r="AC63" s="1103" t="s">
        <v>229</v>
      </c>
      <c r="AD63" s="1079">
        <v>0</v>
      </c>
      <c r="AE63" s="1079">
        <v>0</v>
      </c>
      <c r="AF63" s="1079">
        <v>0.01</v>
      </c>
      <c r="AG63" s="1079">
        <v>0.32</v>
      </c>
      <c r="AH63" s="1079">
        <v>0</v>
      </c>
    </row>
    <row r="64" spans="1:41">
      <c r="A64" s="1103" t="s">
        <v>222</v>
      </c>
      <c r="B64" s="1079">
        <v>0</v>
      </c>
      <c r="C64" s="1079">
        <v>0.49</v>
      </c>
      <c r="D64" s="1079">
        <v>0.32</v>
      </c>
      <c r="E64" s="1079">
        <v>10.29</v>
      </c>
      <c r="F64" s="1079">
        <v>0.19</v>
      </c>
      <c r="G64" s="1079">
        <v>0</v>
      </c>
      <c r="H64" s="1079">
        <v>0</v>
      </c>
      <c r="I64" s="1079">
        <v>0</v>
      </c>
      <c r="J64" s="1079">
        <v>0</v>
      </c>
      <c r="K64" s="1079">
        <v>0</v>
      </c>
      <c r="L64" s="1079">
        <v>0</v>
      </c>
      <c r="M64" s="1079">
        <v>2.35</v>
      </c>
      <c r="N64" s="1079">
        <v>1.3</v>
      </c>
      <c r="O64" s="1079">
        <v>0</v>
      </c>
      <c r="P64" s="1079">
        <v>0</v>
      </c>
      <c r="Q64" s="1079">
        <v>0</v>
      </c>
      <c r="R64" s="1079">
        <v>0</v>
      </c>
      <c r="S64" s="1079">
        <v>0.66</v>
      </c>
      <c r="T64" s="1079">
        <v>28</v>
      </c>
      <c r="U64" s="1079">
        <v>0</v>
      </c>
      <c r="V64" s="1079">
        <v>0.05</v>
      </c>
      <c r="W64" s="1079">
        <v>0.54</v>
      </c>
      <c r="X64" s="1079"/>
      <c r="Y64" s="1079">
        <v>0</v>
      </c>
      <c r="Z64" s="1079">
        <v>0.96</v>
      </c>
      <c r="AC64" s="1103" t="s">
        <v>222</v>
      </c>
      <c r="AD64" s="1079">
        <v>2.35</v>
      </c>
      <c r="AE64" s="1079">
        <v>1.3</v>
      </c>
      <c r="AF64" s="1079">
        <v>0.66</v>
      </c>
      <c r="AG64" s="1079"/>
      <c r="AH64" s="1079">
        <v>0.96</v>
      </c>
    </row>
    <row r="65" spans="1:41">
      <c r="A65" s="1103" t="s">
        <v>231</v>
      </c>
      <c r="B65" s="1079">
        <v>0</v>
      </c>
      <c r="C65" s="1079">
        <v>0.14000000000000001</v>
      </c>
      <c r="D65" s="1079">
        <v>0</v>
      </c>
      <c r="E65" s="1079">
        <v>0</v>
      </c>
      <c r="F65" s="1079">
        <v>0</v>
      </c>
      <c r="G65" s="1079">
        <v>0</v>
      </c>
      <c r="H65" s="1079">
        <v>0</v>
      </c>
      <c r="I65" s="1079">
        <v>0</v>
      </c>
      <c r="J65" s="1079">
        <v>0</v>
      </c>
      <c r="K65" s="1079">
        <v>0</v>
      </c>
      <c r="L65" s="1079">
        <v>0</v>
      </c>
      <c r="M65" s="1079">
        <v>2.09</v>
      </c>
      <c r="N65" s="1079">
        <v>0.06</v>
      </c>
      <c r="O65" s="1079">
        <v>0</v>
      </c>
      <c r="P65" s="1079">
        <v>0</v>
      </c>
      <c r="Q65" s="1079">
        <v>0</v>
      </c>
      <c r="R65" s="1079">
        <v>0</v>
      </c>
      <c r="S65" s="1079">
        <v>0.1</v>
      </c>
      <c r="T65" s="1079">
        <v>0</v>
      </c>
      <c r="U65" s="1079">
        <v>0</v>
      </c>
      <c r="V65" s="1079">
        <v>0</v>
      </c>
      <c r="W65" s="1079">
        <v>0</v>
      </c>
      <c r="X65" s="1079">
        <v>0.2</v>
      </c>
      <c r="Y65" s="1079">
        <v>0</v>
      </c>
      <c r="Z65" s="1079"/>
      <c r="AC65" s="1103" t="s">
        <v>231</v>
      </c>
      <c r="AD65" s="1079">
        <v>2.09</v>
      </c>
      <c r="AE65" s="1079">
        <v>0.06</v>
      </c>
      <c r="AF65" s="1079">
        <v>0.1</v>
      </c>
      <c r="AG65" s="1079">
        <v>0.2</v>
      </c>
      <c r="AH65" s="1079"/>
    </row>
    <row r="66" spans="1:41">
      <c r="A66" s="1103" t="s">
        <v>244</v>
      </c>
      <c r="B66" s="1079">
        <v>0</v>
      </c>
      <c r="C66" s="1079">
        <v>7.0000000000000007E-2</v>
      </c>
      <c r="D66" s="1079">
        <v>0</v>
      </c>
      <c r="E66" s="1079">
        <v>0</v>
      </c>
      <c r="F66" s="1079">
        <v>0</v>
      </c>
      <c r="G66" s="1079">
        <v>0</v>
      </c>
      <c r="H66" s="1079">
        <v>0</v>
      </c>
      <c r="I66" s="1079">
        <v>6</v>
      </c>
      <c r="J66" s="1079">
        <v>0</v>
      </c>
      <c r="K66" s="1079">
        <v>0.45</v>
      </c>
      <c r="L66" s="1079">
        <v>0.02</v>
      </c>
      <c r="M66" s="1079">
        <v>1.87</v>
      </c>
      <c r="N66" s="1079">
        <v>0</v>
      </c>
      <c r="O66" s="1079">
        <v>0</v>
      </c>
      <c r="P66" s="1079">
        <v>0</v>
      </c>
      <c r="Q66" s="1079">
        <v>0</v>
      </c>
      <c r="R66" s="1079">
        <v>0</v>
      </c>
      <c r="S66" s="1079">
        <v>0.37</v>
      </c>
      <c r="T66" s="1079">
        <v>0</v>
      </c>
      <c r="U66" s="1079">
        <v>0</v>
      </c>
      <c r="V66" s="1079">
        <v>0.02</v>
      </c>
      <c r="W66" s="1079">
        <v>0.01</v>
      </c>
      <c r="X66" s="1079">
        <v>0.51</v>
      </c>
      <c r="Y66" s="1079">
        <v>0</v>
      </c>
      <c r="Z66" s="1079">
        <v>0.01</v>
      </c>
      <c r="AC66" s="1103" t="s">
        <v>244</v>
      </c>
      <c r="AD66" s="1079">
        <v>1.87</v>
      </c>
      <c r="AE66" s="1079">
        <v>0</v>
      </c>
      <c r="AF66" s="1079">
        <v>0.37</v>
      </c>
      <c r="AG66" s="1079">
        <v>0.51</v>
      </c>
      <c r="AH66" s="1079">
        <v>0.01</v>
      </c>
    </row>
    <row r="67" spans="1:41">
      <c r="A67" s="1101" t="s">
        <v>253</v>
      </c>
      <c r="B67" s="1102">
        <v>19.64</v>
      </c>
      <c r="C67" s="1102">
        <v>47.8</v>
      </c>
      <c r="D67" s="1102">
        <v>32.51</v>
      </c>
      <c r="E67" s="1102">
        <v>24.12</v>
      </c>
      <c r="F67" s="1102">
        <v>52.69</v>
      </c>
      <c r="G67" s="1102">
        <v>54.13</v>
      </c>
      <c r="H67" s="1102">
        <v>0</v>
      </c>
      <c r="I67" s="1102">
        <v>6.18</v>
      </c>
      <c r="J67" s="1102">
        <v>85.71</v>
      </c>
      <c r="K67" s="1102">
        <v>78.17</v>
      </c>
      <c r="L67" s="1102">
        <v>57.51</v>
      </c>
      <c r="M67" s="1102">
        <v>47.89</v>
      </c>
      <c r="N67" s="1102">
        <v>70.95</v>
      </c>
      <c r="O67" s="1102">
        <v>0</v>
      </c>
      <c r="P67" s="1102">
        <v>51.22</v>
      </c>
      <c r="Q67" s="1102">
        <v>50.44</v>
      </c>
      <c r="R67" s="1102">
        <v>95.58</v>
      </c>
      <c r="S67" s="1102">
        <v>48.59</v>
      </c>
      <c r="T67" s="1102">
        <v>36</v>
      </c>
      <c r="U67" s="1102">
        <v>0</v>
      </c>
      <c r="V67" s="1102">
        <v>49.68</v>
      </c>
      <c r="W67" s="1102">
        <v>64.5</v>
      </c>
      <c r="X67" s="1102">
        <v>42.21</v>
      </c>
      <c r="Y67" s="1102">
        <v>100</v>
      </c>
      <c r="Z67" s="1102">
        <v>70.959999999999994</v>
      </c>
      <c r="AC67" s="1101" t="s">
        <v>253</v>
      </c>
      <c r="AD67" s="1102">
        <v>47.89</v>
      </c>
      <c r="AE67" s="1102">
        <v>70.95</v>
      </c>
      <c r="AF67" s="1102">
        <v>48.59</v>
      </c>
      <c r="AG67" s="1102">
        <v>42.21</v>
      </c>
      <c r="AH67" s="1102">
        <v>70.959999999999994</v>
      </c>
    </row>
    <row r="68" spans="1:41">
      <c r="A68" s="1101" t="s">
        <v>30</v>
      </c>
      <c r="B68" s="1102">
        <v>100</v>
      </c>
      <c r="C68" s="1102">
        <v>100</v>
      </c>
      <c r="D68" s="1102">
        <v>100</v>
      </c>
      <c r="E68" s="1102">
        <v>100</v>
      </c>
      <c r="F68" s="1102">
        <v>100</v>
      </c>
      <c r="G68" s="1102">
        <v>100</v>
      </c>
      <c r="H68" s="1102">
        <v>0</v>
      </c>
      <c r="I68" s="1102">
        <v>100</v>
      </c>
      <c r="J68" s="1102">
        <v>100</v>
      </c>
      <c r="K68" s="1102">
        <v>100</v>
      </c>
      <c r="L68" s="1102">
        <v>100</v>
      </c>
      <c r="M68" s="1102">
        <v>100</v>
      </c>
      <c r="N68" s="1102">
        <v>100</v>
      </c>
      <c r="O68" s="1102">
        <v>100</v>
      </c>
      <c r="P68" s="1102">
        <v>100</v>
      </c>
      <c r="Q68" s="1102">
        <v>100</v>
      </c>
      <c r="R68" s="1102">
        <v>100</v>
      </c>
      <c r="S68" s="1102">
        <v>100</v>
      </c>
      <c r="T68" s="1102">
        <v>100</v>
      </c>
      <c r="U68" s="1102">
        <v>0</v>
      </c>
      <c r="V68" s="1102">
        <v>100</v>
      </c>
      <c r="W68" s="1102">
        <v>100</v>
      </c>
      <c r="X68" s="1102">
        <v>100</v>
      </c>
      <c r="Y68" s="1102">
        <v>100</v>
      </c>
      <c r="Z68" s="1102">
        <v>100</v>
      </c>
      <c r="AC68" s="1101" t="s">
        <v>30</v>
      </c>
      <c r="AD68" s="1102">
        <v>100</v>
      </c>
      <c r="AE68" s="1102">
        <v>100</v>
      </c>
      <c r="AF68" s="1102">
        <v>100</v>
      </c>
      <c r="AG68" s="1102">
        <v>100</v>
      </c>
      <c r="AH68" s="1102">
        <v>100</v>
      </c>
    </row>
    <row r="69" spans="1:41">
      <c r="A69" s="1099" t="s">
        <v>248</v>
      </c>
      <c r="B69" s="1097" t="s">
        <v>233</v>
      </c>
      <c r="C69" s="1097" t="s">
        <v>220</v>
      </c>
      <c r="D69" s="1097" t="s">
        <v>223</v>
      </c>
      <c r="E69" s="1097" t="s">
        <v>249</v>
      </c>
      <c r="F69" s="1097" t="s">
        <v>221</v>
      </c>
      <c r="G69" s="1097" t="s">
        <v>234</v>
      </c>
      <c r="H69" s="1097" t="s">
        <v>242</v>
      </c>
      <c r="I69" s="1097" t="s">
        <v>225</v>
      </c>
      <c r="J69" s="1097" t="s">
        <v>236</v>
      </c>
      <c r="K69" s="1097" t="s">
        <v>227</v>
      </c>
      <c r="L69" s="1097" t="s">
        <v>2</v>
      </c>
      <c r="M69" s="1097" t="s">
        <v>232</v>
      </c>
      <c r="N69" s="1097" t="s">
        <v>230</v>
      </c>
      <c r="O69" s="1097" t="s">
        <v>3</v>
      </c>
      <c r="P69" s="1097" t="s">
        <v>235</v>
      </c>
      <c r="Q69" s="1097" t="s">
        <v>250</v>
      </c>
      <c r="R69" s="1097" t="s">
        <v>228</v>
      </c>
      <c r="S69" s="1097" t="s">
        <v>224</v>
      </c>
      <c r="T69" s="1097" t="s">
        <v>239</v>
      </c>
      <c r="U69" s="1097" t="s">
        <v>1033</v>
      </c>
      <c r="V69" s="1097" t="s">
        <v>219</v>
      </c>
      <c r="W69" s="1097" t="s">
        <v>229</v>
      </c>
      <c r="X69" s="1097" t="s">
        <v>222</v>
      </c>
      <c r="Y69" s="1097" t="s">
        <v>1018</v>
      </c>
      <c r="Z69" s="1097" t="s">
        <v>231</v>
      </c>
      <c r="AC69" s="1099" t="s">
        <v>248</v>
      </c>
      <c r="AD69" s="1097" t="s">
        <v>232</v>
      </c>
      <c r="AE69" s="1097" t="s">
        <v>230</v>
      </c>
      <c r="AF69" s="1097" t="s">
        <v>224</v>
      </c>
      <c r="AG69" s="1097" t="s">
        <v>222</v>
      </c>
      <c r="AH69" s="1097" t="s">
        <v>231</v>
      </c>
      <c r="AJ69" s="1099" t="s">
        <v>248</v>
      </c>
      <c r="AK69" s="1097" t="s">
        <v>232</v>
      </c>
      <c r="AL69" s="1097" t="s">
        <v>230</v>
      </c>
      <c r="AM69" s="1097" t="s">
        <v>224</v>
      </c>
      <c r="AN69" s="1097" t="s">
        <v>222</v>
      </c>
      <c r="AO69" s="1097" t="s">
        <v>231</v>
      </c>
    </row>
    <row r="70" spans="1:41">
      <c r="A70" s="1100" t="s">
        <v>1022</v>
      </c>
      <c r="B70" s="1079"/>
      <c r="C70" s="1079"/>
      <c r="D70" s="1079"/>
      <c r="E70" s="1079"/>
      <c r="F70" s="1079"/>
      <c r="G70" s="1079"/>
      <c r="H70" s="1079"/>
      <c r="I70" s="1079"/>
      <c r="J70" s="1079"/>
      <c r="K70" s="1079"/>
      <c r="L70" s="1079"/>
      <c r="M70" s="1079"/>
      <c r="N70" s="1079"/>
      <c r="O70" s="1079"/>
      <c r="P70" s="1079"/>
      <c r="Q70" s="1079"/>
      <c r="R70" s="1079"/>
      <c r="S70" s="1079"/>
      <c r="T70" s="1079"/>
      <c r="U70" s="1079"/>
      <c r="V70" s="1079"/>
      <c r="W70" s="1079"/>
      <c r="X70" s="1079"/>
      <c r="Y70" s="1079"/>
      <c r="Z70" s="1079"/>
      <c r="AC70" s="1100" t="s">
        <v>1022</v>
      </c>
      <c r="AD70" s="1079"/>
      <c r="AE70" s="1079"/>
      <c r="AF70" s="1079"/>
      <c r="AG70" s="1079"/>
      <c r="AH70" s="1079"/>
      <c r="AJ70" s="1101" t="s">
        <v>251</v>
      </c>
      <c r="AK70" s="1102">
        <v>0</v>
      </c>
      <c r="AL70" s="1102">
        <v>0</v>
      </c>
      <c r="AM70" s="1102">
        <v>40.39</v>
      </c>
      <c r="AN70" s="1102">
        <v>41.81</v>
      </c>
      <c r="AO70" s="1102">
        <v>25</v>
      </c>
    </row>
    <row r="71" spans="1:41">
      <c r="A71" s="1101" t="s">
        <v>251</v>
      </c>
      <c r="B71" s="1102">
        <v>100</v>
      </c>
      <c r="C71" s="1102">
        <v>90.38</v>
      </c>
      <c r="D71" s="1102">
        <v>84.69</v>
      </c>
      <c r="E71" s="1102">
        <v>99.22</v>
      </c>
      <c r="F71" s="1102">
        <v>80.680000000000007</v>
      </c>
      <c r="G71" s="1102">
        <v>100</v>
      </c>
      <c r="H71" s="1102">
        <v>0</v>
      </c>
      <c r="I71" s="1102">
        <v>92.38</v>
      </c>
      <c r="J71" s="1102">
        <v>34.76</v>
      </c>
      <c r="K71" s="1102">
        <v>65.38</v>
      </c>
      <c r="L71" s="1102">
        <v>87.51</v>
      </c>
      <c r="M71" s="1102">
        <v>0</v>
      </c>
      <c r="N71" s="1102">
        <v>0</v>
      </c>
      <c r="O71" s="1102">
        <v>100</v>
      </c>
      <c r="P71" s="1102">
        <v>33.729999999999997</v>
      </c>
      <c r="Q71" s="1102">
        <v>0</v>
      </c>
      <c r="R71" s="1102">
        <v>75</v>
      </c>
      <c r="S71" s="1102">
        <v>40.39</v>
      </c>
      <c r="T71" s="1102">
        <v>100</v>
      </c>
      <c r="U71" s="1102">
        <v>100</v>
      </c>
      <c r="V71" s="1102">
        <v>78.150000000000006</v>
      </c>
      <c r="W71" s="1102">
        <v>44.44</v>
      </c>
      <c r="X71" s="1102">
        <v>41.81</v>
      </c>
      <c r="Y71" s="1102">
        <v>0</v>
      </c>
      <c r="Z71" s="1102">
        <v>25</v>
      </c>
      <c r="AC71" s="1101" t="s">
        <v>251</v>
      </c>
      <c r="AD71" s="1102">
        <v>0</v>
      </c>
      <c r="AE71" s="1102">
        <v>0</v>
      </c>
      <c r="AF71" s="1102">
        <v>40.39</v>
      </c>
      <c r="AG71" s="1102">
        <v>41.81</v>
      </c>
      <c r="AH71" s="1102">
        <v>25</v>
      </c>
      <c r="AJ71" s="1101" t="s">
        <v>1116</v>
      </c>
      <c r="AK71" s="1102">
        <v>0</v>
      </c>
      <c r="AL71" s="1102">
        <v>0</v>
      </c>
      <c r="AM71" s="1102">
        <v>32.450000000000003</v>
      </c>
      <c r="AN71" s="1102">
        <v>11.05</v>
      </c>
      <c r="AO71" s="1102">
        <v>75</v>
      </c>
    </row>
    <row r="72" spans="1:41">
      <c r="A72" s="1101" t="s">
        <v>1116</v>
      </c>
      <c r="B72" s="1102">
        <v>0</v>
      </c>
      <c r="C72" s="1102">
        <v>7.98</v>
      </c>
      <c r="D72" s="1102">
        <v>14.41</v>
      </c>
      <c r="E72" s="1102">
        <v>0.78</v>
      </c>
      <c r="F72" s="1102">
        <v>12.13</v>
      </c>
      <c r="G72" s="1102">
        <v>0</v>
      </c>
      <c r="H72" s="1102">
        <v>0</v>
      </c>
      <c r="I72" s="1102">
        <v>0</v>
      </c>
      <c r="J72" s="1102">
        <v>65.239999999999995</v>
      </c>
      <c r="K72" s="1102">
        <v>17.309999999999999</v>
      </c>
      <c r="L72" s="1102">
        <v>11.66</v>
      </c>
      <c r="M72" s="1102">
        <v>0</v>
      </c>
      <c r="N72" s="1102">
        <v>0</v>
      </c>
      <c r="O72" s="1102">
        <v>0</v>
      </c>
      <c r="P72" s="1102">
        <v>66.27</v>
      </c>
      <c r="Q72" s="1102">
        <v>0</v>
      </c>
      <c r="R72" s="1102">
        <v>25</v>
      </c>
      <c r="S72" s="1102">
        <v>32.450000000000003</v>
      </c>
      <c r="T72" s="1102">
        <v>0</v>
      </c>
      <c r="U72" s="1102">
        <v>0</v>
      </c>
      <c r="V72" s="1102">
        <v>20.07</v>
      </c>
      <c r="W72" s="1102">
        <v>50.51</v>
      </c>
      <c r="X72" s="1102">
        <v>11.05</v>
      </c>
      <c r="Y72" s="1102">
        <v>100</v>
      </c>
      <c r="Z72" s="1102">
        <v>75</v>
      </c>
      <c r="AC72" s="1101" t="s">
        <v>1116</v>
      </c>
      <c r="AD72" s="1102">
        <v>0</v>
      </c>
      <c r="AE72" s="1102">
        <v>0</v>
      </c>
      <c r="AF72" s="1102">
        <v>32.450000000000003</v>
      </c>
      <c r="AG72" s="1102">
        <v>11.05</v>
      </c>
      <c r="AH72" s="1102">
        <v>75</v>
      </c>
      <c r="AJ72" s="1101" t="s">
        <v>253</v>
      </c>
      <c r="AK72" s="1102">
        <v>100</v>
      </c>
      <c r="AL72" s="1102">
        <v>0</v>
      </c>
      <c r="AM72" s="1102">
        <v>27.16</v>
      </c>
      <c r="AN72" s="1102">
        <v>47.13</v>
      </c>
      <c r="AO72" s="1102">
        <v>0</v>
      </c>
    </row>
    <row r="73" spans="1:41">
      <c r="A73" s="1103" t="s">
        <v>220</v>
      </c>
      <c r="B73" s="1079">
        <v>0</v>
      </c>
      <c r="C73" s="1079"/>
      <c r="D73" s="1079">
        <v>5.81</v>
      </c>
      <c r="E73" s="1079">
        <v>0</v>
      </c>
      <c r="F73" s="1079">
        <v>4.24</v>
      </c>
      <c r="G73" s="1079">
        <v>0</v>
      </c>
      <c r="H73" s="1079">
        <v>0</v>
      </c>
      <c r="I73" s="1079">
        <v>0</v>
      </c>
      <c r="J73" s="1079">
        <v>0</v>
      </c>
      <c r="K73" s="1079">
        <v>7.69</v>
      </c>
      <c r="L73" s="1079">
        <v>7.4</v>
      </c>
      <c r="M73" s="1079">
        <v>0</v>
      </c>
      <c r="N73" s="1079">
        <v>0</v>
      </c>
      <c r="O73" s="1079">
        <v>0</v>
      </c>
      <c r="P73" s="1079">
        <v>0</v>
      </c>
      <c r="Q73" s="1079">
        <v>0</v>
      </c>
      <c r="R73" s="1079">
        <v>0</v>
      </c>
      <c r="S73" s="1079">
        <v>0</v>
      </c>
      <c r="T73" s="1079">
        <v>0</v>
      </c>
      <c r="U73" s="1079">
        <v>0</v>
      </c>
      <c r="V73" s="1079">
        <v>15.74</v>
      </c>
      <c r="W73" s="1079">
        <v>23.23</v>
      </c>
      <c r="X73" s="1079">
        <v>5.67</v>
      </c>
      <c r="Y73" s="1079">
        <v>0</v>
      </c>
      <c r="Z73" s="1079">
        <v>0</v>
      </c>
      <c r="AC73" s="1103" t="s">
        <v>220</v>
      </c>
      <c r="AD73" s="1079">
        <v>0</v>
      </c>
      <c r="AE73" s="1079">
        <v>0</v>
      </c>
      <c r="AF73" s="1079">
        <v>0</v>
      </c>
      <c r="AG73" s="1079">
        <v>5.67</v>
      </c>
      <c r="AH73" s="1079">
        <v>0</v>
      </c>
    </row>
    <row r="74" spans="1:41">
      <c r="A74" s="1103" t="s">
        <v>223</v>
      </c>
      <c r="B74" s="1079">
        <v>0</v>
      </c>
      <c r="C74" s="1079">
        <v>0.45</v>
      </c>
      <c r="D74" s="1079"/>
      <c r="E74" s="1079">
        <v>0</v>
      </c>
      <c r="F74" s="1079">
        <v>0.36</v>
      </c>
      <c r="G74" s="1079">
        <v>0</v>
      </c>
      <c r="H74" s="1079">
        <v>0</v>
      </c>
      <c r="I74" s="1079">
        <v>0</v>
      </c>
      <c r="J74" s="1079">
        <v>0</v>
      </c>
      <c r="K74" s="1079">
        <v>0</v>
      </c>
      <c r="L74" s="1079">
        <v>0</v>
      </c>
      <c r="M74" s="1079">
        <v>0</v>
      </c>
      <c r="N74" s="1079">
        <v>0</v>
      </c>
      <c r="O74" s="1079">
        <v>0</v>
      </c>
      <c r="P74" s="1079">
        <v>0</v>
      </c>
      <c r="Q74" s="1079">
        <v>0</v>
      </c>
      <c r="R74" s="1079">
        <v>0</v>
      </c>
      <c r="S74" s="1079">
        <v>0</v>
      </c>
      <c r="T74" s="1079">
        <v>0</v>
      </c>
      <c r="U74" s="1079">
        <v>0</v>
      </c>
      <c r="V74" s="1079">
        <v>2.13</v>
      </c>
      <c r="W74" s="1079">
        <v>0</v>
      </c>
      <c r="X74" s="1079">
        <v>0</v>
      </c>
      <c r="Y74" s="1079">
        <v>100</v>
      </c>
      <c r="Z74" s="1079">
        <v>0</v>
      </c>
      <c r="AC74" s="1103" t="s">
        <v>223</v>
      </c>
      <c r="AD74" s="1079">
        <v>0</v>
      </c>
      <c r="AE74" s="1079">
        <v>0</v>
      </c>
      <c r="AF74" s="1079">
        <v>0</v>
      </c>
      <c r="AG74" s="1079">
        <v>0</v>
      </c>
      <c r="AH74" s="1079">
        <v>0</v>
      </c>
      <c r="AJ74" s="1103" t="s">
        <v>220</v>
      </c>
      <c r="AK74" s="1079">
        <v>0</v>
      </c>
      <c r="AL74" s="1079">
        <v>0</v>
      </c>
      <c r="AM74" s="1079">
        <v>0</v>
      </c>
      <c r="AN74" s="1079">
        <v>5.67</v>
      </c>
      <c r="AO74" s="1079">
        <v>0</v>
      </c>
    </row>
    <row r="75" spans="1:41">
      <c r="A75" s="1103" t="s">
        <v>221</v>
      </c>
      <c r="B75" s="1079">
        <v>0</v>
      </c>
      <c r="C75" s="1079">
        <v>0.27</v>
      </c>
      <c r="D75" s="1079">
        <v>1.22</v>
      </c>
      <c r="E75" s="1079">
        <v>0</v>
      </c>
      <c r="F75" s="1079"/>
      <c r="G75" s="1079">
        <v>0</v>
      </c>
      <c r="H75" s="1079">
        <v>0</v>
      </c>
      <c r="I75" s="1079">
        <v>0</v>
      </c>
      <c r="J75" s="1079">
        <v>0</v>
      </c>
      <c r="K75" s="1079">
        <v>0</v>
      </c>
      <c r="L75" s="1079">
        <v>2.06</v>
      </c>
      <c r="M75" s="1079">
        <v>0</v>
      </c>
      <c r="N75" s="1079">
        <v>0</v>
      </c>
      <c r="O75" s="1079">
        <v>0</v>
      </c>
      <c r="P75" s="1079">
        <v>61.45</v>
      </c>
      <c r="Q75" s="1079">
        <v>0</v>
      </c>
      <c r="R75" s="1079">
        <v>0</v>
      </c>
      <c r="S75" s="1079">
        <v>0</v>
      </c>
      <c r="T75" s="1079">
        <v>0</v>
      </c>
      <c r="U75" s="1079">
        <v>0</v>
      </c>
      <c r="V75" s="1079">
        <v>0.5</v>
      </c>
      <c r="W75" s="1079">
        <v>0</v>
      </c>
      <c r="X75" s="1079">
        <v>0</v>
      </c>
      <c r="Y75" s="1079">
        <v>0</v>
      </c>
      <c r="Z75" s="1079">
        <v>0</v>
      </c>
      <c r="AC75" s="1103" t="s">
        <v>221</v>
      </c>
      <c r="AD75" s="1079">
        <v>0</v>
      </c>
      <c r="AE75" s="1079">
        <v>0</v>
      </c>
      <c r="AF75" s="1079">
        <v>0</v>
      </c>
      <c r="AG75" s="1079">
        <v>0</v>
      </c>
      <c r="AH75" s="1079">
        <v>0</v>
      </c>
      <c r="AJ75" s="1103" t="s">
        <v>219</v>
      </c>
      <c r="AK75" s="1079">
        <v>0</v>
      </c>
      <c r="AL75" s="1079">
        <v>0</v>
      </c>
      <c r="AM75" s="1079">
        <v>32.450000000000003</v>
      </c>
      <c r="AN75" s="1079">
        <v>3.57</v>
      </c>
      <c r="AO75" s="1079">
        <v>0</v>
      </c>
    </row>
    <row r="76" spans="1:41">
      <c r="A76" s="1103" t="s">
        <v>236</v>
      </c>
      <c r="B76" s="1079">
        <v>0</v>
      </c>
      <c r="C76" s="1079">
        <v>0</v>
      </c>
      <c r="D76" s="1079">
        <v>0</v>
      </c>
      <c r="E76" s="1079">
        <v>0</v>
      </c>
      <c r="F76" s="1079">
        <v>0</v>
      </c>
      <c r="G76" s="1079">
        <v>0</v>
      </c>
      <c r="H76" s="1079">
        <v>0</v>
      </c>
      <c r="I76" s="1079">
        <v>0</v>
      </c>
      <c r="J76" s="1079"/>
      <c r="K76" s="1079">
        <v>0</v>
      </c>
      <c r="L76" s="1079">
        <v>0</v>
      </c>
      <c r="M76" s="1079">
        <v>0</v>
      </c>
      <c r="N76" s="1079">
        <v>0</v>
      </c>
      <c r="O76" s="1079">
        <v>0</v>
      </c>
      <c r="P76" s="1079">
        <v>0</v>
      </c>
      <c r="Q76" s="1079">
        <v>0</v>
      </c>
      <c r="R76" s="1079">
        <v>0</v>
      </c>
      <c r="S76" s="1079">
        <v>0</v>
      </c>
      <c r="T76" s="1079">
        <v>0</v>
      </c>
      <c r="U76" s="1079">
        <v>0</v>
      </c>
      <c r="V76" s="1079">
        <v>0.1</v>
      </c>
      <c r="W76" s="1079">
        <v>0</v>
      </c>
      <c r="X76" s="1079">
        <v>0</v>
      </c>
      <c r="Y76" s="1079">
        <v>0</v>
      </c>
      <c r="Z76" s="1079">
        <v>0</v>
      </c>
      <c r="AC76" s="1103" t="s">
        <v>236</v>
      </c>
      <c r="AD76" s="1079">
        <v>0</v>
      </c>
      <c r="AE76" s="1079">
        <v>0</v>
      </c>
      <c r="AF76" s="1079">
        <v>0</v>
      </c>
      <c r="AG76" s="1079">
        <v>0</v>
      </c>
      <c r="AH76" s="1079">
        <v>0</v>
      </c>
      <c r="AJ76" s="1103" t="s">
        <v>231</v>
      </c>
      <c r="AK76" s="1079">
        <v>0</v>
      </c>
      <c r="AL76" s="1079">
        <v>0</v>
      </c>
      <c r="AM76" s="1079">
        <v>0</v>
      </c>
      <c r="AN76" s="1079">
        <v>1.17</v>
      </c>
      <c r="AO76" s="1079"/>
    </row>
    <row r="77" spans="1:41">
      <c r="A77" s="1103" t="s">
        <v>227</v>
      </c>
      <c r="B77" s="1079">
        <v>0</v>
      </c>
      <c r="C77" s="1079">
        <v>0.01</v>
      </c>
      <c r="D77" s="1079">
        <v>0</v>
      </c>
      <c r="E77" s="1079">
        <v>0</v>
      </c>
      <c r="F77" s="1079">
        <v>0</v>
      </c>
      <c r="G77" s="1079">
        <v>0</v>
      </c>
      <c r="H77" s="1079">
        <v>0</v>
      </c>
      <c r="I77" s="1079">
        <v>0</v>
      </c>
      <c r="J77" s="1079">
        <v>0</v>
      </c>
      <c r="K77" s="1079"/>
      <c r="L77" s="1079">
        <v>0.7</v>
      </c>
      <c r="M77" s="1079">
        <v>0</v>
      </c>
      <c r="N77" s="1079">
        <v>0</v>
      </c>
      <c r="O77" s="1079">
        <v>0</v>
      </c>
      <c r="P77" s="1079">
        <v>0</v>
      </c>
      <c r="Q77" s="1079">
        <v>0</v>
      </c>
      <c r="R77" s="1079">
        <v>0</v>
      </c>
      <c r="S77" s="1079">
        <v>0</v>
      </c>
      <c r="T77" s="1079">
        <v>0</v>
      </c>
      <c r="U77" s="1079">
        <v>0</v>
      </c>
      <c r="V77" s="1079">
        <v>0</v>
      </c>
      <c r="W77" s="1079">
        <v>0</v>
      </c>
      <c r="X77" s="1079">
        <v>0</v>
      </c>
      <c r="Y77" s="1079">
        <v>0</v>
      </c>
      <c r="Z77" s="1079">
        <v>0</v>
      </c>
      <c r="AC77" s="1103" t="s">
        <v>227</v>
      </c>
      <c r="AD77" s="1079">
        <v>0</v>
      </c>
      <c r="AE77" s="1079">
        <v>0</v>
      </c>
      <c r="AF77" s="1079">
        <v>0</v>
      </c>
      <c r="AG77" s="1079">
        <v>0</v>
      </c>
      <c r="AH77" s="1079">
        <v>0</v>
      </c>
    </row>
    <row r="78" spans="1:41">
      <c r="A78" s="1103" t="s">
        <v>2</v>
      </c>
      <c r="B78" s="1079">
        <v>0</v>
      </c>
      <c r="C78" s="1079">
        <v>0.39</v>
      </c>
      <c r="D78" s="1079">
        <v>0</v>
      </c>
      <c r="E78" s="1079">
        <v>0</v>
      </c>
      <c r="F78" s="1079">
        <v>1.53</v>
      </c>
      <c r="G78" s="1079">
        <v>0</v>
      </c>
      <c r="H78" s="1079">
        <v>0</v>
      </c>
      <c r="I78" s="1079">
        <v>0</v>
      </c>
      <c r="J78" s="1079">
        <v>0</v>
      </c>
      <c r="K78" s="1079">
        <v>9.6199999999999992</v>
      </c>
      <c r="L78" s="1079"/>
      <c r="M78" s="1079">
        <v>0</v>
      </c>
      <c r="N78" s="1079">
        <v>0</v>
      </c>
      <c r="O78" s="1079">
        <v>0</v>
      </c>
      <c r="P78" s="1079">
        <v>0</v>
      </c>
      <c r="Q78" s="1079">
        <v>0</v>
      </c>
      <c r="R78" s="1079">
        <v>25</v>
      </c>
      <c r="S78" s="1079">
        <v>0</v>
      </c>
      <c r="T78" s="1079">
        <v>0</v>
      </c>
      <c r="U78" s="1079">
        <v>0</v>
      </c>
      <c r="V78" s="1079">
        <v>0.26</v>
      </c>
      <c r="W78" s="1079">
        <v>0</v>
      </c>
      <c r="X78" s="1079">
        <v>0</v>
      </c>
      <c r="Y78" s="1079">
        <v>0</v>
      </c>
      <c r="Z78" s="1079">
        <v>0</v>
      </c>
      <c r="AC78" s="1103" t="s">
        <v>2</v>
      </c>
      <c r="AD78" s="1079">
        <v>0</v>
      </c>
      <c r="AE78" s="1079">
        <v>0</v>
      </c>
      <c r="AF78" s="1079">
        <v>0</v>
      </c>
      <c r="AG78" s="1079">
        <v>0</v>
      </c>
      <c r="AH78" s="1079">
        <v>0</v>
      </c>
    </row>
    <row r="79" spans="1:41">
      <c r="A79" s="1103" t="s">
        <v>235</v>
      </c>
      <c r="B79" s="1079">
        <v>0</v>
      </c>
      <c r="C79" s="1079">
        <v>0</v>
      </c>
      <c r="D79" s="1079">
        <v>0</v>
      </c>
      <c r="E79" s="1079">
        <v>0</v>
      </c>
      <c r="F79" s="1079">
        <v>0.4</v>
      </c>
      <c r="G79" s="1079">
        <v>0</v>
      </c>
      <c r="H79" s="1079">
        <v>0</v>
      </c>
      <c r="I79" s="1079">
        <v>0</v>
      </c>
      <c r="J79" s="1079">
        <v>0</v>
      </c>
      <c r="K79" s="1079">
        <v>0</v>
      </c>
      <c r="L79" s="1079">
        <v>0</v>
      </c>
      <c r="M79" s="1079">
        <v>0</v>
      </c>
      <c r="N79" s="1079">
        <v>0</v>
      </c>
      <c r="O79" s="1079">
        <v>0</v>
      </c>
      <c r="P79" s="1079"/>
      <c r="Q79" s="1079">
        <v>0</v>
      </c>
      <c r="R79" s="1079">
        <v>0</v>
      </c>
      <c r="S79" s="1079">
        <v>0</v>
      </c>
      <c r="T79" s="1079">
        <v>0</v>
      </c>
      <c r="U79" s="1079">
        <v>0</v>
      </c>
      <c r="V79" s="1079">
        <v>0.05</v>
      </c>
      <c r="W79" s="1079">
        <v>0</v>
      </c>
      <c r="X79" s="1079">
        <v>0</v>
      </c>
      <c r="Y79" s="1079">
        <v>0</v>
      </c>
      <c r="Z79" s="1079">
        <v>0</v>
      </c>
      <c r="AC79" s="1103" t="s">
        <v>235</v>
      </c>
      <c r="AD79" s="1079">
        <v>0</v>
      </c>
      <c r="AE79" s="1079">
        <v>0</v>
      </c>
      <c r="AF79" s="1079">
        <v>0</v>
      </c>
      <c r="AG79" s="1079">
        <v>0</v>
      </c>
      <c r="AH79" s="1079">
        <v>0</v>
      </c>
    </row>
    <row r="80" spans="1:41">
      <c r="A80" s="1103" t="s">
        <v>228</v>
      </c>
      <c r="B80" s="1079">
        <v>0</v>
      </c>
      <c r="C80" s="1079">
        <v>0</v>
      </c>
      <c r="D80" s="1079">
        <v>0</v>
      </c>
      <c r="E80" s="1079">
        <v>0</v>
      </c>
      <c r="F80" s="1079">
        <v>0</v>
      </c>
      <c r="G80" s="1079">
        <v>0</v>
      </c>
      <c r="H80" s="1079">
        <v>0</v>
      </c>
      <c r="I80" s="1079">
        <v>0</v>
      </c>
      <c r="J80" s="1079">
        <v>0</v>
      </c>
      <c r="K80" s="1079">
        <v>0</v>
      </c>
      <c r="L80" s="1079">
        <v>0.8</v>
      </c>
      <c r="M80" s="1079">
        <v>0</v>
      </c>
      <c r="N80" s="1079">
        <v>0</v>
      </c>
      <c r="O80" s="1079">
        <v>0</v>
      </c>
      <c r="P80" s="1079">
        <v>0</v>
      </c>
      <c r="Q80" s="1079">
        <v>0</v>
      </c>
      <c r="R80" s="1079"/>
      <c r="S80" s="1079">
        <v>0</v>
      </c>
      <c r="T80" s="1079">
        <v>0</v>
      </c>
      <c r="U80" s="1079">
        <v>0</v>
      </c>
      <c r="V80" s="1079">
        <v>0</v>
      </c>
      <c r="W80" s="1079">
        <v>0</v>
      </c>
      <c r="X80" s="1079">
        <v>0</v>
      </c>
      <c r="Y80" s="1079">
        <v>0</v>
      </c>
      <c r="Z80" s="1079">
        <v>0</v>
      </c>
      <c r="AC80" s="1103" t="s">
        <v>228</v>
      </c>
      <c r="AD80" s="1079">
        <v>0</v>
      </c>
      <c r="AE80" s="1079">
        <v>0</v>
      </c>
      <c r="AF80" s="1079">
        <v>0</v>
      </c>
      <c r="AG80" s="1079">
        <v>0</v>
      </c>
      <c r="AH80" s="1079">
        <v>0</v>
      </c>
    </row>
    <row r="81" spans="1:41">
      <c r="A81" s="1103" t="s">
        <v>224</v>
      </c>
      <c r="B81" s="1079">
        <v>0</v>
      </c>
      <c r="C81" s="1079">
        <v>0</v>
      </c>
      <c r="D81" s="1079">
        <v>0</v>
      </c>
      <c r="E81" s="1079">
        <v>0</v>
      </c>
      <c r="F81" s="1079">
        <v>0</v>
      </c>
      <c r="G81" s="1079">
        <v>0</v>
      </c>
      <c r="H81" s="1079">
        <v>0</v>
      </c>
      <c r="I81" s="1079">
        <v>0</v>
      </c>
      <c r="J81" s="1079">
        <v>0</v>
      </c>
      <c r="K81" s="1079">
        <v>0</v>
      </c>
      <c r="L81" s="1079">
        <v>0</v>
      </c>
      <c r="M81" s="1079">
        <v>0</v>
      </c>
      <c r="N81" s="1079">
        <v>0</v>
      </c>
      <c r="O81" s="1079">
        <v>0</v>
      </c>
      <c r="P81" s="1079">
        <v>0</v>
      </c>
      <c r="Q81" s="1079">
        <v>0</v>
      </c>
      <c r="R81" s="1079">
        <v>0</v>
      </c>
      <c r="S81" s="1079"/>
      <c r="T81" s="1079">
        <v>0</v>
      </c>
      <c r="U81" s="1079">
        <v>0</v>
      </c>
      <c r="V81" s="1079">
        <v>1.05</v>
      </c>
      <c r="W81" s="1079">
        <v>0</v>
      </c>
      <c r="X81" s="1079">
        <v>0</v>
      </c>
      <c r="Y81" s="1079">
        <v>0</v>
      </c>
      <c r="Z81" s="1079">
        <v>0</v>
      </c>
      <c r="AC81" s="1103" t="s">
        <v>224</v>
      </c>
      <c r="AD81" s="1079">
        <v>0</v>
      </c>
      <c r="AE81" s="1079">
        <v>0</v>
      </c>
      <c r="AF81" s="1079"/>
      <c r="AG81" s="1079">
        <v>0</v>
      </c>
      <c r="AH81" s="1079">
        <v>0</v>
      </c>
    </row>
    <row r="82" spans="1:41">
      <c r="A82" s="1103" t="s">
        <v>219</v>
      </c>
      <c r="B82" s="1079">
        <v>0</v>
      </c>
      <c r="C82" s="1079">
        <v>6.61</v>
      </c>
      <c r="D82" s="1079">
        <v>7.11</v>
      </c>
      <c r="E82" s="1079">
        <v>0.78</v>
      </c>
      <c r="F82" s="1079">
        <v>5.6</v>
      </c>
      <c r="G82" s="1079">
        <v>0</v>
      </c>
      <c r="H82" s="1079">
        <v>0</v>
      </c>
      <c r="I82" s="1079">
        <v>0</v>
      </c>
      <c r="J82" s="1079">
        <v>65.239999999999995</v>
      </c>
      <c r="K82" s="1079">
        <v>0</v>
      </c>
      <c r="L82" s="1079">
        <v>0.69</v>
      </c>
      <c r="M82" s="1079">
        <v>0</v>
      </c>
      <c r="N82" s="1079">
        <v>0</v>
      </c>
      <c r="O82" s="1079">
        <v>0</v>
      </c>
      <c r="P82" s="1079">
        <v>4.82</v>
      </c>
      <c r="Q82" s="1079">
        <v>0</v>
      </c>
      <c r="R82" s="1079">
        <v>0</v>
      </c>
      <c r="S82" s="1079">
        <v>32.450000000000003</v>
      </c>
      <c r="T82" s="1079">
        <v>0</v>
      </c>
      <c r="U82" s="1079">
        <v>0</v>
      </c>
      <c r="V82" s="1079"/>
      <c r="W82" s="1079">
        <v>27.27</v>
      </c>
      <c r="X82" s="1079">
        <v>3.57</v>
      </c>
      <c r="Y82" s="1079">
        <v>0</v>
      </c>
      <c r="Z82" s="1079">
        <v>0</v>
      </c>
      <c r="AC82" s="1103" t="s">
        <v>219</v>
      </c>
      <c r="AD82" s="1079">
        <v>0</v>
      </c>
      <c r="AE82" s="1079">
        <v>0</v>
      </c>
      <c r="AF82" s="1079">
        <v>32.450000000000003</v>
      </c>
      <c r="AG82" s="1079">
        <v>3.57</v>
      </c>
      <c r="AH82" s="1079">
        <v>0</v>
      </c>
    </row>
    <row r="83" spans="1:41">
      <c r="A83" s="1103" t="s">
        <v>229</v>
      </c>
      <c r="B83" s="1079">
        <v>0</v>
      </c>
      <c r="C83" s="1079">
        <v>0.1</v>
      </c>
      <c r="D83" s="1079">
        <v>0</v>
      </c>
      <c r="E83" s="1079">
        <v>0</v>
      </c>
      <c r="F83" s="1079">
        <v>0</v>
      </c>
      <c r="G83" s="1079">
        <v>0</v>
      </c>
      <c r="H83" s="1079">
        <v>0</v>
      </c>
      <c r="I83" s="1079">
        <v>0</v>
      </c>
      <c r="J83" s="1079">
        <v>0</v>
      </c>
      <c r="K83" s="1079">
        <v>0</v>
      </c>
      <c r="L83" s="1079">
        <v>0</v>
      </c>
      <c r="M83" s="1079">
        <v>0</v>
      </c>
      <c r="N83" s="1079">
        <v>0</v>
      </c>
      <c r="O83" s="1079">
        <v>0</v>
      </c>
      <c r="P83" s="1079">
        <v>0</v>
      </c>
      <c r="Q83" s="1079">
        <v>0</v>
      </c>
      <c r="R83" s="1079">
        <v>0</v>
      </c>
      <c r="S83" s="1079">
        <v>0</v>
      </c>
      <c r="T83" s="1079">
        <v>0</v>
      </c>
      <c r="U83" s="1079">
        <v>0</v>
      </c>
      <c r="V83" s="1079">
        <v>0.11</v>
      </c>
      <c r="W83" s="1079"/>
      <c r="X83" s="1079">
        <v>0</v>
      </c>
      <c r="Y83" s="1079">
        <v>0</v>
      </c>
      <c r="Z83" s="1079">
        <v>0</v>
      </c>
      <c r="AC83" s="1103" t="s">
        <v>229</v>
      </c>
      <c r="AD83" s="1079">
        <v>0</v>
      </c>
      <c r="AE83" s="1079">
        <v>0</v>
      </c>
      <c r="AF83" s="1079">
        <v>0</v>
      </c>
      <c r="AG83" s="1079">
        <v>0</v>
      </c>
      <c r="AH83" s="1079">
        <v>0</v>
      </c>
    </row>
    <row r="84" spans="1:41">
      <c r="A84" s="1103" t="s">
        <v>222</v>
      </c>
      <c r="B84" s="1079">
        <v>0</v>
      </c>
      <c r="C84" s="1079">
        <v>0.15</v>
      </c>
      <c r="D84" s="1079">
        <v>0</v>
      </c>
      <c r="E84" s="1079">
        <v>0</v>
      </c>
      <c r="F84" s="1079">
        <v>0</v>
      </c>
      <c r="G84" s="1079">
        <v>0</v>
      </c>
      <c r="H84" s="1079">
        <v>0</v>
      </c>
      <c r="I84" s="1079">
        <v>0</v>
      </c>
      <c r="J84" s="1079">
        <v>0</v>
      </c>
      <c r="K84" s="1079">
        <v>0</v>
      </c>
      <c r="L84" s="1079">
        <v>0</v>
      </c>
      <c r="M84" s="1079">
        <v>0</v>
      </c>
      <c r="N84" s="1079">
        <v>0</v>
      </c>
      <c r="O84" s="1079">
        <v>0</v>
      </c>
      <c r="P84" s="1079">
        <v>0</v>
      </c>
      <c r="Q84" s="1079">
        <v>0</v>
      </c>
      <c r="R84" s="1079">
        <v>0</v>
      </c>
      <c r="S84" s="1079">
        <v>0</v>
      </c>
      <c r="T84" s="1079">
        <v>0</v>
      </c>
      <c r="U84" s="1079">
        <v>0</v>
      </c>
      <c r="V84" s="1079">
        <v>7.0000000000000007E-2</v>
      </c>
      <c r="W84" s="1079">
        <v>0</v>
      </c>
      <c r="X84" s="1079"/>
      <c r="Y84" s="1079">
        <v>0</v>
      </c>
      <c r="Z84" s="1079">
        <v>75</v>
      </c>
      <c r="AC84" s="1103" t="s">
        <v>222</v>
      </c>
      <c r="AD84" s="1079">
        <v>0</v>
      </c>
      <c r="AE84" s="1079">
        <v>0</v>
      </c>
      <c r="AF84" s="1079">
        <v>0</v>
      </c>
      <c r="AG84" s="1079"/>
      <c r="AH84" s="1079">
        <v>75</v>
      </c>
    </row>
    <row r="85" spans="1:41">
      <c r="A85" s="1103" t="s">
        <v>1018</v>
      </c>
      <c r="B85" s="1079">
        <v>0</v>
      </c>
      <c r="C85" s="1079">
        <v>0</v>
      </c>
      <c r="D85" s="1079">
        <v>0.27</v>
      </c>
      <c r="E85" s="1079">
        <v>0</v>
      </c>
      <c r="F85" s="1079">
        <v>0</v>
      </c>
      <c r="G85" s="1079">
        <v>0</v>
      </c>
      <c r="H85" s="1079">
        <v>0</v>
      </c>
      <c r="I85" s="1079">
        <v>0</v>
      </c>
      <c r="J85" s="1079">
        <v>0</v>
      </c>
      <c r="K85" s="1079">
        <v>0</v>
      </c>
      <c r="L85" s="1079">
        <v>0</v>
      </c>
      <c r="M85" s="1079">
        <v>0</v>
      </c>
      <c r="N85" s="1079">
        <v>0</v>
      </c>
      <c r="O85" s="1079">
        <v>0</v>
      </c>
      <c r="P85" s="1079">
        <v>0</v>
      </c>
      <c r="Q85" s="1079">
        <v>0</v>
      </c>
      <c r="R85" s="1079">
        <v>0</v>
      </c>
      <c r="S85" s="1079">
        <v>0</v>
      </c>
      <c r="T85" s="1079">
        <v>0</v>
      </c>
      <c r="U85" s="1079">
        <v>0</v>
      </c>
      <c r="V85" s="1079">
        <v>0</v>
      </c>
      <c r="W85" s="1079">
        <v>0</v>
      </c>
      <c r="X85" s="1079">
        <v>0</v>
      </c>
      <c r="Y85" s="1079"/>
      <c r="Z85" s="1079">
        <v>0</v>
      </c>
      <c r="AC85" s="1103" t="s">
        <v>1018</v>
      </c>
      <c r="AD85" s="1079">
        <v>0</v>
      </c>
      <c r="AE85" s="1079">
        <v>0</v>
      </c>
      <c r="AF85" s="1079">
        <v>0</v>
      </c>
      <c r="AG85" s="1079">
        <v>0</v>
      </c>
      <c r="AH85" s="1079">
        <v>0</v>
      </c>
    </row>
    <row r="86" spans="1:41">
      <c r="A86" s="1103" t="s">
        <v>231</v>
      </c>
      <c r="B86" s="1079">
        <v>0</v>
      </c>
      <c r="C86" s="1079">
        <v>0</v>
      </c>
      <c r="D86" s="1079">
        <v>0</v>
      </c>
      <c r="E86" s="1079">
        <v>0</v>
      </c>
      <c r="F86" s="1079">
        <v>0</v>
      </c>
      <c r="G86" s="1079">
        <v>0</v>
      </c>
      <c r="H86" s="1079">
        <v>0</v>
      </c>
      <c r="I86" s="1079">
        <v>0</v>
      </c>
      <c r="J86" s="1079">
        <v>0</v>
      </c>
      <c r="K86" s="1079">
        <v>0</v>
      </c>
      <c r="L86" s="1079">
        <v>0</v>
      </c>
      <c r="M86" s="1079">
        <v>0</v>
      </c>
      <c r="N86" s="1079">
        <v>0</v>
      </c>
      <c r="O86" s="1079">
        <v>0</v>
      </c>
      <c r="P86" s="1079">
        <v>0</v>
      </c>
      <c r="Q86" s="1079">
        <v>0</v>
      </c>
      <c r="R86" s="1079">
        <v>0</v>
      </c>
      <c r="S86" s="1079">
        <v>0</v>
      </c>
      <c r="T86" s="1079">
        <v>0</v>
      </c>
      <c r="U86" s="1079">
        <v>0</v>
      </c>
      <c r="V86" s="1079">
        <v>0</v>
      </c>
      <c r="W86" s="1079">
        <v>0</v>
      </c>
      <c r="X86" s="1079">
        <v>1.17</v>
      </c>
      <c r="Y86" s="1079">
        <v>0</v>
      </c>
      <c r="Z86" s="1079"/>
      <c r="AC86" s="1103" t="s">
        <v>231</v>
      </c>
      <c r="AD86" s="1079">
        <v>0</v>
      </c>
      <c r="AE86" s="1079">
        <v>0</v>
      </c>
      <c r="AF86" s="1079">
        <v>0</v>
      </c>
      <c r="AG86" s="1079">
        <v>1.17</v>
      </c>
      <c r="AH86" s="1079"/>
    </row>
    <row r="87" spans="1:41">
      <c r="A87" s="1103" t="s">
        <v>244</v>
      </c>
      <c r="B87" s="1079">
        <v>0</v>
      </c>
      <c r="C87" s="1079">
        <v>0</v>
      </c>
      <c r="D87" s="1079">
        <v>0</v>
      </c>
      <c r="E87" s="1079">
        <v>0</v>
      </c>
      <c r="F87" s="1079">
        <v>0</v>
      </c>
      <c r="G87" s="1079">
        <v>0</v>
      </c>
      <c r="H87" s="1079">
        <v>0</v>
      </c>
      <c r="I87" s="1079">
        <v>0</v>
      </c>
      <c r="J87" s="1079">
        <v>0</v>
      </c>
      <c r="K87" s="1079">
        <v>0</v>
      </c>
      <c r="L87" s="1079">
        <v>0.01</v>
      </c>
      <c r="M87" s="1079">
        <v>0</v>
      </c>
      <c r="N87" s="1079">
        <v>0</v>
      </c>
      <c r="O87" s="1079">
        <v>0</v>
      </c>
      <c r="P87" s="1079">
        <v>0</v>
      </c>
      <c r="Q87" s="1079">
        <v>0</v>
      </c>
      <c r="R87" s="1079">
        <v>0</v>
      </c>
      <c r="S87" s="1079">
        <v>0</v>
      </c>
      <c r="T87" s="1079">
        <v>0</v>
      </c>
      <c r="U87" s="1079">
        <v>0</v>
      </c>
      <c r="V87" s="1079">
        <v>0.06</v>
      </c>
      <c r="W87" s="1079">
        <v>0.01</v>
      </c>
      <c r="X87" s="1079">
        <v>0.64</v>
      </c>
      <c r="Y87" s="1079">
        <v>0</v>
      </c>
      <c r="Z87" s="1079">
        <v>0</v>
      </c>
      <c r="AC87" s="1103" t="s">
        <v>244</v>
      </c>
      <c r="AD87" s="1079">
        <v>0</v>
      </c>
      <c r="AE87" s="1079">
        <v>0</v>
      </c>
      <c r="AF87" s="1079">
        <v>0</v>
      </c>
      <c r="AG87" s="1079">
        <v>0.64</v>
      </c>
      <c r="AH87" s="1079">
        <v>0</v>
      </c>
    </row>
    <row r="88" spans="1:41">
      <c r="A88" s="1101" t="s">
        <v>253</v>
      </c>
      <c r="B88" s="1102">
        <v>0</v>
      </c>
      <c r="C88" s="1102">
        <v>1.64</v>
      </c>
      <c r="D88" s="1102">
        <v>0.9</v>
      </c>
      <c r="E88" s="1102">
        <v>0</v>
      </c>
      <c r="F88" s="1102">
        <v>7.19</v>
      </c>
      <c r="G88" s="1102">
        <v>0</v>
      </c>
      <c r="H88" s="1102">
        <v>0</v>
      </c>
      <c r="I88" s="1102">
        <v>7.62</v>
      </c>
      <c r="J88" s="1102">
        <v>0</v>
      </c>
      <c r="K88" s="1102">
        <v>17.309999999999999</v>
      </c>
      <c r="L88" s="1102">
        <v>0.84</v>
      </c>
      <c r="M88" s="1102">
        <v>100</v>
      </c>
      <c r="N88" s="1102">
        <v>0</v>
      </c>
      <c r="O88" s="1102">
        <v>0</v>
      </c>
      <c r="P88" s="1102">
        <v>0</v>
      </c>
      <c r="Q88" s="1102">
        <v>0</v>
      </c>
      <c r="R88" s="1102">
        <v>0</v>
      </c>
      <c r="S88" s="1102">
        <v>27.16</v>
      </c>
      <c r="T88" s="1102">
        <v>0</v>
      </c>
      <c r="U88" s="1102">
        <v>0</v>
      </c>
      <c r="V88" s="1102">
        <v>1.78</v>
      </c>
      <c r="W88" s="1102">
        <v>5.05</v>
      </c>
      <c r="X88" s="1102">
        <v>47.13</v>
      </c>
      <c r="Y88" s="1102">
        <v>0</v>
      </c>
      <c r="Z88" s="1102">
        <v>0</v>
      </c>
      <c r="AC88" s="1101" t="s">
        <v>253</v>
      </c>
      <c r="AD88" s="1102">
        <v>100</v>
      </c>
      <c r="AE88" s="1102">
        <v>0</v>
      </c>
      <c r="AF88" s="1102">
        <v>27.16</v>
      </c>
      <c r="AG88" s="1102">
        <v>47.13</v>
      </c>
      <c r="AH88" s="1102">
        <v>0</v>
      </c>
    </row>
    <row r="89" spans="1:41">
      <c r="A89" s="1101" t="s">
        <v>30</v>
      </c>
      <c r="B89" s="1102">
        <v>100</v>
      </c>
      <c r="C89" s="1102">
        <v>100</v>
      </c>
      <c r="D89" s="1102">
        <v>100</v>
      </c>
      <c r="E89" s="1102">
        <v>100</v>
      </c>
      <c r="F89" s="1102">
        <v>100</v>
      </c>
      <c r="G89" s="1102">
        <v>100</v>
      </c>
      <c r="H89" s="1102">
        <v>0</v>
      </c>
      <c r="I89" s="1102">
        <v>100</v>
      </c>
      <c r="J89" s="1102">
        <v>100</v>
      </c>
      <c r="K89" s="1102">
        <v>100</v>
      </c>
      <c r="L89" s="1102">
        <v>100</v>
      </c>
      <c r="M89" s="1102">
        <v>100</v>
      </c>
      <c r="N89" s="1102">
        <v>0</v>
      </c>
      <c r="O89" s="1102">
        <v>100</v>
      </c>
      <c r="P89" s="1102">
        <v>100</v>
      </c>
      <c r="Q89" s="1102">
        <v>0</v>
      </c>
      <c r="R89" s="1102">
        <v>100</v>
      </c>
      <c r="S89" s="1102">
        <v>100</v>
      </c>
      <c r="T89" s="1102">
        <v>100</v>
      </c>
      <c r="U89" s="1102">
        <v>100</v>
      </c>
      <c r="V89" s="1102">
        <v>100</v>
      </c>
      <c r="W89" s="1102">
        <v>100</v>
      </c>
      <c r="X89" s="1102">
        <v>100</v>
      </c>
      <c r="Y89" s="1102">
        <v>100</v>
      </c>
      <c r="Z89" s="1102">
        <v>100</v>
      </c>
      <c r="AC89" s="1101" t="s">
        <v>30</v>
      </c>
      <c r="AD89" s="1102">
        <v>100</v>
      </c>
      <c r="AE89" s="1102">
        <v>0</v>
      </c>
      <c r="AF89" s="1102">
        <v>100</v>
      </c>
      <c r="AG89" s="1102">
        <v>100</v>
      </c>
      <c r="AH89" s="1102">
        <v>100</v>
      </c>
    </row>
    <row r="90" spans="1:41">
      <c r="A90" s="1099" t="s">
        <v>248</v>
      </c>
      <c r="B90" s="1097" t="s">
        <v>233</v>
      </c>
      <c r="C90" s="1097" t="s">
        <v>220</v>
      </c>
      <c r="D90" s="1097" t="s">
        <v>223</v>
      </c>
      <c r="E90" s="1097" t="s">
        <v>249</v>
      </c>
      <c r="F90" s="1097" t="s">
        <v>221</v>
      </c>
      <c r="G90" s="1097" t="s">
        <v>234</v>
      </c>
      <c r="H90" s="1097" t="s">
        <v>242</v>
      </c>
      <c r="I90" s="1097" t="s">
        <v>225</v>
      </c>
      <c r="J90" s="1097" t="s">
        <v>236</v>
      </c>
      <c r="K90" s="1097" t="s">
        <v>227</v>
      </c>
      <c r="L90" s="1097" t="s">
        <v>2</v>
      </c>
      <c r="M90" s="1097" t="s">
        <v>232</v>
      </c>
      <c r="N90" s="1097" t="s">
        <v>230</v>
      </c>
      <c r="O90" s="1097" t="s">
        <v>3</v>
      </c>
      <c r="P90" s="1097" t="s">
        <v>235</v>
      </c>
      <c r="Q90" s="1097" t="s">
        <v>250</v>
      </c>
      <c r="R90" s="1097" t="s">
        <v>228</v>
      </c>
      <c r="S90" s="1097" t="s">
        <v>224</v>
      </c>
      <c r="T90" s="1097" t="s">
        <v>239</v>
      </c>
      <c r="U90" s="1097" t="s">
        <v>1033</v>
      </c>
      <c r="V90" s="1097" t="s">
        <v>219</v>
      </c>
      <c r="W90" s="1097" t="s">
        <v>229</v>
      </c>
      <c r="X90" s="1097" t="s">
        <v>222</v>
      </c>
      <c r="Y90" s="1097" t="s">
        <v>1018</v>
      </c>
      <c r="Z90" s="1097" t="s">
        <v>231</v>
      </c>
      <c r="AC90" s="1099" t="s">
        <v>248</v>
      </c>
      <c r="AD90" s="1097" t="s">
        <v>232</v>
      </c>
      <c r="AE90" s="1097" t="s">
        <v>230</v>
      </c>
      <c r="AF90" s="1097" t="s">
        <v>224</v>
      </c>
      <c r="AG90" s="1097" t="s">
        <v>222</v>
      </c>
      <c r="AH90" s="1097" t="s">
        <v>231</v>
      </c>
      <c r="AJ90" s="1099" t="s">
        <v>248</v>
      </c>
      <c r="AK90" s="1097" t="s">
        <v>232</v>
      </c>
      <c r="AL90" s="1097" t="s">
        <v>230</v>
      </c>
      <c r="AM90" s="1097" t="s">
        <v>224</v>
      </c>
      <c r="AN90" s="1097" t="s">
        <v>222</v>
      </c>
      <c r="AO90" s="1097" t="s">
        <v>231</v>
      </c>
    </row>
    <row r="91" spans="1:41">
      <c r="A91" s="1100" t="s">
        <v>1023</v>
      </c>
      <c r="B91" s="1079"/>
      <c r="C91" s="1079"/>
      <c r="D91" s="1079"/>
      <c r="E91" s="1079"/>
      <c r="F91" s="1079"/>
      <c r="G91" s="1079"/>
      <c r="H91" s="1079"/>
      <c r="I91" s="1079"/>
      <c r="J91" s="1079"/>
      <c r="K91" s="1079"/>
      <c r="L91" s="1079"/>
      <c r="M91" s="1079"/>
      <c r="N91" s="1079"/>
      <c r="O91" s="1079"/>
      <c r="P91" s="1079"/>
      <c r="Q91" s="1079"/>
      <c r="R91" s="1079"/>
      <c r="S91" s="1079"/>
      <c r="T91" s="1079"/>
      <c r="U91" s="1079"/>
      <c r="V91" s="1079"/>
      <c r="W91" s="1079"/>
      <c r="X91" s="1079"/>
      <c r="Y91" s="1079"/>
      <c r="Z91" s="1079"/>
      <c r="AC91" s="1100" t="s">
        <v>1023</v>
      </c>
      <c r="AD91" s="1079"/>
      <c r="AE91" s="1079"/>
      <c r="AF91" s="1079"/>
      <c r="AG91" s="1079"/>
      <c r="AH91" s="1079"/>
      <c r="AJ91" s="1101" t="s">
        <v>251</v>
      </c>
      <c r="AK91" s="1102">
        <v>67.709999999999994</v>
      </c>
      <c r="AL91" s="1102">
        <v>90.51</v>
      </c>
      <c r="AM91" s="1102">
        <v>82.36</v>
      </c>
      <c r="AN91" s="1102">
        <v>87.05</v>
      </c>
      <c r="AO91" s="1102">
        <v>85.22</v>
      </c>
    </row>
    <row r="92" spans="1:41">
      <c r="A92" s="1101" t="s">
        <v>251</v>
      </c>
      <c r="B92" s="1102">
        <v>61.29</v>
      </c>
      <c r="C92" s="1102">
        <v>88.03</v>
      </c>
      <c r="D92" s="1102">
        <v>76.92</v>
      </c>
      <c r="E92" s="1102">
        <v>93.18</v>
      </c>
      <c r="F92" s="1102">
        <v>77.19</v>
      </c>
      <c r="G92" s="1102">
        <v>100</v>
      </c>
      <c r="H92" s="1102">
        <v>0</v>
      </c>
      <c r="I92" s="1102">
        <v>67.489999999999995</v>
      </c>
      <c r="J92" s="1102">
        <v>100</v>
      </c>
      <c r="K92" s="1102">
        <v>63.5</v>
      </c>
      <c r="L92" s="1102">
        <v>73.14</v>
      </c>
      <c r="M92" s="1102">
        <v>67.709999999999994</v>
      </c>
      <c r="N92" s="1102">
        <v>90.51</v>
      </c>
      <c r="O92" s="1102">
        <v>88</v>
      </c>
      <c r="P92" s="1102">
        <v>93.75</v>
      </c>
      <c r="Q92" s="1102">
        <v>100</v>
      </c>
      <c r="R92" s="1102">
        <v>37.25</v>
      </c>
      <c r="S92" s="1102">
        <v>82.36</v>
      </c>
      <c r="T92" s="1102">
        <v>50</v>
      </c>
      <c r="U92" s="1102">
        <v>44.44</v>
      </c>
      <c r="V92" s="1102">
        <v>80.28</v>
      </c>
      <c r="W92" s="1102">
        <v>67.349999999999994</v>
      </c>
      <c r="X92" s="1102">
        <v>87.05</v>
      </c>
      <c r="Y92" s="1102">
        <v>0</v>
      </c>
      <c r="Z92" s="1102">
        <v>85.22</v>
      </c>
      <c r="AC92" s="1101" t="s">
        <v>251</v>
      </c>
      <c r="AD92" s="1102">
        <v>67.709999999999994</v>
      </c>
      <c r="AE92" s="1102">
        <v>90.51</v>
      </c>
      <c r="AF92" s="1102">
        <v>82.36</v>
      </c>
      <c r="AG92" s="1102">
        <v>87.05</v>
      </c>
      <c r="AH92" s="1102">
        <v>85.22</v>
      </c>
      <c r="AJ92" s="1101" t="s">
        <v>1116</v>
      </c>
      <c r="AK92" s="1102">
        <v>4.3899999999999997</v>
      </c>
      <c r="AL92" s="1102">
        <v>9.2799999999999994</v>
      </c>
      <c r="AM92" s="1102">
        <v>12.38</v>
      </c>
      <c r="AN92" s="1102">
        <v>12.09</v>
      </c>
      <c r="AO92" s="1102">
        <v>12.17</v>
      </c>
    </row>
    <row r="93" spans="1:41">
      <c r="A93" s="1101" t="s">
        <v>1116</v>
      </c>
      <c r="B93" s="1102">
        <v>38.71</v>
      </c>
      <c r="C93" s="1102">
        <v>9.82</v>
      </c>
      <c r="D93" s="1102">
        <v>14.84</v>
      </c>
      <c r="E93" s="1102">
        <v>6.82</v>
      </c>
      <c r="F93" s="1102">
        <v>16.100000000000001</v>
      </c>
      <c r="G93" s="1102">
        <v>0</v>
      </c>
      <c r="H93" s="1102">
        <v>0</v>
      </c>
      <c r="I93" s="1102">
        <v>32.51</v>
      </c>
      <c r="J93" s="1102">
        <v>0</v>
      </c>
      <c r="K93" s="1102">
        <v>22.63</v>
      </c>
      <c r="L93" s="1102">
        <v>17.75</v>
      </c>
      <c r="M93" s="1102">
        <v>4.3899999999999997</v>
      </c>
      <c r="N93" s="1102">
        <v>9.2799999999999994</v>
      </c>
      <c r="O93" s="1102">
        <v>12</v>
      </c>
      <c r="P93" s="1102">
        <v>4.46</v>
      </c>
      <c r="Q93" s="1102">
        <v>0</v>
      </c>
      <c r="R93" s="1102">
        <v>62.75</v>
      </c>
      <c r="S93" s="1102">
        <v>12.38</v>
      </c>
      <c r="T93" s="1102">
        <v>0</v>
      </c>
      <c r="U93" s="1102">
        <v>55.56</v>
      </c>
      <c r="V93" s="1102">
        <v>16.239999999999998</v>
      </c>
      <c r="W93" s="1102">
        <v>30.61</v>
      </c>
      <c r="X93" s="1102">
        <v>12.09</v>
      </c>
      <c r="Y93" s="1102">
        <v>0</v>
      </c>
      <c r="Z93" s="1102">
        <v>12.17</v>
      </c>
      <c r="AC93" s="1101" t="s">
        <v>1116</v>
      </c>
      <c r="AD93" s="1102">
        <v>4.3899999999999997</v>
      </c>
      <c r="AE93" s="1102">
        <v>9.2799999999999994</v>
      </c>
      <c r="AF93" s="1102">
        <v>12.38</v>
      </c>
      <c r="AG93" s="1102">
        <v>12.09</v>
      </c>
      <c r="AH93" s="1102">
        <v>12.17</v>
      </c>
      <c r="AJ93" s="1101" t="s">
        <v>253</v>
      </c>
      <c r="AK93" s="1102">
        <v>27.9</v>
      </c>
      <c r="AL93" s="1102">
        <v>0.21</v>
      </c>
      <c r="AM93" s="1102">
        <v>5.25</v>
      </c>
      <c r="AN93" s="1102">
        <v>0.86</v>
      </c>
      <c r="AO93" s="1102">
        <v>2.61</v>
      </c>
    </row>
    <row r="94" spans="1:41">
      <c r="A94" s="1103" t="s">
        <v>233</v>
      </c>
      <c r="B94" s="1079"/>
      <c r="C94" s="1079">
        <v>0</v>
      </c>
      <c r="D94" s="1079">
        <v>0</v>
      </c>
      <c r="E94" s="1079">
        <v>0</v>
      </c>
      <c r="F94" s="1079">
        <v>0.09</v>
      </c>
      <c r="G94" s="1079">
        <v>0</v>
      </c>
      <c r="H94" s="1079">
        <v>0</v>
      </c>
      <c r="I94" s="1079">
        <v>0</v>
      </c>
      <c r="J94" s="1079">
        <v>0</v>
      </c>
      <c r="K94" s="1079">
        <v>0</v>
      </c>
      <c r="L94" s="1079">
        <v>0</v>
      </c>
      <c r="M94" s="1079">
        <v>0</v>
      </c>
      <c r="N94" s="1079">
        <v>0</v>
      </c>
      <c r="O94" s="1079">
        <v>0</v>
      </c>
      <c r="P94" s="1079">
        <v>0</v>
      </c>
      <c r="Q94" s="1079">
        <v>0</v>
      </c>
      <c r="R94" s="1079">
        <v>0</v>
      </c>
      <c r="S94" s="1079">
        <v>0</v>
      </c>
      <c r="T94" s="1079">
        <v>0</v>
      </c>
      <c r="U94" s="1079">
        <v>0</v>
      </c>
      <c r="V94" s="1079">
        <v>0</v>
      </c>
      <c r="W94" s="1079">
        <v>0</v>
      </c>
      <c r="X94" s="1079">
        <v>0</v>
      </c>
      <c r="Y94" s="1079">
        <v>0</v>
      </c>
      <c r="Z94" s="1079">
        <v>0</v>
      </c>
      <c r="AC94" s="1103" t="s">
        <v>233</v>
      </c>
      <c r="AD94" s="1079">
        <v>0</v>
      </c>
      <c r="AE94" s="1079">
        <v>0</v>
      </c>
      <c r="AF94" s="1079">
        <v>0</v>
      </c>
      <c r="AG94" s="1079">
        <v>0</v>
      </c>
      <c r="AH94" s="1079">
        <v>0</v>
      </c>
    </row>
    <row r="95" spans="1:41">
      <c r="A95" s="1103" t="s">
        <v>220</v>
      </c>
      <c r="B95" s="1079">
        <v>22.58</v>
      </c>
      <c r="C95" s="1079"/>
      <c r="D95" s="1079">
        <v>11.4</v>
      </c>
      <c r="E95" s="1079">
        <v>3.41</v>
      </c>
      <c r="F95" s="1079">
        <v>7.91</v>
      </c>
      <c r="G95" s="1079">
        <v>0</v>
      </c>
      <c r="H95" s="1079">
        <v>0</v>
      </c>
      <c r="I95" s="1079">
        <v>11.78</v>
      </c>
      <c r="J95" s="1079">
        <v>0</v>
      </c>
      <c r="K95" s="1079">
        <v>3.65</v>
      </c>
      <c r="L95" s="1079">
        <v>6.13</v>
      </c>
      <c r="M95" s="1079">
        <v>0</v>
      </c>
      <c r="N95" s="1079">
        <v>2.5299999999999998</v>
      </c>
      <c r="O95" s="1079">
        <v>12</v>
      </c>
      <c r="P95" s="1079">
        <v>0</v>
      </c>
      <c r="Q95" s="1079">
        <v>0</v>
      </c>
      <c r="R95" s="1079">
        <v>0</v>
      </c>
      <c r="S95" s="1079">
        <v>8.35</v>
      </c>
      <c r="T95" s="1079">
        <v>0</v>
      </c>
      <c r="U95" s="1079">
        <v>0</v>
      </c>
      <c r="V95" s="1079">
        <v>14.37</v>
      </c>
      <c r="W95" s="1079">
        <v>28.57</v>
      </c>
      <c r="X95" s="1079">
        <v>5.95</v>
      </c>
      <c r="Y95" s="1079">
        <v>0</v>
      </c>
      <c r="Z95" s="1079">
        <v>4.0599999999999996</v>
      </c>
      <c r="AC95" s="1103" t="s">
        <v>220</v>
      </c>
      <c r="AD95" s="1079">
        <v>0</v>
      </c>
      <c r="AE95" s="1079">
        <v>2.5299999999999998</v>
      </c>
      <c r="AF95" s="1079">
        <v>8.35</v>
      </c>
      <c r="AG95" s="1079">
        <v>5.95</v>
      </c>
      <c r="AH95" s="1079">
        <v>4.0599999999999996</v>
      </c>
      <c r="AJ95" s="1103" t="s">
        <v>220</v>
      </c>
      <c r="AK95" s="1079">
        <v>0</v>
      </c>
      <c r="AL95" s="1079">
        <v>2.5299999999999998</v>
      </c>
      <c r="AM95" s="1079">
        <v>8.35</v>
      </c>
      <c r="AN95" s="1079">
        <v>5.95</v>
      </c>
      <c r="AO95" s="1079">
        <v>4.0599999999999996</v>
      </c>
    </row>
    <row r="96" spans="1:41">
      <c r="A96" s="1103" t="s">
        <v>223</v>
      </c>
      <c r="B96" s="1079">
        <v>0</v>
      </c>
      <c r="C96" s="1079">
        <v>1.45</v>
      </c>
      <c r="D96" s="1079"/>
      <c r="E96" s="1079">
        <v>0</v>
      </c>
      <c r="F96" s="1079">
        <v>0.37</v>
      </c>
      <c r="G96" s="1079">
        <v>0</v>
      </c>
      <c r="H96" s="1079">
        <v>0</v>
      </c>
      <c r="I96" s="1079">
        <v>0</v>
      </c>
      <c r="J96" s="1079">
        <v>0</v>
      </c>
      <c r="K96" s="1079">
        <v>0</v>
      </c>
      <c r="L96" s="1079">
        <v>0.05</v>
      </c>
      <c r="M96" s="1079">
        <v>0</v>
      </c>
      <c r="N96" s="1079">
        <v>0</v>
      </c>
      <c r="O96" s="1079">
        <v>0</v>
      </c>
      <c r="P96" s="1079">
        <v>0</v>
      </c>
      <c r="Q96" s="1079">
        <v>0</v>
      </c>
      <c r="R96" s="1079">
        <v>0</v>
      </c>
      <c r="S96" s="1079">
        <v>0.15</v>
      </c>
      <c r="T96" s="1079">
        <v>0</v>
      </c>
      <c r="U96" s="1079">
        <v>0</v>
      </c>
      <c r="V96" s="1079">
        <v>0.14000000000000001</v>
      </c>
      <c r="W96" s="1079">
        <v>0</v>
      </c>
      <c r="X96" s="1079">
        <v>0</v>
      </c>
      <c r="Y96" s="1079">
        <v>0</v>
      </c>
      <c r="Z96" s="1079">
        <v>0</v>
      </c>
      <c r="AC96" s="1103" t="s">
        <v>223</v>
      </c>
      <c r="AD96" s="1079">
        <v>0</v>
      </c>
      <c r="AE96" s="1079">
        <v>0</v>
      </c>
      <c r="AF96" s="1079">
        <v>0.15</v>
      </c>
      <c r="AG96" s="1079">
        <v>0</v>
      </c>
      <c r="AH96" s="1079">
        <v>0</v>
      </c>
      <c r="AJ96" s="1103" t="s">
        <v>221</v>
      </c>
      <c r="AK96" s="1079">
        <v>1.88</v>
      </c>
      <c r="AL96" s="1079">
        <v>0</v>
      </c>
      <c r="AM96" s="1079">
        <v>0.37</v>
      </c>
      <c r="AN96" s="1079">
        <v>0</v>
      </c>
      <c r="AO96" s="1079">
        <v>0.28999999999999998</v>
      </c>
    </row>
    <row r="97" spans="1:41">
      <c r="A97" s="1103" t="s">
        <v>221</v>
      </c>
      <c r="B97" s="1079">
        <v>16.13</v>
      </c>
      <c r="C97" s="1079">
        <v>0.56000000000000005</v>
      </c>
      <c r="D97" s="1079">
        <v>1.32</v>
      </c>
      <c r="E97" s="1079">
        <v>0</v>
      </c>
      <c r="F97" s="1079"/>
      <c r="G97" s="1079">
        <v>0</v>
      </c>
      <c r="H97" s="1079">
        <v>0</v>
      </c>
      <c r="I97" s="1079">
        <v>1.63</v>
      </c>
      <c r="J97" s="1079">
        <v>0</v>
      </c>
      <c r="K97" s="1079">
        <v>2.19</v>
      </c>
      <c r="L97" s="1079">
        <v>2.92</v>
      </c>
      <c r="M97" s="1079">
        <v>1.88</v>
      </c>
      <c r="N97" s="1079">
        <v>0</v>
      </c>
      <c r="O97" s="1079">
        <v>0</v>
      </c>
      <c r="P97" s="1079">
        <v>0</v>
      </c>
      <c r="Q97" s="1079">
        <v>0</v>
      </c>
      <c r="R97" s="1079">
        <v>0</v>
      </c>
      <c r="S97" s="1079">
        <v>0.37</v>
      </c>
      <c r="T97" s="1079">
        <v>0</v>
      </c>
      <c r="U97" s="1079">
        <v>0</v>
      </c>
      <c r="V97" s="1079">
        <v>0.79</v>
      </c>
      <c r="W97" s="1079">
        <v>0</v>
      </c>
      <c r="X97" s="1079">
        <v>0</v>
      </c>
      <c r="Y97" s="1079">
        <v>0</v>
      </c>
      <c r="Z97" s="1079">
        <v>0.28999999999999998</v>
      </c>
      <c r="AC97" s="1103" t="s">
        <v>221</v>
      </c>
      <c r="AD97" s="1079">
        <v>1.88</v>
      </c>
      <c r="AE97" s="1079">
        <v>0</v>
      </c>
      <c r="AF97" s="1079">
        <v>0.37</v>
      </c>
      <c r="AG97" s="1079">
        <v>0</v>
      </c>
      <c r="AH97" s="1079">
        <v>0.28999999999999998</v>
      </c>
      <c r="AJ97" s="1103" t="s">
        <v>232</v>
      </c>
      <c r="AK97" s="1079"/>
      <c r="AL97" s="1079">
        <v>0</v>
      </c>
      <c r="AM97" s="1079">
        <v>1.34</v>
      </c>
      <c r="AN97" s="1079">
        <v>0</v>
      </c>
      <c r="AO97" s="1079">
        <v>0</v>
      </c>
    </row>
    <row r="98" spans="1:41">
      <c r="A98" s="1103" t="s">
        <v>225</v>
      </c>
      <c r="B98" s="1079">
        <v>0</v>
      </c>
      <c r="C98" s="1079">
        <v>0.08</v>
      </c>
      <c r="D98" s="1079">
        <v>0</v>
      </c>
      <c r="E98" s="1079">
        <v>0</v>
      </c>
      <c r="F98" s="1079">
        <v>0.89</v>
      </c>
      <c r="G98" s="1079">
        <v>0</v>
      </c>
      <c r="H98" s="1079">
        <v>0</v>
      </c>
      <c r="I98" s="1079"/>
      <c r="J98" s="1079">
        <v>0</v>
      </c>
      <c r="K98" s="1079">
        <v>0</v>
      </c>
      <c r="L98" s="1079">
        <v>0</v>
      </c>
      <c r="M98" s="1079">
        <v>0</v>
      </c>
      <c r="N98" s="1079">
        <v>0</v>
      </c>
      <c r="O98" s="1079">
        <v>0</v>
      </c>
      <c r="P98" s="1079">
        <v>0</v>
      </c>
      <c r="Q98" s="1079">
        <v>0</v>
      </c>
      <c r="R98" s="1079">
        <v>0</v>
      </c>
      <c r="S98" s="1079">
        <v>0</v>
      </c>
      <c r="T98" s="1079">
        <v>0</v>
      </c>
      <c r="U98" s="1079">
        <v>55.56</v>
      </c>
      <c r="V98" s="1079">
        <v>0</v>
      </c>
      <c r="W98" s="1079">
        <v>0</v>
      </c>
      <c r="X98" s="1079">
        <v>0</v>
      </c>
      <c r="Y98" s="1079">
        <v>0</v>
      </c>
      <c r="Z98" s="1079">
        <v>0</v>
      </c>
      <c r="AC98" s="1103" t="s">
        <v>225</v>
      </c>
      <c r="AD98" s="1079">
        <v>0</v>
      </c>
      <c r="AE98" s="1079">
        <v>0</v>
      </c>
      <c r="AF98" s="1079">
        <v>0</v>
      </c>
      <c r="AG98" s="1079">
        <v>0</v>
      </c>
      <c r="AH98" s="1079">
        <v>0</v>
      </c>
      <c r="AJ98" s="1103" t="s">
        <v>230</v>
      </c>
      <c r="AK98" s="1079">
        <v>0</v>
      </c>
      <c r="AL98" s="1079"/>
      <c r="AM98" s="1079">
        <v>0</v>
      </c>
      <c r="AN98" s="1079">
        <v>0.08</v>
      </c>
      <c r="AO98" s="1079">
        <v>4.93</v>
      </c>
    </row>
    <row r="99" spans="1:41">
      <c r="A99" s="1103" t="s">
        <v>227</v>
      </c>
      <c r="B99" s="1079">
        <v>0</v>
      </c>
      <c r="C99" s="1079">
        <v>0</v>
      </c>
      <c r="D99" s="1079">
        <v>0</v>
      </c>
      <c r="E99" s="1079">
        <v>0</v>
      </c>
      <c r="F99" s="1079">
        <v>0.09</v>
      </c>
      <c r="G99" s="1079">
        <v>0</v>
      </c>
      <c r="H99" s="1079">
        <v>0</v>
      </c>
      <c r="I99" s="1079">
        <v>0</v>
      </c>
      <c r="J99" s="1079">
        <v>0</v>
      </c>
      <c r="K99" s="1079"/>
      <c r="L99" s="1079">
        <v>2.06</v>
      </c>
      <c r="M99" s="1079">
        <v>0</v>
      </c>
      <c r="N99" s="1079">
        <v>0</v>
      </c>
      <c r="O99" s="1079">
        <v>0</v>
      </c>
      <c r="P99" s="1079">
        <v>0</v>
      </c>
      <c r="Q99" s="1079">
        <v>0</v>
      </c>
      <c r="R99" s="1079">
        <v>0</v>
      </c>
      <c r="S99" s="1079">
        <v>0</v>
      </c>
      <c r="T99" s="1079">
        <v>0</v>
      </c>
      <c r="U99" s="1079">
        <v>0</v>
      </c>
      <c r="V99" s="1079">
        <v>0.01</v>
      </c>
      <c r="W99" s="1079">
        <v>0.51</v>
      </c>
      <c r="X99" s="1079">
        <v>0</v>
      </c>
      <c r="Y99" s="1079">
        <v>0</v>
      </c>
      <c r="Z99" s="1079">
        <v>0</v>
      </c>
      <c r="AC99" s="1103" t="s">
        <v>227</v>
      </c>
      <c r="AD99" s="1079">
        <v>0</v>
      </c>
      <c r="AE99" s="1079">
        <v>0</v>
      </c>
      <c r="AF99" s="1079">
        <v>0</v>
      </c>
      <c r="AG99" s="1079">
        <v>0</v>
      </c>
      <c r="AH99" s="1079">
        <v>0</v>
      </c>
      <c r="AJ99" s="1103" t="s">
        <v>224</v>
      </c>
      <c r="AK99" s="1079">
        <v>2.5099999999999998</v>
      </c>
      <c r="AL99" s="1079">
        <v>0</v>
      </c>
      <c r="AM99" s="1079"/>
      <c r="AN99" s="1079">
        <v>4.32</v>
      </c>
      <c r="AO99" s="1079">
        <v>0</v>
      </c>
    </row>
    <row r="100" spans="1:41">
      <c r="A100" s="1103" t="s">
        <v>2</v>
      </c>
      <c r="B100" s="1079">
        <v>0</v>
      </c>
      <c r="C100" s="1079">
        <v>0.42</v>
      </c>
      <c r="D100" s="1079">
        <v>7.0000000000000007E-2</v>
      </c>
      <c r="E100" s="1079">
        <v>0</v>
      </c>
      <c r="F100" s="1079">
        <v>1.86</v>
      </c>
      <c r="G100" s="1079">
        <v>0</v>
      </c>
      <c r="H100" s="1079">
        <v>0</v>
      </c>
      <c r="I100" s="1079">
        <v>0</v>
      </c>
      <c r="J100" s="1079">
        <v>0</v>
      </c>
      <c r="K100" s="1079">
        <v>6.57</v>
      </c>
      <c r="L100" s="1079"/>
      <c r="M100" s="1079">
        <v>0</v>
      </c>
      <c r="N100" s="1079">
        <v>0</v>
      </c>
      <c r="O100" s="1079">
        <v>0</v>
      </c>
      <c r="P100" s="1079">
        <v>0</v>
      </c>
      <c r="Q100" s="1079">
        <v>0</v>
      </c>
      <c r="R100" s="1079">
        <v>62.75</v>
      </c>
      <c r="S100" s="1079">
        <v>0</v>
      </c>
      <c r="T100" s="1079">
        <v>0</v>
      </c>
      <c r="U100" s="1079">
        <v>0</v>
      </c>
      <c r="V100" s="1079">
        <v>0.65</v>
      </c>
      <c r="W100" s="1079">
        <v>0</v>
      </c>
      <c r="X100" s="1079">
        <v>0.18</v>
      </c>
      <c r="Y100" s="1079">
        <v>0</v>
      </c>
      <c r="Z100" s="1079">
        <v>0</v>
      </c>
      <c r="AC100" s="1103" t="s">
        <v>2</v>
      </c>
      <c r="AD100" s="1079">
        <v>0</v>
      </c>
      <c r="AE100" s="1079">
        <v>0</v>
      </c>
      <c r="AF100" s="1079">
        <v>0</v>
      </c>
      <c r="AG100" s="1079">
        <v>0.18</v>
      </c>
      <c r="AH100" s="1079">
        <v>0</v>
      </c>
      <c r="AJ100" s="1103" t="s">
        <v>219</v>
      </c>
      <c r="AK100" s="1079">
        <v>0</v>
      </c>
      <c r="AL100" s="1079">
        <v>0</v>
      </c>
      <c r="AM100" s="1079">
        <v>1.29</v>
      </c>
      <c r="AN100" s="1079">
        <v>1.56</v>
      </c>
      <c r="AO100" s="1079">
        <v>2.9</v>
      </c>
    </row>
    <row r="101" spans="1:41">
      <c r="A101" s="1103" t="s">
        <v>232</v>
      </c>
      <c r="B101" s="1079">
        <v>0</v>
      </c>
      <c r="C101" s="1079">
        <v>0</v>
      </c>
      <c r="D101" s="1079">
        <v>0</v>
      </c>
      <c r="E101" s="1079">
        <v>0</v>
      </c>
      <c r="F101" s="1079">
        <v>0.42</v>
      </c>
      <c r="G101" s="1079">
        <v>0</v>
      </c>
      <c r="H101" s="1079">
        <v>0</v>
      </c>
      <c r="I101" s="1079">
        <v>0</v>
      </c>
      <c r="J101" s="1079">
        <v>0</v>
      </c>
      <c r="K101" s="1079">
        <v>0</v>
      </c>
      <c r="L101" s="1079">
        <v>0</v>
      </c>
      <c r="M101" s="1079"/>
      <c r="N101" s="1079">
        <v>0</v>
      </c>
      <c r="O101" s="1079">
        <v>0</v>
      </c>
      <c r="P101" s="1079">
        <v>0</v>
      </c>
      <c r="Q101" s="1079">
        <v>0</v>
      </c>
      <c r="R101" s="1079">
        <v>0</v>
      </c>
      <c r="S101" s="1079">
        <v>1.34</v>
      </c>
      <c r="T101" s="1079">
        <v>0</v>
      </c>
      <c r="U101" s="1079">
        <v>0</v>
      </c>
      <c r="V101" s="1079">
        <v>0</v>
      </c>
      <c r="W101" s="1079">
        <v>0</v>
      </c>
      <c r="X101" s="1079">
        <v>0</v>
      </c>
      <c r="Y101" s="1079">
        <v>0</v>
      </c>
      <c r="Z101" s="1079">
        <v>0</v>
      </c>
      <c r="AC101" s="1103" t="s">
        <v>232</v>
      </c>
      <c r="AD101" s="1079"/>
      <c r="AE101" s="1079">
        <v>0</v>
      </c>
      <c r="AF101" s="1079">
        <v>1.34</v>
      </c>
      <c r="AG101" s="1079">
        <v>0</v>
      </c>
      <c r="AH101" s="1079">
        <v>0</v>
      </c>
      <c r="AJ101" s="1103" t="s">
        <v>231</v>
      </c>
      <c r="AK101" s="1079">
        <v>0</v>
      </c>
      <c r="AL101" s="1079">
        <v>6.54</v>
      </c>
      <c r="AM101" s="1079">
        <v>0</v>
      </c>
      <c r="AN101" s="1079">
        <v>0</v>
      </c>
      <c r="AO101" s="1079"/>
    </row>
    <row r="102" spans="1:41">
      <c r="A102" s="1103" t="s">
        <v>230</v>
      </c>
      <c r="B102" s="1079">
        <v>0</v>
      </c>
      <c r="C102" s="1079">
        <v>0.03</v>
      </c>
      <c r="D102" s="1079">
        <v>0</v>
      </c>
      <c r="E102" s="1079">
        <v>0</v>
      </c>
      <c r="F102" s="1079">
        <v>0</v>
      </c>
      <c r="G102" s="1079">
        <v>0</v>
      </c>
      <c r="H102" s="1079">
        <v>0</v>
      </c>
      <c r="I102" s="1079">
        <v>0</v>
      </c>
      <c r="J102" s="1079">
        <v>0</v>
      </c>
      <c r="K102" s="1079">
        <v>0</v>
      </c>
      <c r="L102" s="1079">
        <v>0</v>
      </c>
      <c r="M102" s="1079">
        <v>0</v>
      </c>
      <c r="N102" s="1079"/>
      <c r="O102" s="1079">
        <v>0</v>
      </c>
      <c r="P102" s="1079">
        <v>0</v>
      </c>
      <c r="Q102" s="1079">
        <v>0</v>
      </c>
      <c r="R102" s="1079">
        <v>0</v>
      </c>
      <c r="S102" s="1079">
        <v>0</v>
      </c>
      <c r="T102" s="1079">
        <v>0</v>
      </c>
      <c r="U102" s="1079">
        <v>0</v>
      </c>
      <c r="V102" s="1079">
        <v>0</v>
      </c>
      <c r="W102" s="1079">
        <v>0</v>
      </c>
      <c r="X102" s="1079">
        <v>0.08</v>
      </c>
      <c r="Y102" s="1079">
        <v>0</v>
      </c>
      <c r="Z102" s="1079">
        <v>4.93</v>
      </c>
      <c r="AC102" s="1103" t="s">
        <v>230</v>
      </c>
      <c r="AD102" s="1079">
        <v>0</v>
      </c>
      <c r="AE102" s="1079"/>
      <c r="AF102" s="1079">
        <v>0</v>
      </c>
      <c r="AG102" s="1079">
        <v>0.08</v>
      </c>
      <c r="AH102" s="1079">
        <v>4.93</v>
      </c>
    </row>
    <row r="103" spans="1:41">
      <c r="A103" s="1103" t="s">
        <v>228</v>
      </c>
      <c r="B103" s="1079">
        <v>0</v>
      </c>
      <c r="C103" s="1079">
        <v>0</v>
      </c>
      <c r="D103" s="1079">
        <v>0</v>
      </c>
      <c r="E103" s="1079">
        <v>0</v>
      </c>
      <c r="F103" s="1079">
        <v>0</v>
      </c>
      <c r="G103" s="1079">
        <v>0</v>
      </c>
      <c r="H103" s="1079">
        <v>0</v>
      </c>
      <c r="I103" s="1079">
        <v>0</v>
      </c>
      <c r="J103" s="1079">
        <v>0</v>
      </c>
      <c r="K103" s="1079">
        <v>0</v>
      </c>
      <c r="L103" s="1079">
        <v>0.64</v>
      </c>
      <c r="M103" s="1079">
        <v>0</v>
      </c>
      <c r="N103" s="1079">
        <v>0</v>
      </c>
      <c r="O103" s="1079">
        <v>0</v>
      </c>
      <c r="P103" s="1079">
        <v>0</v>
      </c>
      <c r="Q103" s="1079">
        <v>0</v>
      </c>
      <c r="R103" s="1079"/>
      <c r="S103" s="1079">
        <v>0</v>
      </c>
      <c r="T103" s="1079">
        <v>0</v>
      </c>
      <c r="U103" s="1079">
        <v>0</v>
      </c>
      <c r="V103" s="1079">
        <v>0</v>
      </c>
      <c r="W103" s="1079">
        <v>0</v>
      </c>
      <c r="X103" s="1079">
        <v>0</v>
      </c>
      <c r="Y103" s="1079">
        <v>0</v>
      </c>
      <c r="Z103" s="1079">
        <v>0</v>
      </c>
      <c r="AC103" s="1103" t="s">
        <v>228</v>
      </c>
      <c r="AD103" s="1079">
        <v>0</v>
      </c>
      <c r="AE103" s="1079">
        <v>0</v>
      </c>
      <c r="AF103" s="1079">
        <v>0</v>
      </c>
      <c r="AG103" s="1079">
        <v>0</v>
      </c>
      <c r="AH103" s="1079">
        <v>0</v>
      </c>
    </row>
    <row r="104" spans="1:41">
      <c r="A104" s="1103" t="s">
        <v>224</v>
      </c>
      <c r="B104" s="1079">
        <v>0</v>
      </c>
      <c r="C104" s="1079">
        <v>0.38</v>
      </c>
      <c r="D104" s="1079">
        <v>0.1</v>
      </c>
      <c r="E104" s="1079">
        <v>0</v>
      </c>
      <c r="F104" s="1079">
        <v>0.2</v>
      </c>
      <c r="G104" s="1079">
        <v>0</v>
      </c>
      <c r="H104" s="1079">
        <v>0</v>
      </c>
      <c r="I104" s="1079">
        <v>0</v>
      </c>
      <c r="J104" s="1079">
        <v>0</v>
      </c>
      <c r="K104" s="1079">
        <v>0</v>
      </c>
      <c r="L104" s="1079">
        <v>0</v>
      </c>
      <c r="M104" s="1079">
        <v>2.5099999999999998</v>
      </c>
      <c r="N104" s="1079">
        <v>0</v>
      </c>
      <c r="O104" s="1079">
        <v>0</v>
      </c>
      <c r="P104" s="1079">
        <v>0</v>
      </c>
      <c r="Q104" s="1079">
        <v>0</v>
      </c>
      <c r="R104" s="1079">
        <v>0</v>
      </c>
      <c r="S104" s="1079"/>
      <c r="T104" s="1079">
        <v>0</v>
      </c>
      <c r="U104" s="1079">
        <v>0</v>
      </c>
      <c r="V104" s="1079">
        <v>0.11</v>
      </c>
      <c r="W104" s="1079">
        <v>0</v>
      </c>
      <c r="X104" s="1079">
        <v>4.32</v>
      </c>
      <c r="Y104" s="1079">
        <v>0</v>
      </c>
      <c r="Z104" s="1079">
        <v>0</v>
      </c>
      <c r="AC104" s="1103" t="s">
        <v>224</v>
      </c>
      <c r="AD104" s="1079">
        <v>2.5099999999999998</v>
      </c>
      <c r="AE104" s="1079">
        <v>0</v>
      </c>
      <c r="AF104" s="1079"/>
      <c r="AG104" s="1079">
        <v>4.32</v>
      </c>
      <c r="AH104" s="1079">
        <v>0</v>
      </c>
    </row>
    <row r="105" spans="1:41">
      <c r="A105" s="1103" t="s">
        <v>1033</v>
      </c>
      <c r="B105" s="1079">
        <v>0</v>
      </c>
      <c r="C105" s="1079">
        <v>0</v>
      </c>
      <c r="D105" s="1079">
        <v>0</v>
      </c>
      <c r="E105" s="1079">
        <v>0</v>
      </c>
      <c r="F105" s="1079">
        <v>0</v>
      </c>
      <c r="G105" s="1079">
        <v>0</v>
      </c>
      <c r="H105" s="1079">
        <v>0</v>
      </c>
      <c r="I105" s="1079">
        <v>19.100000000000001</v>
      </c>
      <c r="J105" s="1079">
        <v>0</v>
      </c>
      <c r="K105" s="1079">
        <v>0</v>
      </c>
      <c r="L105" s="1079">
        <v>0</v>
      </c>
      <c r="M105" s="1079">
        <v>0</v>
      </c>
      <c r="N105" s="1079">
        <v>0</v>
      </c>
      <c r="O105" s="1079">
        <v>0</v>
      </c>
      <c r="P105" s="1079">
        <v>0</v>
      </c>
      <c r="Q105" s="1079">
        <v>0</v>
      </c>
      <c r="R105" s="1079">
        <v>0</v>
      </c>
      <c r="S105" s="1079">
        <v>0</v>
      </c>
      <c r="T105" s="1079">
        <v>0</v>
      </c>
      <c r="U105" s="1079"/>
      <c r="V105" s="1079">
        <v>0</v>
      </c>
      <c r="W105" s="1079">
        <v>0</v>
      </c>
      <c r="X105" s="1079">
        <v>0</v>
      </c>
      <c r="Y105" s="1079">
        <v>0</v>
      </c>
      <c r="Z105" s="1079">
        <v>0</v>
      </c>
      <c r="AC105" s="1103" t="s">
        <v>1033</v>
      </c>
      <c r="AD105" s="1079">
        <v>0</v>
      </c>
      <c r="AE105" s="1079">
        <v>0</v>
      </c>
      <c r="AF105" s="1079">
        <v>0</v>
      </c>
      <c r="AG105" s="1079">
        <v>0</v>
      </c>
      <c r="AH105" s="1079">
        <v>0</v>
      </c>
    </row>
    <row r="106" spans="1:41">
      <c r="A106" s="1103" t="s">
        <v>219</v>
      </c>
      <c r="B106" s="1079">
        <v>0</v>
      </c>
      <c r="C106" s="1079">
        <v>6.7</v>
      </c>
      <c r="D106" s="1079">
        <v>1.95</v>
      </c>
      <c r="E106" s="1079">
        <v>3.41</v>
      </c>
      <c r="F106" s="1079">
        <v>4.13</v>
      </c>
      <c r="G106" s="1079">
        <v>0</v>
      </c>
      <c r="H106" s="1079">
        <v>0</v>
      </c>
      <c r="I106" s="1079">
        <v>0</v>
      </c>
      <c r="J106" s="1079">
        <v>0</v>
      </c>
      <c r="K106" s="1079">
        <v>1.46</v>
      </c>
      <c r="L106" s="1079">
        <v>5.21</v>
      </c>
      <c r="M106" s="1079">
        <v>0</v>
      </c>
      <c r="N106" s="1079">
        <v>0</v>
      </c>
      <c r="O106" s="1079">
        <v>0</v>
      </c>
      <c r="P106" s="1079">
        <v>4.46</v>
      </c>
      <c r="Q106" s="1079">
        <v>0</v>
      </c>
      <c r="R106" s="1079">
        <v>0</v>
      </c>
      <c r="S106" s="1079">
        <v>1.29</v>
      </c>
      <c r="T106" s="1079">
        <v>0</v>
      </c>
      <c r="U106" s="1079">
        <v>0</v>
      </c>
      <c r="V106" s="1079"/>
      <c r="W106" s="1079">
        <v>1.53</v>
      </c>
      <c r="X106" s="1079">
        <v>1.56</v>
      </c>
      <c r="Y106" s="1079">
        <v>0</v>
      </c>
      <c r="Z106" s="1079">
        <v>2.9</v>
      </c>
      <c r="AC106" s="1103" t="s">
        <v>219</v>
      </c>
      <c r="AD106" s="1079">
        <v>0</v>
      </c>
      <c r="AE106" s="1079">
        <v>0</v>
      </c>
      <c r="AF106" s="1079">
        <v>1.29</v>
      </c>
      <c r="AG106" s="1079">
        <v>1.56</v>
      </c>
      <c r="AH106" s="1079">
        <v>2.9</v>
      </c>
    </row>
    <row r="107" spans="1:41">
      <c r="A107" s="1103" t="s">
        <v>229</v>
      </c>
      <c r="B107" s="1079">
        <v>0</v>
      </c>
      <c r="C107" s="1079">
        <v>0.01</v>
      </c>
      <c r="D107" s="1079">
        <v>0</v>
      </c>
      <c r="E107" s="1079">
        <v>0</v>
      </c>
      <c r="F107" s="1079">
        <v>0</v>
      </c>
      <c r="G107" s="1079">
        <v>0</v>
      </c>
      <c r="H107" s="1079">
        <v>0</v>
      </c>
      <c r="I107" s="1079">
        <v>0</v>
      </c>
      <c r="J107" s="1079">
        <v>0</v>
      </c>
      <c r="K107" s="1079">
        <v>8.76</v>
      </c>
      <c r="L107" s="1079">
        <v>0</v>
      </c>
      <c r="M107" s="1079">
        <v>0</v>
      </c>
      <c r="N107" s="1079">
        <v>0</v>
      </c>
      <c r="O107" s="1079">
        <v>0</v>
      </c>
      <c r="P107" s="1079">
        <v>0</v>
      </c>
      <c r="Q107" s="1079">
        <v>0</v>
      </c>
      <c r="R107" s="1079">
        <v>0</v>
      </c>
      <c r="S107" s="1079">
        <v>0</v>
      </c>
      <c r="T107" s="1079">
        <v>0</v>
      </c>
      <c r="U107" s="1079">
        <v>0</v>
      </c>
      <c r="V107" s="1079">
        <v>0</v>
      </c>
      <c r="W107" s="1079"/>
      <c r="X107" s="1079">
        <v>0</v>
      </c>
      <c r="Y107" s="1079">
        <v>0</v>
      </c>
      <c r="Z107" s="1079">
        <v>0</v>
      </c>
      <c r="AC107" s="1103" t="s">
        <v>229</v>
      </c>
      <c r="AD107" s="1079">
        <v>0</v>
      </c>
      <c r="AE107" s="1079">
        <v>0</v>
      </c>
      <c r="AF107" s="1079">
        <v>0</v>
      </c>
      <c r="AG107" s="1079">
        <v>0</v>
      </c>
      <c r="AH107" s="1079">
        <v>0</v>
      </c>
    </row>
    <row r="108" spans="1:41">
      <c r="A108" s="1103" t="s">
        <v>222</v>
      </c>
      <c r="B108" s="1079">
        <v>0</v>
      </c>
      <c r="C108" s="1079">
        <v>0.16</v>
      </c>
      <c r="D108" s="1079">
        <v>0</v>
      </c>
      <c r="E108" s="1079">
        <v>0</v>
      </c>
      <c r="F108" s="1079">
        <v>0</v>
      </c>
      <c r="G108" s="1079">
        <v>0</v>
      </c>
      <c r="H108" s="1079">
        <v>0</v>
      </c>
      <c r="I108" s="1079">
        <v>0</v>
      </c>
      <c r="J108" s="1079">
        <v>0</v>
      </c>
      <c r="K108" s="1079">
        <v>0</v>
      </c>
      <c r="L108" s="1079">
        <v>0.74</v>
      </c>
      <c r="M108" s="1079">
        <v>0</v>
      </c>
      <c r="N108" s="1079">
        <v>0.21</v>
      </c>
      <c r="O108" s="1079">
        <v>0</v>
      </c>
      <c r="P108" s="1079">
        <v>0</v>
      </c>
      <c r="Q108" s="1079">
        <v>0</v>
      </c>
      <c r="R108" s="1079">
        <v>0</v>
      </c>
      <c r="S108" s="1079">
        <v>0.62</v>
      </c>
      <c r="T108" s="1079">
        <v>0</v>
      </c>
      <c r="U108" s="1079">
        <v>0</v>
      </c>
      <c r="V108" s="1079">
        <v>0.13</v>
      </c>
      <c r="W108" s="1079">
        <v>0</v>
      </c>
      <c r="X108" s="1079"/>
      <c r="Y108" s="1079">
        <v>0</v>
      </c>
      <c r="Z108" s="1079">
        <v>0</v>
      </c>
      <c r="AC108" s="1103" t="s">
        <v>222</v>
      </c>
      <c r="AD108" s="1079">
        <v>0</v>
      </c>
      <c r="AE108" s="1079">
        <v>0.21</v>
      </c>
      <c r="AF108" s="1079">
        <v>0.62</v>
      </c>
      <c r="AG108" s="1079"/>
      <c r="AH108" s="1079">
        <v>0</v>
      </c>
    </row>
    <row r="109" spans="1:41">
      <c r="A109" s="1103" t="s">
        <v>231</v>
      </c>
      <c r="B109" s="1079">
        <v>0</v>
      </c>
      <c r="C109" s="1079">
        <v>0</v>
      </c>
      <c r="D109" s="1079">
        <v>0</v>
      </c>
      <c r="E109" s="1079">
        <v>0</v>
      </c>
      <c r="F109" s="1079">
        <v>0.13</v>
      </c>
      <c r="G109" s="1079">
        <v>0</v>
      </c>
      <c r="H109" s="1079">
        <v>0</v>
      </c>
      <c r="I109" s="1079">
        <v>0</v>
      </c>
      <c r="J109" s="1079">
        <v>0</v>
      </c>
      <c r="K109" s="1079">
        <v>0</v>
      </c>
      <c r="L109" s="1079">
        <v>0</v>
      </c>
      <c r="M109" s="1079">
        <v>0</v>
      </c>
      <c r="N109" s="1079">
        <v>6.54</v>
      </c>
      <c r="O109" s="1079">
        <v>0</v>
      </c>
      <c r="P109" s="1079">
        <v>0</v>
      </c>
      <c r="Q109" s="1079">
        <v>0</v>
      </c>
      <c r="R109" s="1079">
        <v>0</v>
      </c>
      <c r="S109" s="1079">
        <v>0</v>
      </c>
      <c r="T109" s="1079">
        <v>0</v>
      </c>
      <c r="U109" s="1079">
        <v>0</v>
      </c>
      <c r="V109" s="1079">
        <v>0.01</v>
      </c>
      <c r="W109" s="1079">
        <v>0</v>
      </c>
      <c r="X109" s="1079">
        <v>0</v>
      </c>
      <c r="Y109" s="1079">
        <v>0</v>
      </c>
      <c r="Z109" s="1079"/>
      <c r="AC109" s="1103" t="s">
        <v>231</v>
      </c>
      <c r="AD109" s="1079">
        <v>0</v>
      </c>
      <c r="AE109" s="1079">
        <v>6.54</v>
      </c>
      <c r="AF109" s="1079">
        <v>0</v>
      </c>
      <c r="AG109" s="1079">
        <v>0</v>
      </c>
      <c r="AH109" s="1079"/>
    </row>
    <row r="110" spans="1:41">
      <c r="A110" s="1103" t="s">
        <v>244</v>
      </c>
      <c r="B110" s="1079">
        <v>0</v>
      </c>
      <c r="C110" s="1079">
        <v>0.03</v>
      </c>
      <c r="D110" s="1079">
        <v>0</v>
      </c>
      <c r="E110" s="1079">
        <v>0</v>
      </c>
      <c r="F110" s="1079">
        <v>0.01</v>
      </c>
      <c r="G110" s="1079">
        <v>0</v>
      </c>
      <c r="H110" s="1079">
        <v>0</v>
      </c>
      <c r="I110" s="1079">
        <v>0</v>
      </c>
      <c r="J110" s="1079">
        <v>0</v>
      </c>
      <c r="K110" s="1079">
        <v>0</v>
      </c>
      <c r="L110" s="1079">
        <v>0</v>
      </c>
      <c r="M110" s="1079">
        <v>0</v>
      </c>
      <c r="N110" s="1079">
        <v>0</v>
      </c>
      <c r="O110" s="1079">
        <v>0</v>
      </c>
      <c r="P110" s="1079">
        <v>0</v>
      </c>
      <c r="Q110" s="1079">
        <v>0</v>
      </c>
      <c r="R110" s="1079">
        <v>0</v>
      </c>
      <c r="S110" s="1079">
        <v>0.26</v>
      </c>
      <c r="T110" s="1079">
        <v>0</v>
      </c>
      <c r="U110" s="1079">
        <v>0</v>
      </c>
      <c r="V110" s="1079">
        <v>0.03</v>
      </c>
      <c r="W110" s="1079">
        <v>0</v>
      </c>
      <c r="X110" s="1079">
        <v>0</v>
      </c>
      <c r="Y110" s="1079">
        <v>0</v>
      </c>
      <c r="Z110" s="1079">
        <v>0</v>
      </c>
      <c r="AC110" s="1103" t="s">
        <v>244</v>
      </c>
      <c r="AD110" s="1079">
        <v>0</v>
      </c>
      <c r="AE110" s="1079">
        <v>0</v>
      </c>
      <c r="AF110" s="1079">
        <v>0.26</v>
      </c>
      <c r="AG110" s="1079">
        <v>0</v>
      </c>
      <c r="AH110" s="1079">
        <v>0</v>
      </c>
    </row>
    <row r="111" spans="1:41">
      <c r="A111" s="1101" t="s">
        <v>253</v>
      </c>
      <c r="B111" s="1102">
        <v>0</v>
      </c>
      <c r="C111" s="1102">
        <v>2.15</v>
      </c>
      <c r="D111" s="1102">
        <v>8.25</v>
      </c>
      <c r="E111" s="1102">
        <v>0</v>
      </c>
      <c r="F111" s="1102">
        <v>6.71</v>
      </c>
      <c r="G111" s="1102">
        <v>0</v>
      </c>
      <c r="H111" s="1102">
        <v>0</v>
      </c>
      <c r="I111" s="1102">
        <v>0</v>
      </c>
      <c r="J111" s="1102">
        <v>0</v>
      </c>
      <c r="K111" s="1102">
        <v>13.87</v>
      </c>
      <c r="L111" s="1102">
        <v>9.1199999999999992</v>
      </c>
      <c r="M111" s="1102">
        <v>27.9</v>
      </c>
      <c r="N111" s="1102">
        <v>0.21</v>
      </c>
      <c r="O111" s="1102">
        <v>0</v>
      </c>
      <c r="P111" s="1102">
        <v>1.79</v>
      </c>
      <c r="Q111" s="1102">
        <v>0</v>
      </c>
      <c r="R111" s="1102">
        <v>0</v>
      </c>
      <c r="S111" s="1102">
        <v>5.25</v>
      </c>
      <c r="T111" s="1102">
        <v>50</v>
      </c>
      <c r="U111" s="1102">
        <v>0</v>
      </c>
      <c r="V111" s="1102">
        <v>3.48</v>
      </c>
      <c r="W111" s="1102">
        <v>2.04</v>
      </c>
      <c r="X111" s="1102">
        <v>0.86</v>
      </c>
      <c r="Y111" s="1102">
        <v>0</v>
      </c>
      <c r="Z111" s="1102">
        <v>2.61</v>
      </c>
      <c r="AC111" s="1101" t="s">
        <v>253</v>
      </c>
      <c r="AD111" s="1102">
        <v>27.9</v>
      </c>
      <c r="AE111" s="1102">
        <v>0.21</v>
      </c>
      <c r="AF111" s="1102">
        <v>5.25</v>
      </c>
      <c r="AG111" s="1102">
        <v>0.86</v>
      </c>
      <c r="AH111" s="1102">
        <v>2.61</v>
      </c>
    </row>
    <row r="112" spans="1:41">
      <c r="A112" s="1101" t="s">
        <v>30</v>
      </c>
      <c r="B112" s="1102">
        <v>100</v>
      </c>
      <c r="C112" s="1102">
        <v>100</v>
      </c>
      <c r="D112" s="1102">
        <v>100</v>
      </c>
      <c r="E112" s="1102">
        <v>100</v>
      </c>
      <c r="F112" s="1102">
        <v>100</v>
      </c>
      <c r="G112" s="1102">
        <v>100</v>
      </c>
      <c r="H112" s="1102">
        <v>0</v>
      </c>
      <c r="I112" s="1102">
        <v>100</v>
      </c>
      <c r="J112" s="1102">
        <v>100</v>
      </c>
      <c r="K112" s="1102">
        <v>100</v>
      </c>
      <c r="L112" s="1102">
        <v>100</v>
      </c>
      <c r="M112" s="1102">
        <v>100</v>
      </c>
      <c r="N112" s="1102">
        <v>100</v>
      </c>
      <c r="O112" s="1102">
        <v>100</v>
      </c>
      <c r="P112" s="1102">
        <v>100</v>
      </c>
      <c r="Q112" s="1102">
        <v>100</v>
      </c>
      <c r="R112" s="1102">
        <v>100</v>
      </c>
      <c r="S112" s="1102">
        <v>100</v>
      </c>
      <c r="T112" s="1102">
        <v>100</v>
      </c>
      <c r="U112" s="1102">
        <v>100</v>
      </c>
      <c r="V112" s="1102">
        <v>100</v>
      </c>
      <c r="W112" s="1102">
        <v>100</v>
      </c>
      <c r="X112" s="1102">
        <v>100</v>
      </c>
      <c r="Y112" s="1102">
        <v>0</v>
      </c>
      <c r="Z112" s="1102">
        <v>100</v>
      </c>
      <c r="AC112" s="1101" t="s">
        <v>30</v>
      </c>
      <c r="AD112" s="1102">
        <v>100</v>
      </c>
      <c r="AE112" s="1102">
        <v>100</v>
      </c>
      <c r="AF112" s="1102">
        <v>100</v>
      </c>
      <c r="AG112" s="1102">
        <v>100</v>
      </c>
      <c r="AH112" s="1102">
        <v>100</v>
      </c>
    </row>
    <row r="113" spans="1:41">
      <c r="A113" s="1099" t="s">
        <v>248</v>
      </c>
      <c r="B113" s="1097" t="s">
        <v>233</v>
      </c>
      <c r="C113" s="1097" t="s">
        <v>220</v>
      </c>
      <c r="D113" s="1097" t="s">
        <v>223</v>
      </c>
      <c r="E113" s="1097" t="s">
        <v>249</v>
      </c>
      <c r="F113" s="1097" t="s">
        <v>221</v>
      </c>
      <c r="G113" s="1097" t="s">
        <v>234</v>
      </c>
      <c r="H113" s="1097" t="s">
        <v>242</v>
      </c>
      <c r="I113" s="1097" t="s">
        <v>225</v>
      </c>
      <c r="J113" s="1097" t="s">
        <v>236</v>
      </c>
      <c r="K113" s="1097" t="s">
        <v>227</v>
      </c>
      <c r="L113" s="1097" t="s">
        <v>2</v>
      </c>
      <c r="M113" s="1097" t="s">
        <v>232</v>
      </c>
      <c r="N113" s="1097" t="s">
        <v>230</v>
      </c>
      <c r="O113" s="1097" t="s">
        <v>3</v>
      </c>
      <c r="P113" s="1097" t="s">
        <v>235</v>
      </c>
      <c r="Q113" s="1097" t="s">
        <v>250</v>
      </c>
      <c r="R113" s="1097" t="s">
        <v>228</v>
      </c>
      <c r="S113" s="1097" t="s">
        <v>224</v>
      </c>
      <c r="T113" s="1097" t="s">
        <v>239</v>
      </c>
      <c r="U113" s="1097" t="s">
        <v>1033</v>
      </c>
      <c r="V113" s="1097" t="s">
        <v>219</v>
      </c>
      <c r="W113" s="1097" t="s">
        <v>229</v>
      </c>
      <c r="X113" s="1097" t="s">
        <v>222</v>
      </c>
      <c r="Y113" s="1097" t="s">
        <v>1018</v>
      </c>
      <c r="Z113" s="1097" t="s">
        <v>231</v>
      </c>
      <c r="AC113" s="1099" t="s">
        <v>248</v>
      </c>
      <c r="AD113" s="1097" t="s">
        <v>232</v>
      </c>
      <c r="AE113" s="1097" t="s">
        <v>230</v>
      </c>
      <c r="AF113" s="1097" t="s">
        <v>224</v>
      </c>
      <c r="AG113" s="1097" t="s">
        <v>222</v>
      </c>
      <c r="AH113" s="1097" t="s">
        <v>231</v>
      </c>
      <c r="AJ113" s="1099" t="s">
        <v>248</v>
      </c>
      <c r="AK113" s="1097" t="s">
        <v>232</v>
      </c>
      <c r="AL113" s="1097" t="s">
        <v>230</v>
      </c>
      <c r="AM113" s="1097" t="s">
        <v>224</v>
      </c>
      <c r="AN113" s="1097" t="s">
        <v>222</v>
      </c>
      <c r="AO113" s="1097" t="s">
        <v>231</v>
      </c>
    </row>
    <row r="114" spans="1:41">
      <c r="A114" s="1100" t="s">
        <v>1024</v>
      </c>
      <c r="B114" s="1079"/>
      <c r="C114" s="1079"/>
      <c r="D114" s="1079"/>
      <c r="E114" s="1079"/>
      <c r="F114" s="1079"/>
      <c r="G114" s="1079"/>
      <c r="H114" s="1079"/>
      <c r="I114" s="1079"/>
      <c r="J114" s="1079"/>
      <c r="K114" s="1079"/>
      <c r="L114" s="1079"/>
      <c r="M114" s="1079"/>
      <c r="N114" s="1079"/>
      <c r="O114" s="1079"/>
      <c r="P114" s="1079"/>
      <c r="Q114" s="1079"/>
      <c r="R114" s="1079"/>
      <c r="S114" s="1079"/>
      <c r="T114" s="1079"/>
      <c r="U114" s="1079"/>
      <c r="V114" s="1079"/>
      <c r="W114" s="1079"/>
      <c r="X114" s="1079"/>
      <c r="Y114" s="1079"/>
      <c r="Z114" s="1079"/>
      <c r="AC114" s="1100" t="s">
        <v>1024</v>
      </c>
      <c r="AD114" s="1079"/>
      <c r="AE114" s="1079"/>
      <c r="AF114" s="1079"/>
      <c r="AG114" s="1079"/>
      <c r="AH114" s="1079"/>
      <c r="AJ114" s="1101" t="s">
        <v>251</v>
      </c>
      <c r="AK114" s="1102">
        <v>39.450000000000003</v>
      </c>
      <c r="AL114" s="1102">
        <v>58.89</v>
      </c>
      <c r="AM114" s="1102">
        <v>76.47</v>
      </c>
      <c r="AN114" s="1102">
        <v>68.25</v>
      </c>
      <c r="AO114" s="1102">
        <v>56.01</v>
      </c>
    </row>
    <row r="115" spans="1:41">
      <c r="A115" s="1101" t="s">
        <v>251</v>
      </c>
      <c r="B115" s="1102">
        <v>65.709999999999994</v>
      </c>
      <c r="C115" s="1102">
        <v>70.39</v>
      </c>
      <c r="D115" s="1102">
        <v>82.21</v>
      </c>
      <c r="E115" s="1102">
        <v>100</v>
      </c>
      <c r="F115" s="1102">
        <v>84.51</v>
      </c>
      <c r="G115" s="1102">
        <v>58.63</v>
      </c>
      <c r="H115" s="1102">
        <v>0</v>
      </c>
      <c r="I115" s="1102">
        <v>100</v>
      </c>
      <c r="J115" s="1102">
        <v>100</v>
      </c>
      <c r="K115" s="1102">
        <v>8.8699999999999992</v>
      </c>
      <c r="L115" s="1102">
        <v>65.47</v>
      </c>
      <c r="M115" s="1102">
        <v>39.450000000000003</v>
      </c>
      <c r="N115" s="1102">
        <v>58.89</v>
      </c>
      <c r="O115" s="1102">
        <v>100</v>
      </c>
      <c r="P115" s="1102">
        <v>72.73</v>
      </c>
      <c r="Q115" s="1102">
        <v>100</v>
      </c>
      <c r="R115" s="1102">
        <v>0</v>
      </c>
      <c r="S115" s="1102">
        <v>76.47</v>
      </c>
      <c r="T115" s="1102">
        <v>100</v>
      </c>
      <c r="U115" s="1102">
        <v>0</v>
      </c>
      <c r="V115" s="1102">
        <v>73.05</v>
      </c>
      <c r="W115" s="1102">
        <v>54.55</v>
      </c>
      <c r="X115" s="1102">
        <v>68.25</v>
      </c>
      <c r="Y115" s="1102">
        <v>33.33</v>
      </c>
      <c r="Z115" s="1102">
        <v>56.01</v>
      </c>
      <c r="AC115" s="1101" t="s">
        <v>251</v>
      </c>
      <c r="AD115" s="1102">
        <v>39.450000000000003</v>
      </c>
      <c r="AE115" s="1102">
        <v>58.89</v>
      </c>
      <c r="AF115" s="1102">
        <v>76.47</v>
      </c>
      <c r="AG115" s="1102">
        <v>68.25</v>
      </c>
      <c r="AH115" s="1102">
        <v>56.01</v>
      </c>
      <c r="AJ115" s="1101" t="s">
        <v>1116</v>
      </c>
      <c r="AK115" s="1102">
        <v>34.39</v>
      </c>
      <c r="AL115" s="1102">
        <v>27.14</v>
      </c>
      <c r="AM115" s="1102">
        <v>15.26</v>
      </c>
      <c r="AN115" s="1102">
        <v>24.15</v>
      </c>
      <c r="AO115" s="1102">
        <v>22.16</v>
      </c>
    </row>
    <row r="116" spans="1:41">
      <c r="A116" s="1101" t="s">
        <v>1116</v>
      </c>
      <c r="B116" s="1102">
        <v>34.29</v>
      </c>
      <c r="C116" s="1102">
        <v>20.260000000000002</v>
      </c>
      <c r="D116" s="1102">
        <v>12.27</v>
      </c>
      <c r="E116" s="1102">
        <v>0</v>
      </c>
      <c r="F116" s="1102">
        <v>11.43</v>
      </c>
      <c r="G116" s="1102">
        <v>41.37</v>
      </c>
      <c r="H116" s="1102">
        <v>0</v>
      </c>
      <c r="I116" s="1102">
        <v>0</v>
      </c>
      <c r="J116" s="1102">
        <v>0</v>
      </c>
      <c r="K116" s="1102">
        <v>42.74</v>
      </c>
      <c r="L116" s="1102">
        <v>13.89</v>
      </c>
      <c r="M116" s="1102">
        <v>34.39</v>
      </c>
      <c r="N116" s="1102">
        <v>27.14</v>
      </c>
      <c r="O116" s="1102">
        <v>0</v>
      </c>
      <c r="P116" s="1102">
        <v>27.27</v>
      </c>
      <c r="Q116" s="1102">
        <v>0</v>
      </c>
      <c r="R116" s="1102">
        <v>100</v>
      </c>
      <c r="S116" s="1102">
        <v>15.26</v>
      </c>
      <c r="T116" s="1102">
        <v>0</v>
      </c>
      <c r="U116" s="1102">
        <v>0</v>
      </c>
      <c r="V116" s="1102">
        <v>17.86</v>
      </c>
      <c r="W116" s="1102">
        <v>16.27</v>
      </c>
      <c r="X116" s="1102">
        <v>24.15</v>
      </c>
      <c r="Y116" s="1102">
        <v>20</v>
      </c>
      <c r="Z116" s="1102">
        <v>22.16</v>
      </c>
      <c r="AC116" s="1101" t="s">
        <v>1116</v>
      </c>
      <c r="AD116" s="1102">
        <v>34.39</v>
      </c>
      <c r="AE116" s="1102">
        <v>27.14</v>
      </c>
      <c r="AF116" s="1102">
        <v>15.26</v>
      </c>
      <c r="AG116" s="1102">
        <v>24.15</v>
      </c>
      <c r="AH116" s="1102">
        <v>22.16</v>
      </c>
      <c r="AJ116" s="1101" t="s">
        <v>253</v>
      </c>
      <c r="AK116" s="1102">
        <v>26.17</v>
      </c>
      <c r="AL116" s="1102">
        <v>13.97</v>
      </c>
      <c r="AM116" s="1102">
        <v>8.27</v>
      </c>
      <c r="AN116" s="1102">
        <v>7.6</v>
      </c>
      <c r="AO116" s="1102">
        <v>21.83</v>
      </c>
    </row>
    <row r="117" spans="1:41">
      <c r="A117" s="1103" t="s">
        <v>233</v>
      </c>
      <c r="B117" s="1079"/>
      <c r="C117" s="1079">
        <v>0.01</v>
      </c>
      <c r="D117" s="1079">
        <v>0</v>
      </c>
      <c r="E117" s="1079">
        <v>0</v>
      </c>
      <c r="F117" s="1079">
        <v>0</v>
      </c>
      <c r="G117" s="1079">
        <v>0</v>
      </c>
      <c r="H117" s="1079">
        <v>0</v>
      </c>
      <c r="I117" s="1079">
        <v>0</v>
      </c>
      <c r="J117" s="1079">
        <v>0</v>
      </c>
      <c r="K117" s="1079">
        <v>0</v>
      </c>
      <c r="L117" s="1079">
        <v>0</v>
      </c>
      <c r="M117" s="1079">
        <v>0</v>
      </c>
      <c r="N117" s="1079">
        <v>0</v>
      </c>
      <c r="O117" s="1079">
        <v>0</v>
      </c>
      <c r="P117" s="1079">
        <v>0</v>
      </c>
      <c r="Q117" s="1079">
        <v>0</v>
      </c>
      <c r="R117" s="1079">
        <v>0</v>
      </c>
      <c r="S117" s="1079">
        <v>0</v>
      </c>
      <c r="T117" s="1079">
        <v>0</v>
      </c>
      <c r="U117" s="1079">
        <v>0</v>
      </c>
      <c r="V117" s="1079">
        <v>0.08</v>
      </c>
      <c r="W117" s="1079">
        <v>0</v>
      </c>
      <c r="X117" s="1079">
        <v>0</v>
      </c>
      <c r="Y117" s="1079">
        <v>0</v>
      </c>
      <c r="Z117" s="1079">
        <v>0</v>
      </c>
      <c r="AC117" s="1103" t="s">
        <v>233</v>
      </c>
      <c r="AD117" s="1079">
        <v>0</v>
      </c>
      <c r="AE117" s="1079">
        <v>0</v>
      </c>
      <c r="AF117" s="1079">
        <v>0</v>
      </c>
      <c r="AG117" s="1079">
        <v>0</v>
      </c>
      <c r="AH117" s="1079">
        <v>0</v>
      </c>
    </row>
    <row r="118" spans="1:41">
      <c r="A118" s="1103" t="s">
        <v>220</v>
      </c>
      <c r="B118" s="1079">
        <v>14.29</v>
      </c>
      <c r="C118" s="1079"/>
      <c r="D118" s="1079">
        <v>6.26</v>
      </c>
      <c r="E118" s="1079">
        <v>0</v>
      </c>
      <c r="F118" s="1079">
        <v>6.38</v>
      </c>
      <c r="G118" s="1079">
        <v>0</v>
      </c>
      <c r="H118" s="1079">
        <v>0</v>
      </c>
      <c r="I118" s="1079">
        <v>0</v>
      </c>
      <c r="J118" s="1079">
        <v>0</v>
      </c>
      <c r="K118" s="1079">
        <v>0</v>
      </c>
      <c r="L118" s="1079">
        <v>4.76</v>
      </c>
      <c r="M118" s="1079">
        <v>4.2300000000000004</v>
      </c>
      <c r="N118" s="1079">
        <v>7.46</v>
      </c>
      <c r="O118" s="1079">
        <v>0</v>
      </c>
      <c r="P118" s="1079">
        <v>27.27</v>
      </c>
      <c r="Q118" s="1079">
        <v>0</v>
      </c>
      <c r="R118" s="1079">
        <v>0</v>
      </c>
      <c r="S118" s="1079">
        <v>8.98</v>
      </c>
      <c r="T118" s="1079">
        <v>0</v>
      </c>
      <c r="U118" s="1079">
        <v>0</v>
      </c>
      <c r="V118" s="1079">
        <v>12.28</v>
      </c>
      <c r="W118" s="1079">
        <v>11</v>
      </c>
      <c r="X118" s="1079">
        <v>8.09</v>
      </c>
      <c r="Y118" s="1079">
        <v>13.33</v>
      </c>
      <c r="Z118" s="1079">
        <v>2.74</v>
      </c>
      <c r="AC118" s="1103" t="s">
        <v>220</v>
      </c>
      <c r="AD118" s="1079">
        <v>4.2300000000000004</v>
      </c>
      <c r="AE118" s="1079">
        <v>7.46</v>
      </c>
      <c r="AF118" s="1079">
        <v>8.98</v>
      </c>
      <c r="AG118" s="1079">
        <v>8.09</v>
      </c>
      <c r="AH118" s="1079">
        <v>2.74</v>
      </c>
      <c r="AJ118" s="1103" t="s">
        <v>220</v>
      </c>
      <c r="AK118" s="1079">
        <v>4.2300000000000004</v>
      </c>
      <c r="AL118" s="1079">
        <v>7.46</v>
      </c>
      <c r="AM118" s="1079">
        <v>8.98</v>
      </c>
      <c r="AN118" s="1079">
        <v>8.09</v>
      </c>
      <c r="AO118" s="1079">
        <v>2.74</v>
      </c>
    </row>
    <row r="119" spans="1:41">
      <c r="A119" s="1103" t="s">
        <v>223</v>
      </c>
      <c r="B119" s="1079">
        <v>0</v>
      </c>
      <c r="C119" s="1079">
        <v>0.19</v>
      </c>
      <c r="D119" s="1079"/>
      <c r="E119" s="1079">
        <v>0</v>
      </c>
      <c r="F119" s="1079">
        <v>0</v>
      </c>
      <c r="G119" s="1079">
        <v>0</v>
      </c>
      <c r="H119" s="1079">
        <v>0</v>
      </c>
      <c r="I119" s="1079">
        <v>0</v>
      </c>
      <c r="J119" s="1079">
        <v>0</v>
      </c>
      <c r="K119" s="1079">
        <v>0</v>
      </c>
      <c r="L119" s="1079">
        <v>0</v>
      </c>
      <c r="M119" s="1079">
        <v>0</v>
      </c>
      <c r="N119" s="1079">
        <v>1.64</v>
      </c>
      <c r="O119" s="1079">
        <v>0</v>
      </c>
      <c r="P119" s="1079">
        <v>0</v>
      </c>
      <c r="Q119" s="1079">
        <v>0</v>
      </c>
      <c r="R119" s="1079">
        <v>0</v>
      </c>
      <c r="S119" s="1079">
        <v>0.26</v>
      </c>
      <c r="T119" s="1079">
        <v>0</v>
      </c>
      <c r="U119" s="1079">
        <v>0</v>
      </c>
      <c r="V119" s="1079">
        <v>0.4</v>
      </c>
      <c r="W119" s="1079">
        <v>0</v>
      </c>
      <c r="X119" s="1079">
        <v>0.72</v>
      </c>
      <c r="Y119" s="1079">
        <v>0</v>
      </c>
      <c r="Z119" s="1079">
        <v>0</v>
      </c>
      <c r="AC119" s="1103" t="s">
        <v>223</v>
      </c>
      <c r="AD119" s="1079">
        <v>0</v>
      </c>
      <c r="AE119" s="1079">
        <v>1.64</v>
      </c>
      <c r="AF119" s="1079">
        <v>0.26</v>
      </c>
      <c r="AG119" s="1079">
        <v>0.72</v>
      </c>
      <c r="AH119" s="1079">
        <v>0</v>
      </c>
      <c r="AJ119" s="1103" t="s">
        <v>232</v>
      </c>
      <c r="AK119" s="1079"/>
      <c r="AL119" s="1079">
        <v>0.88</v>
      </c>
      <c r="AM119" s="1079">
        <v>0.8</v>
      </c>
      <c r="AN119" s="1079">
        <v>1.97</v>
      </c>
      <c r="AO119" s="1079">
        <v>2.4700000000000002</v>
      </c>
    </row>
    <row r="120" spans="1:41">
      <c r="A120" s="1103" t="s">
        <v>221</v>
      </c>
      <c r="B120" s="1079">
        <v>0</v>
      </c>
      <c r="C120" s="1079">
        <v>0.25</v>
      </c>
      <c r="D120" s="1079">
        <v>0</v>
      </c>
      <c r="E120" s="1079">
        <v>0</v>
      </c>
      <c r="F120" s="1079"/>
      <c r="G120" s="1079">
        <v>0</v>
      </c>
      <c r="H120" s="1079">
        <v>0</v>
      </c>
      <c r="I120" s="1079">
        <v>0</v>
      </c>
      <c r="J120" s="1079">
        <v>0</v>
      </c>
      <c r="K120" s="1079">
        <v>0</v>
      </c>
      <c r="L120" s="1079">
        <v>0</v>
      </c>
      <c r="M120" s="1079">
        <v>0</v>
      </c>
      <c r="N120" s="1079">
        <v>0</v>
      </c>
      <c r="O120" s="1079">
        <v>0</v>
      </c>
      <c r="P120" s="1079">
        <v>0</v>
      </c>
      <c r="Q120" s="1079">
        <v>0</v>
      </c>
      <c r="R120" s="1079">
        <v>0</v>
      </c>
      <c r="S120" s="1079">
        <v>0.14000000000000001</v>
      </c>
      <c r="T120" s="1079">
        <v>0</v>
      </c>
      <c r="U120" s="1079">
        <v>0</v>
      </c>
      <c r="V120" s="1079">
        <v>0.09</v>
      </c>
      <c r="W120" s="1079">
        <v>0</v>
      </c>
      <c r="X120" s="1079">
        <v>0</v>
      </c>
      <c r="Y120" s="1079">
        <v>0</v>
      </c>
      <c r="Z120" s="1079">
        <v>0</v>
      </c>
      <c r="AC120" s="1103" t="s">
        <v>221</v>
      </c>
      <c r="AD120" s="1079">
        <v>0</v>
      </c>
      <c r="AE120" s="1079">
        <v>0</v>
      </c>
      <c r="AF120" s="1079">
        <v>0.14000000000000001</v>
      </c>
      <c r="AG120" s="1079">
        <v>0</v>
      </c>
      <c r="AH120" s="1079">
        <v>0</v>
      </c>
      <c r="AJ120" s="1103" t="s">
        <v>230</v>
      </c>
      <c r="AK120" s="1079">
        <v>0.9</v>
      </c>
      <c r="AL120" s="1079"/>
      <c r="AM120" s="1079">
        <v>0.14000000000000001</v>
      </c>
      <c r="AN120" s="1079">
        <v>0.31</v>
      </c>
      <c r="AO120" s="1079">
        <v>6.12</v>
      </c>
    </row>
    <row r="121" spans="1:41">
      <c r="A121" s="1103" t="s">
        <v>234</v>
      </c>
      <c r="B121" s="1079">
        <v>0</v>
      </c>
      <c r="C121" s="1079">
        <v>0</v>
      </c>
      <c r="D121" s="1079">
        <v>0</v>
      </c>
      <c r="E121" s="1079">
        <v>0</v>
      </c>
      <c r="F121" s="1079">
        <v>0</v>
      </c>
      <c r="G121" s="1079"/>
      <c r="H121" s="1079">
        <v>0</v>
      </c>
      <c r="I121" s="1079">
        <v>0</v>
      </c>
      <c r="J121" s="1079">
        <v>0</v>
      </c>
      <c r="K121" s="1079">
        <v>0</v>
      </c>
      <c r="L121" s="1079">
        <v>0</v>
      </c>
      <c r="M121" s="1079">
        <v>0</v>
      </c>
      <c r="N121" s="1079">
        <v>0</v>
      </c>
      <c r="O121" s="1079">
        <v>0</v>
      </c>
      <c r="P121" s="1079">
        <v>0</v>
      </c>
      <c r="Q121" s="1079">
        <v>0</v>
      </c>
      <c r="R121" s="1079">
        <v>0</v>
      </c>
      <c r="S121" s="1079">
        <v>0</v>
      </c>
      <c r="T121" s="1079">
        <v>0</v>
      </c>
      <c r="U121" s="1079">
        <v>0</v>
      </c>
      <c r="V121" s="1079">
        <v>0.42</v>
      </c>
      <c r="W121" s="1079">
        <v>0</v>
      </c>
      <c r="X121" s="1079">
        <v>0</v>
      </c>
      <c r="Y121" s="1079">
        <v>0</v>
      </c>
      <c r="Z121" s="1079">
        <v>0</v>
      </c>
      <c r="AC121" s="1103" t="s">
        <v>234</v>
      </c>
      <c r="AD121" s="1079">
        <v>0</v>
      </c>
      <c r="AE121" s="1079">
        <v>0</v>
      </c>
      <c r="AF121" s="1079">
        <v>0</v>
      </c>
      <c r="AG121" s="1079">
        <v>0</v>
      </c>
      <c r="AH121" s="1079">
        <v>0</v>
      </c>
      <c r="AJ121" s="1103" t="s">
        <v>224</v>
      </c>
      <c r="AK121" s="1079">
        <v>14.3</v>
      </c>
      <c r="AL121" s="1079">
        <v>1.45</v>
      </c>
      <c r="AM121" s="1079"/>
      <c r="AN121" s="1079">
        <v>9.0299999999999994</v>
      </c>
      <c r="AO121" s="1079">
        <v>1.88</v>
      </c>
    </row>
    <row r="122" spans="1:41">
      <c r="A122" s="1103" t="s">
        <v>227</v>
      </c>
      <c r="B122" s="1079">
        <v>0</v>
      </c>
      <c r="C122" s="1079">
        <v>0</v>
      </c>
      <c r="D122" s="1079">
        <v>0</v>
      </c>
      <c r="E122" s="1079">
        <v>0</v>
      </c>
      <c r="F122" s="1079">
        <v>0</v>
      </c>
      <c r="G122" s="1079">
        <v>0</v>
      </c>
      <c r="H122" s="1079">
        <v>0</v>
      </c>
      <c r="I122" s="1079">
        <v>0</v>
      </c>
      <c r="J122" s="1079">
        <v>0</v>
      </c>
      <c r="K122" s="1079"/>
      <c r="L122" s="1079">
        <v>2.93</v>
      </c>
      <c r="M122" s="1079">
        <v>0</v>
      </c>
      <c r="N122" s="1079">
        <v>0</v>
      </c>
      <c r="O122" s="1079">
        <v>0</v>
      </c>
      <c r="P122" s="1079">
        <v>0</v>
      </c>
      <c r="Q122" s="1079">
        <v>0</v>
      </c>
      <c r="R122" s="1079">
        <v>0</v>
      </c>
      <c r="S122" s="1079">
        <v>0</v>
      </c>
      <c r="T122" s="1079">
        <v>0</v>
      </c>
      <c r="U122" s="1079">
        <v>0</v>
      </c>
      <c r="V122" s="1079">
        <v>0</v>
      </c>
      <c r="W122" s="1079">
        <v>0</v>
      </c>
      <c r="X122" s="1079">
        <v>0</v>
      </c>
      <c r="Y122" s="1079">
        <v>0</v>
      </c>
      <c r="Z122" s="1079">
        <v>0</v>
      </c>
      <c r="AC122" s="1103" t="s">
        <v>227</v>
      </c>
      <c r="AD122" s="1079">
        <v>0</v>
      </c>
      <c r="AE122" s="1079">
        <v>0</v>
      </c>
      <c r="AF122" s="1079">
        <v>0</v>
      </c>
      <c r="AG122" s="1079">
        <v>0</v>
      </c>
      <c r="AH122" s="1079">
        <v>0</v>
      </c>
      <c r="AJ122" s="1103" t="s">
        <v>219</v>
      </c>
      <c r="AK122" s="1079">
        <v>1.1100000000000001</v>
      </c>
      <c r="AL122" s="1079">
        <v>1.33</v>
      </c>
      <c r="AM122" s="1079">
        <v>1.54</v>
      </c>
      <c r="AN122" s="1079">
        <v>1.1100000000000001</v>
      </c>
      <c r="AO122" s="1079">
        <v>1.77</v>
      </c>
    </row>
    <row r="123" spans="1:41">
      <c r="A123" s="1103" t="s">
        <v>2</v>
      </c>
      <c r="B123" s="1079">
        <v>0</v>
      </c>
      <c r="C123" s="1079">
        <v>0.81</v>
      </c>
      <c r="D123" s="1079">
        <v>0</v>
      </c>
      <c r="E123" s="1079">
        <v>0</v>
      </c>
      <c r="F123" s="1079">
        <v>0</v>
      </c>
      <c r="G123" s="1079">
        <v>0</v>
      </c>
      <c r="H123" s="1079">
        <v>0</v>
      </c>
      <c r="I123" s="1079">
        <v>0</v>
      </c>
      <c r="J123" s="1079">
        <v>0</v>
      </c>
      <c r="K123" s="1079">
        <v>42.74</v>
      </c>
      <c r="L123" s="1079"/>
      <c r="M123" s="1079">
        <v>1.82</v>
      </c>
      <c r="N123" s="1079">
        <v>0</v>
      </c>
      <c r="O123" s="1079">
        <v>0</v>
      </c>
      <c r="P123" s="1079">
        <v>0</v>
      </c>
      <c r="Q123" s="1079">
        <v>0</v>
      </c>
      <c r="R123" s="1079">
        <v>100</v>
      </c>
      <c r="S123" s="1079">
        <v>0.03</v>
      </c>
      <c r="T123" s="1079">
        <v>0</v>
      </c>
      <c r="U123" s="1079">
        <v>0</v>
      </c>
      <c r="V123" s="1079">
        <v>0.1</v>
      </c>
      <c r="W123" s="1079">
        <v>0</v>
      </c>
      <c r="X123" s="1079">
        <v>0</v>
      </c>
      <c r="Y123" s="1079">
        <v>0</v>
      </c>
      <c r="Z123" s="1079">
        <v>1.18</v>
      </c>
      <c r="AC123" s="1103" t="s">
        <v>2</v>
      </c>
      <c r="AD123" s="1079">
        <v>1.82</v>
      </c>
      <c r="AE123" s="1079">
        <v>0</v>
      </c>
      <c r="AF123" s="1079">
        <v>0.03</v>
      </c>
      <c r="AG123" s="1079">
        <v>0</v>
      </c>
      <c r="AH123" s="1079">
        <v>1.18</v>
      </c>
      <c r="AJ123" s="1103" t="s">
        <v>231</v>
      </c>
      <c r="AK123" s="1079">
        <v>7.93</v>
      </c>
      <c r="AL123" s="1079">
        <v>11.44</v>
      </c>
      <c r="AM123" s="1079">
        <v>0.32</v>
      </c>
      <c r="AN123" s="1079">
        <v>1.02</v>
      </c>
      <c r="AO123" s="1079"/>
    </row>
    <row r="124" spans="1:41">
      <c r="A124" s="1103" t="s">
        <v>232</v>
      </c>
      <c r="B124" s="1079">
        <v>0</v>
      </c>
      <c r="C124" s="1079">
        <v>0.12</v>
      </c>
      <c r="D124" s="1079">
        <v>0</v>
      </c>
      <c r="E124" s="1079">
        <v>0</v>
      </c>
      <c r="F124" s="1079">
        <v>0</v>
      </c>
      <c r="G124" s="1079">
        <v>0</v>
      </c>
      <c r="H124" s="1079">
        <v>0</v>
      </c>
      <c r="I124" s="1079">
        <v>0</v>
      </c>
      <c r="J124" s="1079">
        <v>0</v>
      </c>
      <c r="K124" s="1079">
        <v>0</v>
      </c>
      <c r="L124" s="1079">
        <v>0.92</v>
      </c>
      <c r="M124" s="1079"/>
      <c r="N124" s="1079">
        <v>0.88</v>
      </c>
      <c r="O124" s="1079">
        <v>0</v>
      </c>
      <c r="P124" s="1079">
        <v>0</v>
      </c>
      <c r="Q124" s="1079">
        <v>0</v>
      </c>
      <c r="R124" s="1079">
        <v>0</v>
      </c>
      <c r="S124" s="1079">
        <v>0.8</v>
      </c>
      <c r="T124" s="1079">
        <v>0</v>
      </c>
      <c r="U124" s="1079">
        <v>0</v>
      </c>
      <c r="V124" s="1079">
        <v>0.03</v>
      </c>
      <c r="W124" s="1079">
        <v>0</v>
      </c>
      <c r="X124" s="1079">
        <v>1.97</v>
      </c>
      <c r="Y124" s="1079">
        <v>0</v>
      </c>
      <c r="Z124" s="1079">
        <v>2.4700000000000002</v>
      </c>
      <c r="AC124" s="1103" t="s">
        <v>232</v>
      </c>
      <c r="AD124" s="1079"/>
      <c r="AE124" s="1079">
        <v>0.88</v>
      </c>
      <c r="AF124" s="1079">
        <v>0.8</v>
      </c>
      <c r="AG124" s="1079">
        <v>1.97</v>
      </c>
      <c r="AH124" s="1079">
        <v>2.4700000000000002</v>
      </c>
    </row>
    <row r="125" spans="1:41">
      <c r="A125" s="1103" t="s">
        <v>230</v>
      </c>
      <c r="B125" s="1079">
        <v>0</v>
      </c>
      <c r="C125" s="1079">
        <v>0.3</v>
      </c>
      <c r="D125" s="1079">
        <v>0.53</v>
      </c>
      <c r="E125" s="1079">
        <v>0</v>
      </c>
      <c r="F125" s="1079">
        <v>0</v>
      </c>
      <c r="G125" s="1079">
        <v>0</v>
      </c>
      <c r="H125" s="1079">
        <v>0</v>
      </c>
      <c r="I125" s="1079">
        <v>0</v>
      </c>
      <c r="J125" s="1079">
        <v>0</v>
      </c>
      <c r="K125" s="1079">
        <v>0</v>
      </c>
      <c r="L125" s="1079">
        <v>0</v>
      </c>
      <c r="M125" s="1079">
        <v>0.9</v>
      </c>
      <c r="N125" s="1079"/>
      <c r="O125" s="1079">
        <v>0</v>
      </c>
      <c r="P125" s="1079">
        <v>0</v>
      </c>
      <c r="Q125" s="1079">
        <v>0</v>
      </c>
      <c r="R125" s="1079">
        <v>0</v>
      </c>
      <c r="S125" s="1079">
        <v>0.14000000000000001</v>
      </c>
      <c r="T125" s="1079">
        <v>0</v>
      </c>
      <c r="U125" s="1079">
        <v>0</v>
      </c>
      <c r="V125" s="1079">
        <v>0.1</v>
      </c>
      <c r="W125" s="1079">
        <v>1.44</v>
      </c>
      <c r="X125" s="1079">
        <v>0.31</v>
      </c>
      <c r="Y125" s="1079">
        <v>0</v>
      </c>
      <c r="Z125" s="1079">
        <v>6.12</v>
      </c>
      <c r="AC125" s="1103" t="s">
        <v>230</v>
      </c>
      <c r="AD125" s="1079">
        <v>0.9</v>
      </c>
      <c r="AE125" s="1079"/>
      <c r="AF125" s="1079">
        <v>0.14000000000000001</v>
      </c>
      <c r="AG125" s="1079">
        <v>0.31</v>
      </c>
      <c r="AH125" s="1079">
        <v>6.12</v>
      </c>
    </row>
    <row r="126" spans="1:41">
      <c r="A126" s="1103" t="s">
        <v>235</v>
      </c>
      <c r="B126" s="1079">
        <v>0</v>
      </c>
      <c r="C126" s="1079">
        <v>0.02</v>
      </c>
      <c r="D126" s="1079">
        <v>0</v>
      </c>
      <c r="E126" s="1079">
        <v>0</v>
      </c>
      <c r="F126" s="1079">
        <v>0</v>
      </c>
      <c r="G126" s="1079">
        <v>0</v>
      </c>
      <c r="H126" s="1079">
        <v>0</v>
      </c>
      <c r="I126" s="1079">
        <v>0</v>
      </c>
      <c r="J126" s="1079">
        <v>0</v>
      </c>
      <c r="K126" s="1079">
        <v>0</v>
      </c>
      <c r="L126" s="1079">
        <v>0</v>
      </c>
      <c r="M126" s="1079">
        <v>0</v>
      </c>
      <c r="N126" s="1079">
        <v>0</v>
      </c>
      <c r="O126" s="1079">
        <v>0</v>
      </c>
      <c r="P126" s="1079"/>
      <c r="Q126" s="1079">
        <v>0</v>
      </c>
      <c r="R126" s="1079">
        <v>0</v>
      </c>
      <c r="S126" s="1079">
        <v>0</v>
      </c>
      <c r="T126" s="1079">
        <v>0</v>
      </c>
      <c r="U126" s="1079">
        <v>0</v>
      </c>
      <c r="V126" s="1079">
        <v>0</v>
      </c>
      <c r="W126" s="1079">
        <v>0</v>
      </c>
      <c r="X126" s="1079">
        <v>0</v>
      </c>
      <c r="Y126" s="1079">
        <v>0</v>
      </c>
      <c r="Z126" s="1079">
        <v>0</v>
      </c>
      <c r="AC126" s="1103" t="s">
        <v>235</v>
      </c>
      <c r="AD126" s="1079">
        <v>0</v>
      </c>
      <c r="AE126" s="1079">
        <v>0</v>
      </c>
      <c r="AF126" s="1079">
        <v>0</v>
      </c>
      <c r="AG126" s="1079">
        <v>0</v>
      </c>
      <c r="AH126" s="1079">
        <v>0</v>
      </c>
    </row>
    <row r="127" spans="1:41">
      <c r="A127" s="1103" t="s">
        <v>228</v>
      </c>
      <c r="B127" s="1079">
        <v>0</v>
      </c>
      <c r="C127" s="1079">
        <v>0</v>
      </c>
      <c r="D127" s="1079">
        <v>0</v>
      </c>
      <c r="E127" s="1079">
        <v>0</v>
      </c>
      <c r="F127" s="1079">
        <v>0</v>
      </c>
      <c r="G127" s="1079">
        <v>0</v>
      </c>
      <c r="H127" s="1079">
        <v>0</v>
      </c>
      <c r="I127" s="1079">
        <v>0</v>
      </c>
      <c r="J127" s="1079">
        <v>0</v>
      </c>
      <c r="K127" s="1079">
        <v>0</v>
      </c>
      <c r="L127" s="1079">
        <v>2.76</v>
      </c>
      <c r="M127" s="1079">
        <v>0</v>
      </c>
      <c r="N127" s="1079">
        <v>0</v>
      </c>
      <c r="O127" s="1079">
        <v>0</v>
      </c>
      <c r="P127" s="1079">
        <v>0</v>
      </c>
      <c r="Q127" s="1079">
        <v>0</v>
      </c>
      <c r="R127" s="1079"/>
      <c r="S127" s="1079">
        <v>0</v>
      </c>
      <c r="T127" s="1079">
        <v>0</v>
      </c>
      <c r="U127" s="1079">
        <v>0</v>
      </c>
      <c r="V127" s="1079">
        <v>0</v>
      </c>
      <c r="W127" s="1079">
        <v>0</v>
      </c>
      <c r="X127" s="1079">
        <v>0</v>
      </c>
      <c r="Y127" s="1079">
        <v>0</v>
      </c>
      <c r="Z127" s="1079">
        <v>0</v>
      </c>
      <c r="AC127" s="1103" t="s">
        <v>228</v>
      </c>
      <c r="AD127" s="1079">
        <v>0</v>
      </c>
      <c r="AE127" s="1079">
        <v>0</v>
      </c>
      <c r="AF127" s="1079">
        <v>0</v>
      </c>
      <c r="AG127" s="1079">
        <v>0</v>
      </c>
      <c r="AH127" s="1079">
        <v>0</v>
      </c>
    </row>
    <row r="128" spans="1:41">
      <c r="A128" s="1103" t="s">
        <v>224</v>
      </c>
      <c r="B128" s="1079">
        <v>0</v>
      </c>
      <c r="C128" s="1079">
        <v>7.63</v>
      </c>
      <c r="D128" s="1079">
        <v>1.53</v>
      </c>
      <c r="E128" s="1079">
        <v>0</v>
      </c>
      <c r="F128" s="1079">
        <v>3.39</v>
      </c>
      <c r="G128" s="1079">
        <v>0</v>
      </c>
      <c r="H128" s="1079">
        <v>0</v>
      </c>
      <c r="I128" s="1079">
        <v>0</v>
      </c>
      <c r="J128" s="1079">
        <v>0</v>
      </c>
      <c r="K128" s="1079">
        <v>0</v>
      </c>
      <c r="L128" s="1079">
        <v>0.36</v>
      </c>
      <c r="M128" s="1079">
        <v>14.3</v>
      </c>
      <c r="N128" s="1079">
        <v>1.45</v>
      </c>
      <c r="O128" s="1079">
        <v>0</v>
      </c>
      <c r="P128" s="1079">
        <v>0</v>
      </c>
      <c r="Q128" s="1079">
        <v>0</v>
      </c>
      <c r="R128" s="1079">
        <v>0</v>
      </c>
      <c r="S128" s="1079"/>
      <c r="T128" s="1079">
        <v>0</v>
      </c>
      <c r="U128" s="1079">
        <v>0</v>
      </c>
      <c r="V128" s="1079">
        <v>2.97</v>
      </c>
      <c r="W128" s="1079">
        <v>3.83</v>
      </c>
      <c r="X128" s="1079">
        <v>9.0299999999999994</v>
      </c>
      <c r="Y128" s="1079">
        <v>0</v>
      </c>
      <c r="Z128" s="1079">
        <v>1.88</v>
      </c>
      <c r="AC128" s="1103" t="s">
        <v>224</v>
      </c>
      <c r="AD128" s="1079">
        <v>14.3</v>
      </c>
      <c r="AE128" s="1079">
        <v>1.45</v>
      </c>
      <c r="AF128" s="1079"/>
      <c r="AG128" s="1079">
        <v>9.0299999999999994</v>
      </c>
      <c r="AH128" s="1079">
        <v>1.88</v>
      </c>
    </row>
    <row r="129" spans="1:41">
      <c r="A129" s="1103" t="s">
        <v>219</v>
      </c>
      <c r="B129" s="1079">
        <v>20</v>
      </c>
      <c r="C129" s="1079">
        <v>7</v>
      </c>
      <c r="D129" s="1079">
        <v>1.38</v>
      </c>
      <c r="E129" s="1079">
        <v>0</v>
      </c>
      <c r="F129" s="1079">
        <v>0.92</v>
      </c>
      <c r="G129" s="1079">
        <v>41.37</v>
      </c>
      <c r="H129" s="1079">
        <v>0</v>
      </c>
      <c r="I129" s="1079">
        <v>0</v>
      </c>
      <c r="J129" s="1079">
        <v>0</v>
      </c>
      <c r="K129" s="1079">
        <v>0</v>
      </c>
      <c r="L129" s="1079">
        <v>1.68</v>
      </c>
      <c r="M129" s="1079">
        <v>1.1100000000000001</v>
      </c>
      <c r="N129" s="1079">
        <v>1.33</v>
      </c>
      <c r="O129" s="1079">
        <v>0</v>
      </c>
      <c r="P129" s="1079">
        <v>0</v>
      </c>
      <c r="Q129" s="1079">
        <v>0</v>
      </c>
      <c r="R129" s="1079">
        <v>0</v>
      </c>
      <c r="S129" s="1079">
        <v>1.54</v>
      </c>
      <c r="T129" s="1079">
        <v>0</v>
      </c>
      <c r="U129" s="1079">
        <v>0</v>
      </c>
      <c r="V129" s="1079"/>
      <c r="W129" s="1079">
        <v>0</v>
      </c>
      <c r="X129" s="1079">
        <v>1.1100000000000001</v>
      </c>
      <c r="Y129" s="1079">
        <v>0</v>
      </c>
      <c r="Z129" s="1079">
        <v>1.77</v>
      </c>
      <c r="AC129" s="1103" t="s">
        <v>219</v>
      </c>
      <c r="AD129" s="1079">
        <v>1.1100000000000001</v>
      </c>
      <c r="AE129" s="1079">
        <v>1.33</v>
      </c>
      <c r="AF129" s="1079">
        <v>1.54</v>
      </c>
      <c r="AG129" s="1079">
        <v>1.1100000000000001</v>
      </c>
      <c r="AH129" s="1079">
        <v>1.77</v>
      </c>
    </row>
    <row r="130" spans="1:41">
      <c r="A130" s="1103" t="s">
        <v>229</v>
      </c>
      <c r="B130" s="1079">
        <v>0</v>
      </c>
      <c r="C130" s="1079">
        <v>7.0000000000000007E-2</v>
      </c>
      <c r="D130" s="1079">
        <v>0</v>
      </c>
      <c r="E130" s="1079">
        <v>0</v>
      </c>
      <c r="F130" s="1079">
        <v>0</v>
      </c>
      <c r="G130" s="1079">
        <v>0</v>
      </c>
      <c r="H130" s="1079">
        <v>0</v>
      </c>
      <c r="I130" s="1079">
        <v>0</v>
      </c>
      <c r="J130" s="1079">
        <v>0</v>
      </c>
      <c r="K130" s="1079">
        <v>0</v>
      </c>
      <c r="L130" s="1079">
        <v>0</v>
      </c>
      <c r="M130" s="1079">
        <v>0</v>
      </c>
      <c r="N130" s="1079">
        <v>2.2400000000000002</v>
      </c>
      <c r="O130" s="1079">
        <v>0</v>
      </c>
      <c r="P130" s="1079">
        <v>0</v>
      </c>
      <c r="Q130" s="1079">
        <v>0</v>
      </c>
      <c r="R130" s="1079">
        <v>0</v>
      </c>
      <c r="S130" s="1079">
        <v>0.12</v>
      </c>
      <c r="T130" s="1079">
        <v>0</v>
      </c>
      <c r="U130" s="1079">
        <v>0</v>
      </c>
      <c r="V130" s="1079">
        <v>0</v>
      </c>
      <c r="W130" s="1079"/>
      <c r="X130" s="1079">
        <v>0</v>
      </c>
      <c r="Y130" s="1079">
        <v>0</v>
      </c>
      <c r="Z130" s="1079">
        <v>0</v>
      </c>
      <c r="AC130" s="1103" t="s">
        <v>229</v>
      </c>
      <c r="AD130" s="1079">
        <v>0</v>
      </c>
      <c r="AE130" s="1079">
        <v>2.2400000000000002</v>
      </c>
      <c r="AF130" s="1079">
        <v>0.12</v>
      </c>
      <c r="AG130" s="1079">
        <v>0</v>
      </c>
      <c r="AH130" s="1079">
        <v>0</v>
      </c>
    </row>
    <row r="131" spans="1:41">
      <c r="A131" s="1103" t="s">
        <v>222</v>
      </c>
      <c r="B131" s="1079">
        <v>0</v>
      </c>
      <c r="C131" s="1079">
        <v>3.57</v>
      </c>
      <c r="D131" s="1079">
        <v>1.1100000000000001</v>
      </c>
      <c r="E131" s="1079">
        <v>0</v>
      </c>
      <c r="F131" s="1079">
        <v>0</v>
      </c>
      <c r="G131" s="1079">
        <v>0</v>
      </c>
      <c r="H131" s="1079">
        <v>0</v>
      </c>
      <c r="I131" s="1079">
        <v>0</v>
      </c>
      <c r="J131" s="1079">
        <v>0</v>
      </c>
      <c r="K131" s="1079">
        <v>0</v>
      </c>
      <c r="L131" s="1079">
        <v>0</v>
      </c>
      <c r="M131" s="1079">
        <v>0.56000000000000005</v>
      </c>
      <c r="N131" s="1079">
        <v>0.47</v>
      </c>
      <c r="O131" s="1079">
        <v>0</v>
      </c>
      <c r="P131" s="1079">
        <v>0</v>
      </c>
      <c r="Q131" s="1079">
        <v>0</v>
      </c>
      <c r="R131" s="1079">
        <v>0</v>
      </c>
      <c r="S131" s="1079">
        <v>2.64</v>
      </c>
      <c r="T131" s="1079">
        <v>0</v>
      </c>
      <c r="U131" s="1079">
        <v>0</v>
      </c>
      <c r="V131" s="1079">
        <v>0.24</v>
      </c>
      <c r="W131" s="1079">
        <v>0</v>
      </c>
      <c r="X131" s="1079"/>
      <c r="Y131" s="1079">
        <v>0</v>
      </c>
      <c r="Z131" s="1079">
        <v>1.29</v>
      </c>
      <c r="AC131" s="1103" t="s">
        <v>222</v>
      </c>
      <c r="AD131" s="1079">
        <v>0.56000000000000005</v>
      </c>
      <c r="AE131" s="1079">
        <v>0.47</v>
      </c>
      <c r="AF131" s="1079">
        <v>2.64</v>
      </c>
      <c r="AG131" s="1079"/>
      <c r="AH131" s="1079">
        <v>1.29</v>
      </c>
    </row>
    <row r="132" spans="1:41">
      <c r="A132" s="1103" t="s">
        <v>1018</v>
      </c>
      <c r="B132" s="1079">
        <v>0</v>
      </c>
      <c r="C132" s="1079">
        <v>0.02</v>
      </c>
      <c r="D132" s="1079">
        <v>0</v>
      </c>
      <c r="E132" s="1079">
        <v>0</v>
      </c>
      <c r="F132" s="1079">
        <v>0</v>
      </c>
      <c r="G132" s="1079">
        <v>0</v>
      </c>
      <c r="H132" s="1079">
        <v>0</v>
      </c>
      <c r="I132" s="1079">
        <v>0</v>
      </c>
      <c r="J132" s="1079">
        <v>0</v>
      </c>
      <c r="K132" s="1079">
        <v>0</v>
      </c>
      <c r="L132" s="1079">
        <v>0</v>
      </c>
      <c r="M132" s="1079">
        <v>0</v>
      </c>
      <c r="N132" s="1079">
        <v>0</v>
      </c>
      <c r="O132" s="1079">
        <v>0</v>
      </c>
      <c r="P132" s="1079">
        <v>0</v>
      </c>
      <c r="Q132" s="1079">
        <v>0</v>
      </c>
      <c r="R132" s="1079">
        <v>0</v>
      </c>
      <c r="S132" s="1079">
        <v>0</v>
      </c>
      <c r="T132" s="1079">
        <v>0</v>
      </c>
      <c r="U132" s="1079">
        <v>0</v>
      </c>
      <c r="V132" s="1079">
        <v>0</v>
      </c>
      <c r="W132" s="1079">
        <v>0</v>
      </c>
      <c r="X132" s="1079">
        <v>0</v>
      </c>
      <c r="Y132" s="1079"/>
      <c r="Z132" s="1079">
        <v>0.27</v>
      </c>
      <c r="AC132" s="1103" t="s">
        <v>1018</v>
      </c>
      <c r="AD132" s="1079">
        <v>0</v>
      </c>
      <c r="AE132" s="1079">
        <v>0</v>
      </c>
      <c r="AF132" s="1079">
        <v>0</v>
      </c>
      <c r="AG132" s="1079">
        <v>0</v>
      </c>
      <c r="AH132" s="1079">
        <v>0.27</v>
      </c>
    </row>
    <row r="133" spans="1:41">
      <c r="A133" s="1103" t="s">
        <v>231</v>
      </c>
      <c r="B133" s="1079">
        <v>0</v>
      </c>
      <c r="C133" s="1079">
        <v>0.05</v>
      </c>
      <c r="D133" s="1079">
        <v>0</v>
      </c>
      <c r="E133" s="1079">
        <v>0</v>
      </c>
      <c r="F133" s="1079">
        <v>0</v>
      </c>
      <c r="G133" s="1079">
        <v>0</v>
      </c>
      <c r="H133" s="1079">
        <v>0</v>
      </c>
      <c r="I133" s="1079">
        <v>0</v>
      </c>
      <c r="J133" s="1079">
        <v>0</v>
      </c>
      <c r="K133" s="1079">
        <v>0</v>
      </c>
      <c r="L133" s="1079">
        <v>0.48</v>
      </c>
      <c r="M133" s="1079">
        <v>7.93</v>
      </c>
      <c r="N133" s="1079">
        <v>11.44</v>
      </c>
      <c r="O133" s="1079">
        <v>0</v>
      </c>
      <c r="P133" s="1079">
        <v>0</v>
      </c>
      <c r="Q133" s="1079">
        <v>0</v>
      </c>
      <c r="R133" s="1079">
        <v>0</v>
      </c>
      <c r="S133" s="1079">
        <v>0.32</v>
      </c>
      <c r="T133" s="1079">
        <v>0</v>
      </c>
      <c r="U133" s="1079">
        <v>0</v>
      </c>
      <c r="V133" s="1079">
        <v>0.38</v>
      </c>
      <c r="W133" s="1079">
        <v>0</v>
      </c>
      <c r="X133" s="1079">
        <v>1.02</v>
      </c>
      <c r="Y133" s="1079">
        <v>6.67</v>
      </c>
      <c r="Z133" s="1079"/>
      <c r="AC133" s="1103" t="s">
        <v>231</v>
      </c>
      <c r="AD133" s="1079">
        <v>7.93</v>
      </c>
      <c r="AE133" s="1079">
        <v>11.44</v>
      </c>
      <c r="AF133" s="1079">
        <v>0.32</v>
      </c>
      <c r="AG133" s="1079">
        <v>1.02</v>
      </c>
      <c r="AH133" s="1079"/>
    </row>
    <row r="134" spans="1:41">
      <c r="A134" s="1103" t="s">
        <v>244</v>
      </c>
      <c r="B134" s="1079">
        <v>0</v>
      </c>
      <c r="C134" s="1079">
        <v>0.22</v>
      </c>
      <c r="D134" s="1079">
        <v>1.46</v>
      </c>
      <c r="E134" s="1079">
        <v>0</v>
      </c>
      <c r="F134" s="1079">
        <v>0.74</v>
      </c>
      <c r="G134" s="1079">
        <v>0</v>
      </c>
      <c r="H134" s="1079">
        <v>0</v>
      </c>
      <c r="I134" s="1079">
        <v>0</v>
      </c>
      <c r="J134" s="1079">
        <v>0</v>
      </c>
      <c r="K134" s="1079">
        <v>0</v>
      </c>
      <c r="L134" s="1079">
        <v>0</v>
      </c>
      <c r="M134" s="1079">
        <v>3.54</v>
      </c>
      <c r="N134" s="1079">
        <v>0.23</v>
      </c>
      <c r="O134" s="1079">
        <v>0</v>
      </c>
      <c r="P134" s="1079">
        <v>0</v>
      </c>
      <c r="Q134" s="1079">
        <v>0</v>
      </c>
      <c r="R134" s="1079">
        <v>0</v>
      </c>
      <c r="S134" s="1079">
        <v>0.28999999999999998</v>
      </c>
      <c r="T134" s="1079">
        <v>0</v>
      </c>
      <c r="U134" s="1079">
        <v>0</v>
      </c>
      <c r="V134" s="1079">
        <v>0.77</v>
      </c>
      <c r="W134" s="1079">
        <v>0</v>
      </c>
      <c r="X134" s="1079">
        <v>1.9</v>
      </c>
      <c r="Y134" s="1079">
        <v>0</v>
      </c>
      <c r="Z134" s="1079">
        <v>4.4400000000000004</v>
      </c>
      <c r="AC134" s="1103" t="s">
        <v>244</v>
      </c>
      <c r="AD134" s="1079">
        <v>3.54</v>
      </c>
      <c r="AE134" s="1079">
        <v>0.23</v>
      </c>
      <c r="AF134" s="1079">
        <v>0.28999999999999998</v>
      </c>
      <c r="AG134" s="1079">
        <v>1.9</v>
      </c>
      <c r="AH134" s="1079">
        <v>4.4400000000000004</v>
      </c>
    </row>
    <row r="135" spans="1:41">
      <c r="A135" s="1101" t="s">
        <v>253</v>
      </c>
      <c r="B135" s="1102">
        <v>0</v>
      </c>
      <c r="C135" s="1102">
        <v>9.35</v>
      </c>
      <c r="D135" s="1102">
        <v>5.52</v>
      </c>
      <c r="E135" s="1102">
        <v>0</v>
      </c>
      <c r="F135" s="1102">
        <v>4.0599999999999996</v>
      </c>
      <c r="G135" s="1102">
        <v>0</v>
      </c>
      <c r="H135" s="1102">
        <v>0</v>
      </c>
      <c r="I135" s="1102">
        <v>0</v>
      </c>
      <c r="J135" s="1102">
        <v>0</v>
      </c>
      <c r="K135" s="1102">
        <v>48.39</v>
      </c>
      <c r="L135" s="1102">
        <v>20.64</v>
      </c>
      <c r="M135" s="1102">
        <v>26.17</v>
      </c>
      <c r="N135" s="1102">
        <v>13.97</v>
      </c>
      <c r="O135" s="1102">
        <v>0</v>
      </c>
      <c r="P135" s="1102">
        <v>0</v>
      </c>
      <c r="Q135" s="1102">
        <v>0</v>
      </c>
      <c r="R135" s="1102">
        <v>0</v>
      </c>
      <c r="S135" s="1102">
        <v>8.27</v>
      </c>
      <c r="T135" s="1102">
        <v>0</v>
      </c>
      <c r="U135" s="1102">
        <v>0</v>
      </c>
      <c r="V135" s="1102">
        <v>9.09</v>
      </c>
      <c r="W135" s="1102">
        <v>29.19</v>
      </c>
      <c r="X135" s="1102">
        <v>7.6</v>
      </c>
      <c r="Y135" s="1102">
        <v>46.67</v>
      </c>
      <c r="Z135" s="1102">
        <v>21.83</v>
      </c>
      <c r="AC135" s="1101" t="s">
        <v>253</v>
      </c>
      <c r="AD135" s="1102">
        <v>26.17</v>
      </c>
      <c r="AE135" s="1102">
        <v>13.97</v>
      </c>
      <c r="AF135" s="1102">
        <v>8.27</v>
      </c>
      <c r="AG135" s="1102">
        <v>7.6</v>
      </c>
      <c r="AH135" s="1102">
        <v>21.83</v>
      </c>
    </row>
    <row r="136" spans="1:41">
      <c r="A136" s="1101" t="s">
        <v>30</v>
      </c>
      <c r="B136" s="1102">
        <v>100</v>
      </c>
      <c r="C136" s="1102">
        <v>100</v>
      </c>
      <c r="D136" s="1102">
        <v>100</v>
      </c>
      <c r="E136" s="1102">
        <v>100</v>
      </c>
      <c r="F136" s="1102">
        <v>100</v>
      </c>
      <c r="G136" s="1102">
        <v>100</v>
      </c>
      <c r="H136" s="1102">
        <v>0</v>
      </c>
      <c r="I136" s="1102">
        <v>100</v>
      </c>
      <c r="J136" s="1102">
        <v>100</v>
      </c>
      <c r="K136" s="1102">
        <v>100</v>
      </c>
      <c r="L136" s="1102">
        <v>100</v>
      </c>
      <c r="M136" s="1102">
        <v>100</v>
      </c>
      <c r="N136" s="1102">
        <v>100</v>
      </c>
      <c r="O136" s="1102">
        <v>100</v>
      </c>
      <c r="P136" s="1102">
        <v>100</v>
      </c>
      <c r="Q136" s="1102">
        <v>100</v>
      </c>
      <c r="R136" s="1102">
        <v>100</v>
      </c>
      <c r="S136" s="1102">
        <v>100</v>
      </c>
      <c r="T136" s="1102">
        <v>100</v>
      </c>
      <c r="U136" s="1102">
        <v>0</v>
      </c>
      <c r="V136" s="1102">
        <v>100</v>
      </c>
      <c r="W136" s="1102">
        <v>100</v>
      </c>
      <c r="X136" s="1102">
        <v>100</v>
      </c>
      <c r="Y136" s="1102">
        <v>100</v>
      </c>
      <c r="Z136" s="1102">
        <v>100</v>
      </c>
      <c r="AC136" s="1101" t="s">
        <v>30</v>
      </c>
      <c r="AD136" s="1102">
        <v>100</v>
      </c>
      <c r="AE136" s="1102">
        <v>100</v>
      </c>
      <c r="AF136" s="1102">
        <v>100</v>
      </c>
      <c r="AG136" s="1102">
        <v>100</v>
      </c>
      <c r="AH136" s="1102">
        <v>100</v>
      </c>
    </row>
    <row r="137" spans="1:41">
      <c r="A137" s="1099" t="s">
        <v>248</v>
      </c>
      <c r="B137" s="1097" t="s">
        <v>233</v>
      </c>
      <c r="C137" s="1097" t="s">
        <v>220</v>
      </c>
      <c r="D137" s="1097" t="s">
        <v>223</v>
      </c>
      <c r="E137" s="1097" t="s">
        <v>249</v>
      </c>
      <c r="F137" s="1097" t="s">
        <v>221</v>
      </c>
      <c r="G137" s="1097" t="s">
        <v>234</v>
      </c>
      <c r="H137" s="1097" t="s">
        <v>242</v>
      </c>
      <c r="I137" s="1097" t="s">
        <v>225</v>
      </c>
      <c r="J137" s="1097" t="s">
        <v>236</v>
      </c>
      <c r="K137" s="1097" t="s">
        <v>227</v>
      </c>
      <c r="L137" s="1097" t="s">
        <v>2</v>
      </c>
      <c r="M137" s="1097" t="s">
        <v>232</v>
      </c>
      <c r="N137" s="1097" t="s">
        <v>230</v>
      </c>
      <c r="O137" s="1097" t="s">
        <v>3</v>
      </c>
      <c r="P137" s="1097" t="s">
        <v>235</v>
      </c>
      <c r="Q137" s="1097" t="s">
        <v>250</v>
      </c>
      <c r="R137" s="1097" t="s">
        <v>228</v>
      </c>
      <c r="S137" s="1097" t="s">
        <v>224</v>
      </c>
      <c r="T137" s="1097" t="s">
        <v>239</v>
      </c>
      <c r="U137" s="1097" t="s">
        <v>1033</v>
      </c>
      <c r="V137" s="1097" t="s">
        <v>219</v>
      </c>
      <c r="W137" s="1097" t="s">
        <v>229</v>
      </c>
      <c r="X137" s="1097" t="s">
        <v>222</v>
      </c>
      <c r="Y137" s="1097" t="s">
        <v>1018</v>
      </c>
      <c r="Z137" s="1097" t="s">
        <v>231</v>
      </c>
      <c r="AC137" s="1099" t="s">
        <v>248</v>
      </c>
      <c r="AD137" s="1097" t="s">
        <v>232</v>
      </c>
      <c r="AE137" s="1097" t="s">
        <v>230</v>
      </c>
      <c r="AF137" s="1097" t="s">
        <v>224</v>
      </c>
      <c r="AG137" s="1097" t="s">
        <v>222</v>
      </c>
      <c r="AH137" s="1097" t="s">
        <v>231</v>
      </c>
      <c r="AJ137" s="1099" t="s">
        <v>248</v>
      </c>
      <c r="AK137" s="1097" t="s">
        <v>232</v>
      </c>
      <c r="AL137" s="1097" t="s">
        <v>230</v>
      </c>
      <c r="AM137" s="1097" t="s">
        <v>224</v>
      </c>
      <c r="AN137" s="1097" t="s">
        <v>222</v>
      </c>
      <c r="AO137" s="1097" t="s">
        <v>231</v>
      </c>
    </row>
    <row r="138" spans="1:41">
      <c r="A138" s="1100" t="s">
        <v>1025</v>
      </c>
      <c r="B138" s="1079"/>
      <c r="C138" s="1079"/>
      <c r="D138" s="1079"/>
      <c r="E138" s="1079"/>
      <c r="F138" s="1079"/>
      <c r="G138" s="1079"/>
      <c r="H138" s="1079"/>
      <c r="I138" s="1079"/>
      <c r="J138" s="1079"/>
      <c r="K138" s="1079"/>
      <c r="L138" s="1079"/>
      <c r="M138" s="1079"/>
      <c r="N138" s="1079"/>
      <c r="O138" s="1079"/>
      <c r="P138" s="1079"/>
      <c r="Q138" s="1079"/>
      <c r="R138" s="1079"/>
      <c r="S138" s="1079"/>
      <c r="T138" s="1079"/>
      <c r="U138" s="1079"/>
      <c r="V138" s="1079"/>
      <c r="W138" s="1079"/>
      <c r="X138" s="1079"/>
      <c r="Y138" s="1079"/>
      <c r="Z138" s="1079"/>
      <c r="AC138" s="1100" t="s">
        <v>1025</v>
      </c>
      <c r="AD138" s="1079"/>
      <c r="AE138" s="1079"/>
      <c r="AF138" s="1079"/>
      <c r="AG138" s="1079"/>
      <c r="AH138" s="1079"/>
      <c r="AJ138" s="1101" t="s">
        <v>251</v>
      </c>
      <c r="AK138" s="1102">
        <v>47.69</v>
      </c>
      <c r="AL138" s="1102">
        <v>45.53</v>
      </c>
      <c r="AM138" s="1102">
        <v>49.87</v>
      </c>
      <c r="AN138" s="1102">
        <v>60.25</v>
      </c>
      <c r="AO138" s="1102">
        <v>40.31</v>
      </c>
    </row>
    <row r="139" spans="1:41">
      <c r="A139" s="1101" t="s">
        <v>251</v>
      </c>
      <c r="B139" s="1102">
        <v>80</v>
      </c>
      <c r="C139" s="1102">
        <v>65.47</v>
      </c>
      <c r="D139" s="1102">
        <v>79.61</v>
      </c>
      <c r="E139" s="1102">
        <v>90.54</v>
      </c>
      <c r="F139" s="1102">
        <v>74.650000000000006</v>
      </c>
      <c r="G139" s="1102">
        <v>69.06</v>
      </c>
      <c r="H139" s="1102">
        <v>0</v>
      </c>
      <c r="I139" s="1102">
        <v>58.93</v>
      </c>
      <c r="J139" s="1102">
        <v>82.74</v>
      </c>
      <c r="K139" s="1102">
        <v>58.82</v>
      </c>
      <c r="L139" s="1102">
        <v>52.27</v>
      </c>
      <c r="M139" s="1102">
        <v>47.69</v>
      </c>
      <c r="N139" s="1102">
        <v>45.53</v>
      </c>
      <c r="O139" s="1102">
        <v>97.53</v>
      </c>
      <c r="P139" s="1102">
        <v>87.93</v>
      </c>
      <c r="Q139" s="1102">
        <v>100</v>
      </c>
      <c r="R139" s="1102">
        <v>15.69</v>
      </c>
      <c r="S139" s="1102">
        <v>49.87</v>
      </c>
      <c r="T139" s="1102">
        <v>0</v>
      </c>
      <c r="U139" s="1102">
        <v>0</v>
      </c>
      <c r="V139" s="1102">
        <v>55.16</v>
      </c>
      <c r="W139" s="1102">
        <v>50.74</v>
      </c>
      <c r="X139" s="1102">
        <v>60.25</v>
      </c>
      <c r="Y139" s="1102">
        <v>0</v>
      </c>
      <c r="Z139" s="1102">
        <v>40.31</v>
      </c>
      <c r="AC139" s="1101" t="s">
        <v>251</v>
      </c>
      <c r="AD139" s="1102">
        <v>47.69</v>
      </c>
      <c r="AE139" s="1102">
        <v>45.53</v>
      </c>
      <c r="AF139" s="1102">
        <v>49.87</v>
      </c>
      <c r="AG139" s="1102">
        <v>60.25</v>
      </c>
      <c r="AH139" s="1102">
        <v>40.31</v>
      </c>
      <c r="AJ139" s="1101" t="s">
        <v>1116</v>
      </c>
      <c r="AK139" s="1102">
        <v>24.42</v>
      </c>
      <c r="AL139" s="1102">
        <v>15.87</v>
      </c>
      <c r="AM139" s="1102">
        <v>24.87</v>
      </c>
      <c r="AN139" s="1102">
        <v>24.67</v>
      </c>
      <c r="AO139" s="1102">
        <v>28.27</v>
      </c>
    </row>
    <row r="140" spans="1:41">
      <c r="A140" s="1101" t="s">
        <v>1116</v>
      </c>
      <c r="B140" s="1102">
        <v>20</v>
      </c>
      <c r="C140" s="1102">
        <v>19.260000000000002</v>
      </c>
      <c r="D140" s="1102">
        <v>10.53</v>
      </c>
      <c r="E140" s="1102">
        <v>9.4600000000000009</v>
      </c>
      <c r="F140" s="1102">
        <v>8.3800000000000008</v>
      </c>
      <c r="G140" s="1102">
        <v>15.35</v>
      </c>
      <c r="H140" s="1102">
        <v>0</v>
      </c>
      <c r="I140" s="1102">
        <v>0.67</v>
      </c>
      <c r="J140" s="1102">
        <v>11.51</v>
      </c>
      <c r="K140" s="1102">
        <v>3.92</v>
      </c>
      <c r="L140" s="1102">
        <v>11.17</v>
      </c>
      <c r="M140" s="1102">
        <v>24.42</v>
      </c>
      <c r="N140" s="1102">
        <v>15.87</v>
      </c>
      <c r="O140" s="1102">
        <v>2.4700000000000002</v>
      </c>
      <c r="P140" s="1102">
        <v>12.07</v>
      </c>
      <c r="Q140" s="1102">
        <v>0</v>
      </c>
      <c r="R140" s="1102">
        <v>9.8000000000000007</v>
      </c>
      <c r="S140" s="1102">
        <v>24.87</v>
      </c>
      <c r="T140" s="1102">
        <v>90.91</v>
      </c>
      <c r="U140" s="1102">
        <v>0</v>
      </c>
      <c r="V140" s="1102">
        <v>24.03</v>
      </c>
      <c r="W140" s="1102">
        <v>4.93</v>
      </c>
      <c r="X140" s="1102">
        <v>24.67</v>
      </c>
      <c r="Y140" s="1102">
        <v>5.13</v>
      </c>
      <c r="Z140" s="1102">
        <v>28.27</v>
      </c>
      <c r="AC140" s="1101" t="s">
        <v>1116</v>
      </c>
      <c r="AD140" s="1102">
        <v>24.42</v>
      </c>
      <c r="AE140" s="1102">
        <v>15.87</v>
      </c>
      <c r="AF140" s="1102">
        <v>24.87</v>
      </c>
      <c r="AG140" s="1102">
        <v>24.67</v>
      </c>
      <c r="AH140" s="1102">
        <v>28.27</v>
      </c>
      <c r="AJ140" s="1101" t="s">
        <v>253</v>
      </c>
      <c r="AK140" s="1102">
        <v>27.9</v>
      </c>
      <c r="AL140" s="1102">
        <v>38.590000000000003</v>
      </c>
      <c r="AM140" s="1102">
        <v>25.26</v>
      </c>
      <c r="AN140" s="1102">
        <v>15.08</v>
      </c>
      <c r="AO140" s="1102">
        <v>31.41</v>
      </c>
    </row>
    <row r="141" spans="1:41">
      <c r="A141" s="1103" t="s">
        <v>233</v>
      </c>
      <c r="B141" s="1079"/>
      <c r="C141" s="1079">
        <v>0.01</v>
      </c>
      <c r="D141" s="1079">
        <v>0</v>
      </c>
      <c r="E141" s="1079">
        <v>0</v>
      </c>
      <c r="F141" s="1079">
        <v>0</v>
      </c>
      <c r="G141" s="1079">
        <v>0</v>
      </c>
      <c r="H141" s="1079">
        <v>0</v>
      </c>
      <c r="I141" s="1079">
        <v>0</v>
      </c>
      <c r="J141" s="1079">
        <v>0</v>
      </c>
      <c r="K141" s="1079">
        <v>0</v>
      </c>
      <c r="L141" s="1079">
        <v>0</v>
      </c>
      <c r="M141" s="1079">
        <v>0</v>
      </c>
      <c r="N141" s="1079">
        <v>0</v>
      </c>
      <c r="O141" s="1079">
        <v>0</v>
      </c>
      <c r="P141" s="1079">
        <v>0</v>
      </c>
      <c r="Q141" s="1079">
        <v>0</v>
      </c>
      <c r="R141" s="1079">
        <v>0</v>
      </c>
      <c r="S141" s="1079">
        <v>0</v>
      </c>
      <c r="T141" s="1079">
        <v>0</v>
      </c>
      <c r="U141" s="1079">
        <v>0</v>
      </c>
      <c r="V141" s="1079">
        <v>0</v>
      </c>
      <c r="W141" s="1079">
        <v>0</v>
      </c>
      <c r="X141" s="1079">
        <v>0</v>
      </c>
      <c r="Y141" s="1079">
        <v>0</v>
      </c>
      <c r="Z141" s="1079">
        <v>0</v>
      </c>
      <c r="AC141" s="1103" t="s">
        <v>233</v>
      </c>
      <c r="AD141" s="1079">
        <v>0</v>
      </c>
      <c r="AE141" s="1079">
        <v>0</v>
      </c>
      <c r="AF141" s="1079">
        <v>0</v>
      </c>
      <c r="AG141" s="1079">
        <v>0</v>
      </c>
      <c r="AH141" s="1079">
        <v>0</v>
      </c>
    </row>
    <row r="142" spans="1:41">
      <c r="A142" s="1103" t="s">
        <v>220</v>
      </c>
      <c r="B142" s="1079">
        <v>20</v>
      </c>
      <c r="C142" s="1079"/>
      <c r="D142" s="1079">
        <v>5.29</v>
      </c>
      <c r="E142" s="1079">
        <v>4.05</v>
      </c>
      <c r="F142" s="1079">
        <v>2.63</v>
      </c>
      <c r="G142" s="1079">
        <v>15.35</v>
      </c>
      <c r="H142" s="1079">
        <v>0</v>
      </c>
      <c r="I142" s="1079">
        <v>0</v>
      </c>
      <c r="J142" s="1079">
        <v>0</v>
      </c>
      <c r="K142" s="1079">
        <v>0</v>
      </c>
      <c r="L142" s="1079">
        <v>1.87</v>
      </c>
      <c r="M142" s="1079">
        <v>10.83</v>
      </c>
      <c r="N142" s="1079">
        <v>4.7699999999999996</v>
      </c>
      <c r="O142" s="1079">
        <v>0</v>
      </c>
      <c r="P142" s="1079">
        <v>0</v>
      </c>
      <c r="Q142" s="1079">
        <v>0</v>
      </c>
      <c r="R142" s="1079">
        <v>0</v>
      </c>
      <c r="S142" s="1079">
        <v>18.8</v>
      </c>
      <c r="T142" s="1079">
        <v>0</v>
      </c>
      <c r="U142" s="1079">
        <v>0</v>
      </c>
      <c r="V142" s="1079">
        <v>20.38</v>
      </c>
      <c r="W142" s="1079">
        <v>4.93</v>
      </c>
      <c r="X142" s="1079">
        <v>10.8</v>
      </c>
      <c r="Y142" s="1079">
        <v>0</v>
      </c>
      <c r="Z142" s="1079">
        <v>5.41</v>
      </c>
      <c r="AC142" s="1103" t="s">
        <v>220</v>
      </c>
      <c r="AD142" s="1079">
        <v>10.83</v>
      </c>
      <c r="AE142" s="1079">
        <v>4.7699999999999996</v>
      </c>
      <c r="AF142" s="1079">
        <v>18.8</v>
      </c>
      <c r="AG142" s="1079">
        <v>10.8</v>
      </c>
      <c r="AH142" s="1079">
        <v>5.41</v>
      </c>
    </row>
    <row r="143" spans="1:41">
      <c r="A143" s="1103" t="s">
        <v>223</v>
      </c>
      <c r="B143" s="1079">
        <v>0</v>
      </c>
      <c r="C143" s="1079">
        <v>0.63</v>
      </c>
      <c r="D143" s="1079"/>
      <c r="E143" s="1079">
        <v>0</v>
      </c>
      <c r="F143" s="1079">
        <v>0.49</v>
      </c>
      <c r="G143" s="1079">
        <v>0</v>
      </c>
      <c r="H143" s="1079">
        <v>0</v>
      </c>
      <c r="I143" s="1079">
        <v>0</v>
      </c>
      <c r="J143" s="1079">
        <v>0</v>
      </c>
      <c r="K143" s="1079">
        <v>0</v>
      </c>
      <c r="L143" s="1079">
        <v>0.87</v>
      </c>
      <c r="M143" s="1079">
        <v>0</v>
      </c>
      <c r="N143" s="1079">
        <v>0.69</v>
      </c>
      <c r="O143" s="1079">
        <v>0</v>
      </c>
      <c r="P143" s="1079">
        <v>0</v>
      </c>
      <c r="Q143" s="1079">
        <v>0</v>
      </c>
      <c r="R143" s="1079">
        <v>0</v>
      </c>
      <c r="S143" s="1079">
        <v>0.27</v>
      </c>
      <c r="T143" s="1079">
        <v>0</v>
      </c>
      <c r="U143" s="1079">
        <v>0</v>
      </c>
      <c r="V143" s="1079">
        <v>0.37</v>
      </c>
      <c r="W143" s="1079">
        <v>0</v>
      </c>
      <c r="X143" s="1079">
        <v>0</v>
      </c>
      <c r="Y143" s="1079">
        <v>0</v>
      </c>
      <c r="Z143" s="1079">
        <v>0.7</v>
      </c>
      <c r="AC143" s="1103" t="s">
        <v>223</v>
      </c>
      <c r="AD143" s="1079">
        <v>0</v>
      </c>
      <c r="AE143" s="1079">
        <v>0.69</v>
      </c>
      <c r="AF143" s="1079">
        <v>0.27</v>
      </c>
      <c r="AG143" s="1079">
        <v>0</v>
      </c>
      <c r="AH143" s="1079">
        <v>0.7</v>
      </c>
      <c r="AJ143" s="1103" t="s">
        <v>220</v>
      </c>
      <c r="AK143" s="1079">
        <v>10.83</v>
      </c>
      <c r="AL143" s="1079">
        <v>4.7699999999999996</v>
      </c>
      <c r="AM143" s="1079">
        <v>18.8</v>
      </c>
      <c r="AN143" s="1079">
        <v>10.8</v>
      </c>
      <c r="AO143" s="1079">
        <v>5.41</v>
      </c>
    </row>
    <row r="144" spans="1:41">
      <c r="A144" s="1103" t="s">
        <v>249</v>
      </c>
      <c r="B144" s="1079">
        <v>0</v>
      </c>
      <c r="C144" s="1079">
        <v>0</v>
      </c>
      <c r="D144" s="1079">
        <v>0</v>
      </c>
      <c r="E144" s="1079"/>
      <c r="F144" s="1079">
        <v>0</v>
      </c>
      <c r="G144" s="1079">
        <v>0</v>
      </c>
      <c r="H144" s="1079">
        <v>0</v>
      </c>
      <c r="I144" s="1079">
        <v>0</v>
      </c>
      <c r="J144" s="1079">
        <v>0</v>
      </c>
      <c r="K144" s="1079">
        <v>0</v>
      </c>
      <c r="L144" s="1079">
        <v>0</v>
      </c>
      <c r="M144" s="1079">
        <v>0</v>
      </c>
      <c r="N144" s="1079">
        <v>0</v>
      </c>
      <c r="O144" s="1079">
        <v>0</v>
      </c>
      <c r="P144" s="1079">
        <v>0</v>
      </c>
      <c r="Q144" s="1079">
        <v>0</v>
      </c>
      <c r="R144" s="1079">
        <v>0</v>
      </c>
      <c r="S144" s="1079">
        <v>0.03</v>
      </c>
      <c r="T144" s="1079">
        <v>0</v>
      </c>
      <c r="U144" s="1079">
        <v>0</v>
      </c>
      <c r="V144" s="1079">
        <v>0</v>
      </c>
      <c r="W144" s="1079">
        <v>0</v>
      </c>
      <c r="X144" s="1079">
        <v>0</v>
      </c>
      <c r="Y144" s="1079">
        <v>0</v>
      </c>
      <c r="Z144" s="1079">
        <v>0</v>
      </c>
      <c r="AC144" s="1103" t="s">
        <v>249</v>
      </c>
      <c r="AD144" s="1079">
        <v>0</v>
      </c>
      <c r="AE144" s="1079">
        <v>0</v>
      </c>
      <c r="AF144" s="1079">
        <v>0.03</v>
      </c>
      <c r="AG144" s="1079">
        <v>0</v>
      </c>
      <c r="AH144" s="1079">
        <v>0</v>
      </c>
      <c r="AJ144" s="1103" t="s">
        <v>230</v>
      </c>
      <c r="AK144" s="1079">
        <v>0</v>
      </c>
      <c r="AL144" s="1079"/>
      <c r="AM144" s="1079">
        <v>0.02</v>
      </c>
      <c r="AN144" s="1079">
        <v>0.17</v>
      </c>
      <c r="AO144" s="1079">
        <v>18.670000000000002</v>
      </c>
    </row>
    <row r="145" spans="1:41">
      <c r="A145" s="1103" t="s">
        <v>221</v>
      </c>
      <c r="B145" s="1079">
        <v>0</v>
      </c>
      <c r="C145" s="1079">
        <v>0.11</v>
      </c>
      <c r="D145" s="1079">
        <v>2.58</v>
      </c>
      <c r="E145" s="1079">
        <v>0</v>
      </c>
      <c r="F145" s="1079"/>
      <c r="G145" s="1079">
        <v>0</v>
      </c>
      <c r="H145" s="1079">
        <v>0</v>
      </c>
      <c r="I145" s="1079">
        <v>0</v>
      </c>
      <c r="J145" s="1079">
        <v>0</v>
      </c>
      <c r="K145" s="1079">
        <v>0</v>
      </c>
      <c r="L145" s="1079">
        <v>3.02</v>
      </c>
      <c r="M145" s="1079">
        <v>0</v>
      </c>
      <c r="N145" s="1079">
        <v>0</v>
      </c>
      <c r="O145" s="1079">
        <v>0</v>
      </c>
      <c r="P145" s="1079">
        <v>0</v>
      </c>
      <c r="Q145" s="1079">
        <v>0</v>
      </c>
      <c r="R145" s="1079">
        <v>0</v>
      </c>
      <c r="S145" s="1079">
        <v>0.09</v>
      </c>
      <c r="T145" s="1079">
        <v>0</v>
      </c>
      <c r="U145" s="1079">
        <v>0</v>
      </c>
      <c r="V145" s="1079">
        <v>0.22</v>
      </c>
      <c r="W145" s="1079">
        <v>0</v>
      </c>
      <c r="X145" s="1079">
        <v>0</v>
      </c>
      <c r="Y145" s="1079">
        <v>0</v>
      </c>
      <c r="Z145" s="1079">
        <v>0</v>
      </c>
      <c r="AC145" s="1103" t="s">
        <v>221</v>
      </c>
      <c r="AD145" s="1079">
        <v>0</v>
      </c>
      <c r="AE145" s="1079">
        <v>0</v>
      </c>
      <c r="AF145" s="1079">
        <v>0.09</v>
      </c>
      <c r="AG145" s="1079">
        <v>0</v>
      </c>
      <c r="AH145" s="1079">
        <v>0</v>
      </c>
      <c r="AJ145" s="1103" t="s">
        <v>224</v>
      </c>
      <c r="AK145" s="1079">
        <v>7.36</v>
      </c>
      <c r="AL145" s="1079">
        <v>0.43</v>
      </c>
      <c r="AM145" s="1079"/>
      <c r="AN145" s="1079">
        <v>6.17</v>
      </c>
      <c r="AO145" s="1079">
        <v>1.05</v>
      </c>
    </row>
    <row r="146" spans="1:41">
      <c r="A146" s="1103" t="s">
        <v>225</v>
      </c>
      <c r="B146" s="1079">
        <v>0</v>
      </c>
      <c r="C146" s="1079">
        <v>0</v>
      </c>
      <c r="D146" s="1079">
        <v>0</v>
      </c>
      <c r="E146" s="1079">
        <v>0</v>
      </c>
      <c r="F146" s="1079">
        <v>0</v>
      </c>
      <c r="G146" s="1079">
        <v>0</v>
      </c>
      <c r="H146" s="1079">
        <v>0</v>
      </c>
      <c r="I146" s="1079"/>
      <c r="J146" s="1079">
        <v>0</v>
      </c>
      <c r="K146" s="1079">
        <v>0</v>
      </c>
      <c r="L146" s="1079">
        <v>0</v>
      </c>
      <c r="M146" s="1079">
        <v>0</v>
      </c>
      <c r="N146" s="1079">
        <v>0</v>
      </c>
      <c r="O146" s="1079">
        <v>0</v>
      </c>
      <c r="P146" s="1079">
        <v>0</v>
      </c>
      <c r="Q146" s="1079">
        <v>0</v>
      </c>
      <c r="R146" s="1079">
        <v>0</v>
      </c>
      <c r="S146" s="1079">
        <v>7.0000000000000007E-2</v>
      </c>
      <c r="T146" s="1079">
        <v>0</v>
      </c>
      <c r="U146" s="1079">
        <v>0</v>
      </c>
      <c r="V146" s="1079">
        <v>0</v>
      </c>
      <c r="W146" s="1079">
        <v>0</v>
      </c>
      <c r="X146" s="1079">
        <v>0</v>
      </c>
      <c r="Y146" s="1079">
        <v>0</v>
      </c>
      <c r="Z146" s="1079">
        <v>0</v>
      </c>
      <c r="AC146" s="1103" t="s">
        <v>225</v>
      </c>
      <c r="AD146" s="1079">
        <v>0</v>
      </c>
      <c r="AE146" s="1079">
        <v>0</v>
      </c>
      <c r="AF146" s="1079">
        <v>7.0000000000000007E-2</v>
      </c>
      <c r="AG146" s="1079">
        <v>0</v>
      </c>
      <c r="AH146" s="1079">
        <v>0</v>
      </c>
      <c r="AJ146" s="1103" t="s">
        <v>219</v>
      </c>
      <c r="AK146" s="1079">
        <v>0.52</v>
      </c>
      <c r="AL146" s="1079">
        <v>3.56</v>
      </c>
      <c r="AM146" s="1079">
        <v>0.72</v>
      </c>
      <c r="AN146" s="1079">
        <v>1.82</v>
      </c>
      <c r="AO146" s="1079">
        <v>0</v>
      </c>
    </row>
    <row r="147" spans="1:41">
      <c r="A147" s="1103" t="s">
        <v>236</v>
      </c>
      <c r="B147" s="1079">
        <v>0</v>
      </c>
      <c r="C147" s="1079">
        <v>0</v>
      </c>
      <c r="D147" s="1079">
        <v>0</v>
      </c>
      <c r="E147" s="1079">
        <v>0</v>
      </c>
      <c r="F147" s="1079">
        <v>0</v>
      </c>
      <c r="G147" s="1079">
        <v>0</v>
      </c>
      <c r="H147" s="1079">
        <v>0</v>
      </c>
      <c r="I147" s="1079">
        <v>0</v>
      </c>
      <c r="J147" s="1079"/>
      <c r="K147" s="1079">
        <v>0</v>
      </c>
      <c r="L147" s="1079">
        <v>0</v>
      </c>
      <c r="M147" s="1079">
        <v>0</v>
      </c>
      <c r="N147" s="1079">
        <v>0</v>
      </c>
      <c r="O147" s="1079">
        <v>0</v>
      </c>
      <c r="P147" s="1079">
        <v>0</v>
      </c>
      <c r="Q147" s="1079">
        <v>0</v>
      </c>
      <c r="R147" s="1079">
        <v>0</v>
      </c>
      <c r="S147" s="1079">
        <v>0</v>
      </c>
      <c r="T147" s="1079">
        <v>0</v>
      </c>
      <c r="U147" s="1079">
        <v>0</v>
      </c>
      <c r="V147" s="1079">
        <v>0.04</v>
      </c>
      <c r="W147" s="1079">
        <v>0</v>
      </c>
      <c r="X147" s="1079">
        <v>0</v>
      </c>
      <c r="Y147" s="1079">
        <v>0</v>
      </c>
      <c r="Z147" s="1079">
        <v>0</v>
      </c>
      <c r="AC147" s="1103" t="s">
        <v>236</v>
      </c>
      <c r="AD147" s="1079">
        <v>0</v>
      </c>
      <c r="AE147" s="1079">
        <v>0</v>
      </c>
      <c r="AF147" s="1079">
        <v>0</v>
      </c>
      <c r="AG147" s="1079">
        <v>0</v>
      </c>
      <c r="AH147" s="1079">
        <v>0</v>
      </c>
      <c r="AJ147" s="1103" t="s">
        <v>222</v>
      </c>
      <c r="AK147" s="1079">
        <v>3.91</v>
      </c>
      <c r="AL147" s="1079">
        <v>1.39</v>
      </c>
      <c r="AM147" s="1079">
        <v>2.46</v>
      </c>
      <c r="AN147" s="1079"/>
      <c r="AO147" s="1079">
        <v>1.57</v>
      </c>
    </row>
    <row r="148" spans="1:41">
      <c r="A148" s="1103" t="s">
        <v>227</v>
      </c>
      <c r="B148" s="1079">
        <v>0</v>
      </c>
      <c r="C148" s="1079">
        <v>0</v>
      </c>
      <c r="D148" s="1079">
        <v>0</v>
      </c>
      <c r="E148" s="1079">
        <v>0</v>
      </c>
      <c r="F148" s="1079">
        <v>0</v>
      </c>
      <c r="G148" s="1079">
        <v>0</v>
      </c>
      <c r="H148" s="1079">
        <v>0</v>
      </c>
      <c r="I148" s="1079">
        <v>0</v>
      </c>
      <c r="J148" s="1079">
        <v>0</v>
      </c>
      <c r="K148" s="1079"/>
      <c r="L148" s="1079">
        <v>0.11</v>
      </c>
      <c r="M148" s="1079">
        <v>0</v>
      </c>
      <c r="N148" s="1079">
        <v>0</v>
      </c>
      <c r="O148" s="1079">
        <v>0</v>
      </c>
      <c r="P148" s="1079">
        <v>0</v>
      </c>
      <c r="Q148" s="1079">
        <v>0</v>
      </c>
      <c r="R148" s="1079">
        <v>0</v>
      </c>
      <c r="S148" s="1079">
        <v>0</v>
      </c>
      <c r="T148" s="1079">
        <v>0</v>
      </c>
      <c r="U148" s="1079">
        <v>0</v>
      </c>
      <c r="V148" s="1079">
        <v>0</v>
      </c>
      <c r="W148" s="1079">
        <v>0</v>
      </c>
      <c r="X148" s="1079">
        <v>0</v>
      </c>
      <c r="Y148" s="1079">
        <v>0</v>
      </c>
      <c r="Z148" s="1079">
        <v>0</v>
      </c>
      <c r="AC148" s="1103" t="s">
        <v>227</v>
      </c>
      <c r="AD148" s="1079">
        <v>0</v>
      </c>
      <c r="AE148" s="1079">
        <v>0</v>
      </c>
      <c r="AF148" s="1079">
        <v>0</v>
      </c>
      <c r="AG148" s="1079">
        <v>0</v>
      </c>
      <c r="AH148" s="1079">
        <v>0</v>
      </c>
    </row>
    <row r="149" spans="1:41">
      <c r="A149" s="1103" t="s">
        <v>2</v>
      </c>
      <c r="B149" s="1079">
        <v>0</v>
      </c>
      <c r="C149" s="1079">
        <v>0.05</v>
      </c>
      <c r="D149" s="1079">
        <v>0.34</v>
      </c>
      <c r="E149" s="1079">
        <v>0</v>
      </c>
      <c r="F149" s="1079">
        <v>1.57</v>
      </c>
      <c r="G149" s="1079">
        <v>0</v>
      </c>
      <c r="H149" s="1079">
        <v>0</v>
      </c>
      <c r="I149" s="1079">
        <v>0</v>
      </c>
      <c r="J149" s="1079">
        <v>0</v>
      </c>
      <c r="K149" s="1079">
        <v>3.92</v>
      </c>
      <c r="L149" s="1079"/>
      <c r="M149" s="1079">
        <v>1.03</v>
      </c>
      <c r="N149" s="1079">
        <v>0.17</v>
      </c>
      <c r="O149" s="1079">
        <v>0</v>
      </c>
      <c r="P149" s="1079">
        <v>0</v>
      </c>
      <c r="Q149" s="1079">
        <v>0</v>
      </c>
      <c r="R149" s="1079">
        <v>0</v>
      </c>
      <c r="S149" s="1079">
        <v>0.48</v>
      </c>
      <c r="T149" s="1079">
        <v>0</v>
      </c>
      <c r="U149" s="1079">
        <v>0</v>
      </c>
      <c r="V149" s="1079">
        <v>7.0000000000000007E-2</v>
      </c>
      <c r="W149" s="1079">
        <v>0</v>
      </c>
      <c r="X149" s="1079">
        <v>0.01</v>
      </c>
      <c r="Y149" s="1079">
        <v>0</v>
      </c>
      <c r="Z149" s="1079">
        <v>0</v>
      </c>
      <c r="AC149" s="1103" t="s">
        <v>2</v>
      </c>
      <c r="AD149" s="1079">
        <v>1.03</v>
      </c>
      <c r="AE149" s="1079">
        <v>0.17</v>
      </c>
      <c r="AF149" s="1079">
        <v>0.48</v>
      </c>
      <c r="AG149" s="1079">
        <v>0.01</v>
      </c>
      <c r="AH149" s="1079">
        <v>0</v>
      </c>
    </row>
    <row r="150" spans="1:41">
      <c r="A150" s="1103" t="s">
        <v>232</v>
      </c>
      <c r="B150" s="1079">
        <v>0</v>
      </c>
      <c r="C150" s="1079">
        <v>0.19</v>
      </c>
      <c r="D150" s="1079">
        <v>0</v>
      </c>
      <c r="E150" s="1079">
        <v>0</v>
      </c>
      <c r="F150" s="1079">
        <v>0</v>
      </c>
      <c r="G150" s="1079">
        <v>0</v>
      </c>
      <c r="H150" s="1079">
        <v>0</v>
      </c>
      <c r="I150" s="1079">
        <v>0</v>
      </c>
      <c r="J150" s="1079">
        <v>0</v>
      </c>
      <c r="K150" s="1079">
        <v>0</v>
      </c>
      <c r="L150" s="1079">
        <v>2.29</v>
      </c>
      <c r="M150" s="1079"/>
      <c r="N150" s="1079">
        <v>0</v>
      </c>
      <c r="O150" s="1079">
        <v>0</v>
      </c>
      <c r="P150" s="1079">
        <v>0</v>
      </c>
      <c r="Q150" s="1079">
        <v>0</v>
      </c>
      <c r="R150" s="1079">
        <v>0</v>
      </c>
      <c r="S150" s="1079">
        <v>0.57999999999999996</v>
      </c>
      <c r="T150" s="1079">
        <v>0</v>
      </c>
      <c r="U150" s="1079">
        <v>0</v>
      </c>
      <c r="V150" s="1079">
        <v>0.02</v>
      </c>
      <c r="W150" s="1079">
        <v>0</v>
      </c>
      <c r="X150" s="1079">
        <v>0.91</v>
      </c>
      <c r="Y150" s="1079">
        <v>0</v>
      </c>
      <c r="Z150" s="1079">
        <v>0.35</v>
      </c>
      <c r="AC150" s="1103" t="s">
        <v>232</v>
      </c>
      <c r="AD150" s="1079"/>
      <c r="AE150" s="1079">
        <v>0</v>
      </c>
      <c r="AF150" s="1079">
        <v>0.57999999999999996</v>
      </c>
      <c r="AG150" s="1079">
        <v>0.91</v>
      </c>
      <c r="AH150" s="1079">
        <v>0.35</v>
      </c>
    </row>
    <row r="151" spans="1:41">
      <c r="A151" s="1103" t="s">
        <v>230</v>
      </c>
      <c r="B151" s="1079">
        <v>0</v>
      </c>
      <c r="C151" s="1079">
        <v>0.26</v>
      </c>
      <c r="D151" s="1079">
        <v>0.18</v>
      </c>
      <c r="E151" s="1079">
        <v>0</v>
      </c>
      <c r="F151" s="1079">
        <v>0</v>
      </c>
      <c r="G151" s="1079">
        <v>0</v>
      </c>
      <c r="H151" s="1079">
        <v>0</v>
      </c>
      <c r="I151" s="1079">
        <v>0</v>
      </c>
      <c r="J151" s="1079">
        <v>0</v>
      </c>
      <c r="K151" s="1079">
        <v>0</v>
      </c>
      <c r="L151" s="1079">
        <v>0.56000000000000005</v>
      </c>
      <c r="M151" s="1079">
        <v>0</v>
      </c>
      <c r="N151" s="1079"/>
      <c r="O151" s="1079">
        <v>0</v>
      </c>
      <c r="P151" s="1079">
        <v>0</v>
      </c>
      <c r="Q151" s="1079">
        <v>0</v>
      </c>
      <c r="R151" s="1079">
        <v>0</v>
      </c>
      <c r="S151" s="1079">
        <v>0.02</v>
      </c>
      <c r="T151" s="1079">
        <v>0</v>
      </c>
      <c r="U151" s="1079">
        <v>0</v>
      </c>
      <c r="V151" s="1079">
        <v>0.13</v>
      </c>
      <c r="W151" s="1079">
        <v>0</v>
      </c>
      <c r="X151" s="1079">
        <v>0.17</v>
      </c>
      <c r="Y151" s="1079">
        <v>5.13</v>
      </c>
      <c r="Z151" s="1079">
        <v>18.670000000000002</v>
      </c>
      <c r="AC151" s="1103" t="s">
        <v>230</v>
      </c>
      <c r="AD151" s="1079">
        <v>0</v>
      </c>
      <c r="AE151" s="1079"/>
      <c r="AF151" s="1079">
        <v>0.02</v>
      </c>
      <c r="AG151" s="1079">
        <v>0.17</v>
      </c>
      <c r="AH151" s="1079">
        <v>18.670000000000002</v>
      </c>
    </row>
    <row r="152" spans="1:41">
      <c r="A152" s="1103" t="s">
        <v>235</v>
      </c>
      <c r="B152" s="1079">
        <v>0</v>
      </c>
      <c r="C152" s="1079">
        <v>0</v>
      </c>
      <c r="D152" s="1079">
        <v>0</v>
      </c>
      <c r="E152" s="1079">
        <v>0</v>
      </c>
      <c r="F152" s="1079">
        <v>0</v>
      </c>
      <c r="G152" s="1079">
        <v>0</v>
      </c>
      <c r="H152" s="1079">
        <v>0</v>
      </c>
      <c r="I152" s="1079">
        <v>0</v>
      </c>
      <c r="J152" s="1079">
        <v>0</v>
      </c>
      <c r="K152" s="1079">
        <v>0</v>
      </c>
      <c r="L152" s="1079">
        <v>0</v>
      </c>
      <c r="M152" s="1079">
        <v>0</v>
      </c>
      <c r="N152" s="1079">
        <v>0</v>
      </c>
      <c r="O152" s="1079">
        <v>0</v>
      </c>
      <c r="P152" s="1079"/>
      <c r="Q152" s="1079">
        <v>0</v>
      </c>
      <c r="R152" s="1079">
        <v>0</v>
      </c>
      <c r="S152" s="1079">
        <v>0</v>
      </c>
      <c r="T152" s="1079">
        <v>0</v>
      </c>
      <c r="U152" s="1079">
        <v>0</v>
      </c>
      <c r="V152" s="1079">
        <v>0</v>
      </c>
      <c r="W152" s="1079">
        <v>0</v>
      </c>
      <c r="X152" s="1079">
        <v>0.21</v>
      </c>
      <c r="Y152" s="1079">
        <v>0</v>
      </c>
      <c r="Z152" s="1079">
        <v>0</v>
      </c>
      <c r="AC152" s="1103" t="s">
        <v>235</v>
      </c>
      <c r="AD152" s="1079">
        <v>0</v>
      </c>
      <c r="AE152" s="1079">
        <v>0</v>
      </c>
      <c r="AF152" s="1079">
        <v>0</v>
      </c>
      <c r="AG152" s="1079">
        <v>0.21</v>
      </c>
      <c r="AH152" s="1079">
        <v>0</v>
      </c>
    </row>
    <row r="153" spans="1:41">
      <c r="A153" s="1103" t="s">
        <v>224</v>
      </c>
      <c r="B153" s="1079">
        <v>0</v>
      </c>
      <c r="C153" s="1079">
        <v>5.05</v>
      </c>
      <c r="D153" s="1079">
        <v>0.3</v>
      </c>
      <c r="E153" s="1079">
        <v>5.41</v>
      </c>
      <c r="F153" s="1079">
        <v>0.81</v>
      </c>
      <c r="G153" s="1079">
        <v>0</v>
      </c>
      <c r="H153" s="1079">
        <v>0</v>
      </c>
      <c r="I153" s="1079">
        <v>0.67</v>
      </c>
      <c r="J153" s="1079">
        <v>0</v>
      </c>
      <c r="K153" s="1079">
        <v>0</v>
      </c>
      <c r="L153" s="1079">
        <v>0.97</v>
      </c>
      <c r="M153" s="1079">
        <v>7.36</v>
      </c>
      <c r="N153" s="1079">
        <v>0.43</v>
      </c>
      <c r="O153" s="1079">
        <v>0</v>
      </c>
      <c r="P153" s="1079">
        <v>0</v>
      </c>
      <c r="Q153" s="1079">
        <v>0</v>
      </c>
      <c r="R153" s="1079">
        <v>0</v>
      </c>
      <c r="S153" s="1079"/>
      <c r="T153" s="1079">
        <v>0</v>
      </c>
      <c r="U153" s="1079">
        <v>0</v>
      </c>
      <c r="V153" s="1079">
        <v>1.74</v>
      </c>
      <c r="W153" s="1079">
        <v>0</v>
      </c>
      <c r="X153" s="1079">
        <v>6.17</v>
      </c>
      <c r="Y153" s="1079">
        <v>0</v>
      </c>
      <c r="Z153" s="1079">
        <v>1.05</v>
      </c>
      <c r="AC153" s="1103" t="s">
        <v>224</v>
      </c>
      <c r="AD153" s="1079">
        <v>7.36</v>
      </c>
      <c r="AE153" s="1079">
        <v>0.43</v>
      </c>
      <c r="AF153" s="1079"/>
      <c r="AG153" s="1079">
        <v>6.17</v>
      </c>
      <c r="AH153" s="1079">
        <v>1.05</v>
      </c>
    </row>
    <row r="154" spans="1:41">
      <c r="A154" s="1103" t="s">
        <v>239</v>
      </c>
      <c r="B154" s="1079">
        <v>0</v>
      </c>
      <c r="C154" s="1079">
        <v>0</v>
      </c>
      <c r="D154" s="1079">
        <v>0</v>
      </c>
      <c r="E154" s="1079">
        <v>0</v>
      </c>
      <c r="F154" s="1079">
        <v>0</v>
      </c>
      <c r="G154" s="1079">
        <v>0</v>
      </c>
      <c r="H154" s="1079">
        <v>0</v>
      </c>
      <c r="I154" s="1079">
        <v>0</v>
      </c>
      <c r="J154" s="1079">
        <v>0</v>
      </c>
      <c r="K154" s="1079">
        <v>0</v>
      </c>
      <c r="L154" s="1079">
        <v>0</v>
      </c>
      <c r="M154" s="1079">
        <v>0</v>
      </c>
      <c r="N154" s="1079">
        <v>0</v>
      </c>
      <c r="O154" s="1079">
        <v>0</v>
      </c>
      <c r="P154" s="1079">
        <v>0</v>
      </c>
      <c r="Q154" s="1079">
        <v>0</v>
      </c>
      <c r="R154" s="1079">
        <v>0</v>
      </c>
      <c r="S154" s="1079">
        <v>0</v>
      </c>
      <c r="T154" s="1079"/>
      <c r="U154" s="1079">
        <v>0</v>
      </c>
      <c r="V154" s="1079">
        <v>0</v>
      </c>
      <c r="W154" s="1079">
        <v>0</v>
      </c>
      <c r="X154" s="1079">
        <v>2.4300000000000002</v>
      </c>
      <c r="Y154" s="1079">
        <v>0</v>
      </c>
      <c r="Z154" s="1079">
        <v>0</v>
      </c>
      <c r="AC154" s="1103" t="s">
        <v>239</v>
      </c>
      <c r="AD154" s="1079">
        <v>0</v>
      </c>
      <c r="AE154" s="1079">
        <v>0</v>
      </c>
      <c r="AF154" s="1079">
        <v>0</v>
      </c>
      <c r="AG154" s="1079">
        <v>2.4300000000000002</v>
      </c>
      <c r="AH154" s="1079">
        <v>0</v>
      </c>
    </row>
    <row r="155" spans="1:41">
      <c r="A155" s="1103" t="s">
        <v>219</v>
      </c>
      <c r="B155" s="1079">
        <v>0</v>
      </c>
      <c r="C155" s="1079">
        <v>9.99</v>
      </c>
      <c r="D155" s="1079">
        <v>1.58</v>
      </c>
      <c r="E155" s="1079">
        <v>0</v>
      </c>
      <c r="F155" s="1079">
        <v>2.89</v>
      </c>
      <c r="G155" s="1079">
        <v>0</v>
      </c>
      <c r="H155" s="1079">
        <v>0</v>
      </c>
      <c r="I155" s="1079">
        <v>0</v>
      </c>
      <c r="J155" s="1079">
        <v>11.51</v>
      </c>
      <c r="K155" s="1079">
        <v>0</v>
      </c>
      <c r="L155" s="1079">
        <v>0.9</v>
      </c>
      <c r="M155" s="1079">
        <v>0.52</v>
      </c>
      <c r="N155" s="1079">
        <v>3.56</v>
      </c>
      <c r="O155" s="1079">
        <v>2.4700000000000002</v>
      </c>
      <c r="P155" s="1079">
        <v>0</v>
      </c>
      <c r="Q155" s="1079">
        <v>0</v>
      </c>
      <c r="R155" s="1079">
        <v>9.8000000000000007</v>
      </c>
      <c r="S155" s="1079">
        <v>0.72</v>
      </c>
      <c r="T155" s="1079">
        <v>0</v>
      </c>
      <c r="U155" s="1079">
        <v>0</v>
      </c>
      <c r="V155" s="1079"/>
      <c r="W155" s="1079">
        <v>0</v>
      </c>
      <c r="X155" s="1079">
        <v>1.82</v>
      </c>
      <c r="Y155" s="1079">
        <v>0</v>
      </c>
      <c r="Z155" s="1079">
        <v>0</v>
      </c>
      <c r="AC155" s="1103" t="s">
        <v>219</v>
      </c>
      <c r="AD155" s="1079">
        <v>0.52</v>
      </c>
      <c r="AE155" s="1079">
        <v>3.56</v>
      </c>
      <c r="AF155" s="1079">
        <v>0.72</v>
      </c>
      <c r="AG155" s="1079">
        <v>1.82</v>
      </c>
      <c r="AH155" s="1079">
        <v>0</v>
      </c>
    </row>
    <row r="156" spans="1:41">
      <c r="A156" s="1103" t="s">
        <v>229</v>
      </c>
      <c r="B156" s="1079">
        <v>0</v>
      </c>
      <c r="C156" s="1079">
        <v>0.12</v>
      </c>
      <c r="D156" s="1079">
        <v>0</v>
      </c>
      <c r="E156" s="1079">
        <v>0</v>
      </c>
      <c r="F156" s="1079">
        <v>0</v>
      </c>
      <c r="G156" s="1079">
        <v>0</v>
      </c>
      <c r="H156" s="1079">
        <v>0</v>
      </c>
      <c r="I156" s="1079">
        <v>0</v>
      </c>
      <c r="J156" s="1079">
        <v>0</v>
      </c>
      <c r="K156" s="1079">
        <v>0</v>
      </c>
      <c r="L156" s="1079">
        <v>0</v>
      </c>
      <c r="M156" s="1079">
        <v>0</v>
      </c>
      <c r="N156" s="1079">
        <v>0</v>
      </c>
      <c r="O156" s="1079">
        <v>0</v>
      </c>
      <c r="P156" s="1079">
        <v>0</v>
      </c>
      <c r="Q156" s="1079">
        <v>0</v>
      </c>
      <c r="R156" s="1079">
        <v>0</v>
      </c>
      <c r="S156" s="1079">
        <v>0</v>
      </c>
      <c r="T156" s="1079">
        <v>0</v>
      </c>
      <c r="U156" s="1079">
        <v>0</v>
      </c>
      <c r="V156" s="1079">
        <v>0</v>
      </c>
      <c r="W156" s="1079"/>
      <c r="X156" s="1079">
        <v>0</v>
      </c>
      <c r="Y156" s="1079">
        <v>0</v>
      </c>
      <c r="Z156" s="1079">
        <v>0</v>
      </c>
      <c r="AC156" s="1103" t="s">
        <v>229</v>
      </c>
      <c r="AD156" s="1079">
        <v>0</v>
      </c>
      <c r="AE156" s="1079">
        <v>0</v>
      </c>
      <c r="AF156" s="1079">
        <v>0</v>
      </c>
      <c r="AG156" s="1079">
        <v>0</v>
      </c>
      <c r="AH156" s="1079">
        <v>0</v>
      </c>
    </row>
    <row r="157" spans="1:41">
      <c r="A157" s="1103" t="s">
        <v>222</v>
      </c>
      <c r="B157" s="1079">
        <v>0</v>
      </c>
      <c r="C157" s="1079">
        <v>2.69</v>
      </c>
      <c r="D157" s="1079">
        <v>0</v>
      </c>
      <c r="E157" s="1079">
        <v>0</v>
      </c>
      <c r="F157" s="1079">
        <v>0</v>
      </c>
      <c r="G157" s="1079">
        <v>0</v>
      </c>
      <c r="H157" s="1079">
        <v>0</v>
      </c>
      <c r="I157" s="1079">
        <v>0</v>
      </c>
      <c r="J157" s="1079">
        <v>0</v>
      </c>
      <c r="K157" s="1079">
        <v>0</v>
      </c>
      <c r="L157" s="1079">
        <v>0.59</v>
      </c>
      <c r="M157" s="1079">
        <v>3.91</v>
      </c>
      <c r="N157" s="1079">
        <v>1.39</v>
      </c>
      <c r="O157" s="1079">
        <v>0</v>
      </c>
      <c r="P157" s="1079">
        <v>12.07</v>
      </c>
      <c r="Q157" s="1079">
        <v>0</v>
      </c>
      <c r="R157" s="1079">
        <v>0</v>
      </c>
      <c r="S157" s="1079">
        <v>2.46</v>
      </c>
      <c r="T157" s="1079">
        <v>90.91</v>
      </c>
      <c r="U157" s="1079">
        <v>0</v>
      </c>
      <c r="V157" s="1079">
        <v>0.28000000000000003</v>
      </c>
      <c r="W157" s="1079">
        <v>0</v>
      </c>
      <c r="X157" s="1079"/>
      <c r="Y157" s="1079">
        <v>0</v>
      </c>
      <c r="Z157" s="1079">
        <v>1.57</v>
      </c>
      <c r="AC157" s="1103" t="s">
        <v>222</v>
      </c>
      <c r="AD157" s="1079">
        <v>3.91</v>
      </c>
      <c r="AE157" s="1079">
        <v>1.39</v>
      </c>
      <c r="AF157" s="1079">
        <v>2.46</v>
      </c>
      <c r="AG157" s="1079"/>
      <c r="AH157" s="1079">
        <v>1.57</v>
      </c>
    </row>
    <row r="158" spans="1:41">
      <c r="A158" s="1103" t="s">
        <v>1018</v>
      </c>
      <c r="B158" s="1079">
        <v>0</v>
      </c>
      <c r="C158" s="1079">
        <v>0</v>
      </c>
      <c r="D158" s="1079">
        <v>0</v>
      </c>
      <c r="E158" s="1079">
        <v>0</v>
      </c>
      <c r="F158" s="1079">
        <v>0</v>
      </c>
      <c r="G158" s="1079">
        <v>0</v>
      </c>
      <c r="H158" s="1079">
        <v>0</v>
      </c>
      <c r="I158" s="1079">
        <v>0</v>
      </c>
      <c r="J158" s="1079">
        <v>0</v>
      </c>
      <c r="K158" s="1079">
        <v>0</v>
      </c>
      <c r="L158" s="1079">
        <v>0</v>
      </c>
      <c r="M158" s="1079">
        <v>0</v>
      </c>
      <c r="N158" s="1079">
        <v>0.87</v>
      </c>
      <c r="O158" s="1079">
        <v>0</v>
      </c>
      <c r="P158" s="1079">
        <v>0</v>
      </c>
      <c r="Q158" s="1079">
        <v>0</v>
      </c>
      <c r="R158" s="1079">
        <v>0</v>
      </c>
      <c r="S158" s="1079">
        <v>0</v>
      </c>
      <c r="T158" s="1079">
        <v>0</v>
      </c>
      <c r="U158" s="1079">
        <v>0</v>
      </c>
      <c r="V158" s="1079">
        <v>0</v>
      </c>
      <c r="W158" s="1079">
        <v>0</v>
      </c>
      <c r="X158" s="1079">
        <v>0</v>
      </c>
      <c r="Y158" s="1079"/>
      <c r="Z158" s="1079">
        <v>0</v>
      </c>
      <c r="AC158" s="1103" t="s">
        <v>1018</v>
      </c>
      <c r="AD158" s="1079">
        <v>0</v>
      </c>
      <c r="AE158" s="1079">
        <v>0.87</v>
      </c>
      <c r="AF158" s="1079">
        <v>0</v>
      </c>
      <c r="AG158" s="1079">
        <v>0</v>
      </c>
      <c r="AH158" s="1079">
        <v>0</v>
      </c>
    </row>
    <row r="159" spans="1:41">
      <c r="A159" s="1103" t="s">
        <v>231</v>
      </c>
      <c r="B159" s="1079">
        <v>0</v>
      </c>
      <c r="C159" s="1079">
        <v>0.09</v>
      </c>
      <c r="D159" s="1079">
        <v>0.25</v>
      </c>
      <c r="E159" s="1079">
        <v>0</v>
      </c>
      <c r="F159" s="1079">
        <v>0</v>
      </c>
      <c r="G159" s="1079">
        <v>0</v>
      </c>
      <c r="H159" s="1079">
        <v>0</v>
      </c>
      <c r="I159" s="1079">
        <v>0</v>
      </c>
      <c r="J159" s="1079">
        <v>0</v>
      </c>
      <c r="K159" s="1079">
        <v>0</v>
      </c>
      <c r="L159" s="1079">
        <v>0</v>
      </c>
      <c r="M159" s="1079">
        <v>0.52</v>
      </c>
      <c r="N159" s="1079">
        <v>3.99</v>
      </c>
      <c r="O159" s="1079">
        <v>0</v>
      </c>
      <c r="P159" s="1079">
        <v>0</v>
      </c>
      <c r="Q159" s="1079">
        <v>0</v>
      </c>
      <c r="R159" s="1079">
        <v>0</v>
      </c>
      <c r="S159" s="1079">
        <v>0.02</v>
      </c>
      <c r="T159" s="1079">
        <v>0</v>
      </c>
      <c r="U159" s="1079">
        <v>0</v>
      </c>
      <c r="V159" s="1079">
        <v>0</v>
      </c>
      <c r="W159" s="1079">
        <v>0</v>
      </c>
      <c r="X159" s="1079">
        <v>1.1399999999999999</v>
      </c>
      <c r="Y159" s="1079">
        <v>0</v>
      </c>
      <c r="Z159" s="1079"/>
      <c r="AC159" s="1103" t="s">
        <v>231</v>
      </c>
      <c r="AD159" s="1079">
        <v>0.52</v>
      </c>
      <c r="AE159" s="1079">
        <v>3.99</v>
      </c>
      <c r="AF159" s="1079">
        <v>0.02</v>
      </c>
      <c r="AG159" s="1079">
        <v>1.1399999999999999</v>
      </c>
      <c r="AH159" s="1079"/>
    </row>
    <row r="160" spans="1:41">
      <c r="A160" s="1103" t="s">
        <v>244</v>
      </c>
      <c r="B160" s="1079">
        <v>0</v>
      </c>
      <c r="C160" s="1079">
        <v>7.0000000000000007E-2</v>
      </c>
      <c r="D160" s="1079">
        <v>0.01</v>
      </c>
      <c r="E160" s="1079">
        <v>0</v>
      </c>
      <c r="F160" s="1079">
        <v>0</v>
      </c>
      <c r="G160" s="1079">
        <v>0</v>
      </c>
      <c r="H160" s="1079">
        <v>0</v>
      </c>
      <c r="I160" s="1079">
        <v>0</v>
      </c>
      <c r="J160" s="1079">
        <v>0</v>
      </c>
      <c r="K160" s="1079">
        <v>0</v>
      </c>
      <c r="L160" s="1079">
        <v>0</v>
      </c>
      <c r="M160" s="1079">
        <v>0.25</v>
      </c>
      <c r="N160" s="1079">
        <v>0</v>
      </c>
      <c r="O160" s="1079">
        <v>0</v>
      </c>
      <c r="P160" s="1079">
        <v>0</v>
      </c>
      <c r="Q160" s="1079">
        <v>0</v>
      </c>
      <c r="R160" s="1079">
        <v>0</v>
      </c>
      <c r="S160" s="1079">
        <v>1.33</v>
      </c>
      <c r="T160" s="1079">
        <v>0</v>
      </c>
      <c r="U160" s="1079">
        <v>0</v>
      </c>
      <c r="V160" s="1079">
        <v>0.78</v>
      </c>
      <c r="W160" s="1079">
        <v>0</v>
      </c>
      <c r="X160" s="1079">
        <v>1.01</v>
      </c>
      <c r="Y160" s="1079">
        <v>0</v>
      </c>
      <c r="Z160" s="1079">
        <v>0.52</v>
      </c>
      <c r="AC160" s="1103" t="s">
        <v>244</v>
      </c>
      <c r="AD160" s="1079">
        <v>0.25</v>
      </c>
      <c r="AE160" s="1079">
        <v>0</v>
      </c>
      <c r="AF160" s="1079">
        <v>1.33</v>
      </c>
      <c r="AG160" s="1079">
        <v>1.01</v>
      </c>
      <c r="AH160" s="1079">
        <v>0.52</v>
      </c>
    </row>
    <row r="161" spans="1:41">
      <c r="A161" s="1101" t="s">
        <v>253</v>
      </c>
      <c r="B161" s="1102">
        <v>0</v>
      </c>
      <c r="C161" s="1102">
        <v>15.27</v>
      </c>
      <c r="D161" s="1102">
        <v>9.86</v>
      </c>
      <c r="E161" s="1102">
        <v>0</v>
      </c>
      <c r="F161" s="1102">
        <v>16.97</v>
      </c>
      <c r="G161" s="1102">
        <v>15.59</v>
      </c>
      <c r="H161" s="1102">
        <v>0</v>
      </c>
      <c r="I161" s="1102">
        <v>40.4</v>
      </c>
      <c r="J161" s="1102">
        <v>5.75</v>
      </c>
      <c r="K161" s="1102">
        <v>37.25</v>
      </c>
      <c r="L161" s="1102">
        <v>36.56</v>
      </c>
      <c r="M161" s="1102">
        <v>27.9</v>
      </c>
      <c r="N161" s="1102">
        <v>38.590000000000003</v>
      </c>
      <c r="O161" s="1102">
        <v>0</v>
      </c>
      <c r="P161" s="1102">
        <v>0</v>
      </c>
      <c r="Q161" s="1102">
        <v>0</v>
      </c>
      <c r="R161" s="1102">
        <v>74.510000000000005</v>
      </c>
      <c r="S161" s="1102">
        <v>25.26</v>
      </c>
      <c r="T161" s="1102">
        <v>9.09</v>
      </c>
      <c r="U161" s="1102">
        <v>100</v>
      </c>
      <c r="V161" s="1102">
        <v>20.81</v>
      </c>
      <c r="W161" s="1102">
        <v>44.33</v>
      </c>
      <c r="X161" s="1102">
        <v>15.08</v>
      </c>
      <c r="Y161" s="1102">
        <v>94.87</v>
      </c>
      <c r="Z161" s="1102">
        <v>31.41</v>
      </c>
      <c r="AC161" s="1101" t="s">
        <v>253</v>
      </c>
      <c r="AD161" s="1102">
        <v>27.9</v>
      </c>
      <c r="AE161" s="1102">
        <v>38.590000000000003</v>
      </c>
      <c r="AF161" s="1102">
        <v>25.26</v>
      </c>
      <c r="AG161" s="1102">
        <v>15.08</v>
      </c>
      <c r="AH161" s="1102">
        <v>31.41</v>
      </c>
    </row>
    <row r="162" spans="1:41">
      <c r="A162" s="1101" t="s">
        <v>30</v>
      </c>
      <c r="B162" s="1102">
        <v>100</v>
      </c>
      <c r="C162" s="1102">
        <v>100</v>
      </c>
      <c r="D162" s="1102">
        <v>100</v>
      </c>
      <c r="E162" s="1102">
        <v>100</v>
      </c>
      <c r="F162" s="1102">
        <v>100</v>
      </c>
      <c r="G162" s="1102">
        <v>100</v>
      </c>
      <c r="H162" s="1102">
        <v>0</v>
      </c>
      <c r="I162" s="1102">
        <v>100</v>
      </c>
      <c r="J162" s="1102">
        <v>100</v>
      </c>
      <c r="K162" s="1102">
        <v>100</v>
      </c>
      <c r="L162" s="1102">
        <v>100</v>
      </c>
      <c r="M162" s="1102">
        <v>100</v>
      </c>
      <c r="N162" s="1102">
        <v>100</v>
      </c>
      <c r="O162" s="1102">
        <v>100</v>
      </c>
      <c r="P162" s="1102">
        <v>100</v>
      </c>
      <c r="Q162" s="1102">
        <v>100</v>
      </c>
      <c r="R162" s="1102">
        <v>100</v>
      </c>
      <c r="S162" s="1102">
        <v>100</v>
      </c>
      <c r="T162" s="1102">
        <v>100</v>
      </c>
      <c r="U162" s="1102">
        <v>100</v>
      </c>
      <c r="V162" s="1102">
        <v>100</v>
      </c>
      <c r="W162" s="1102">
        <v>100</v>
      </c>
      <c r="X162" s="1102">
        <v>100</v>
      </c>
      <c r="Y162" s="1102">
        <v>100</v>
      </c>
      <c r="Z162" s="1102">
        <v>100</v>
      </c>
      <c r="AC162" s="1101" t="s">
        <v>30</v>
      </c>
      <c r="AD162" s="1102">
        <v>100</v>
      </c>
      <c r="AE162" s="1102">
        <v>100</v>
      </c>
      <c r="AF162" s="1102">
        <v>100</v>
      </c>
      <c r="AG162" s="1102">
        <v>100</v>
      </c>
      <c r="AH162" s="1102">
        <v>100</v>
      </c>
    </row>
    <row r="163" spans="1:41">
      <c r="A163" s="1099" t="s">
        <v>248</v>
      </c>
      <c r="B163" s="1097" t="s">
        <v>233</v>
      </c>
      <c r="C163" s="1097" t="s">
        <v>220</v>
      </c>
      <c r="D163" s="1097" t="s">
        <v>223</v>
      </c>
      <c r="E163" s="1097" t="s">
        <v>249</v>
      </c>
      <c r="F163" s="1097" t="s">
        <v>221</v>
      </c>
      <c r="G163" s="1097" t="s">
        <v>234</v>
      </c>
      <c r="H163" s="1097" t="s">
        <v>242</v>
      </c>
      <c r="I163" s="1097" t="s">
        <v>225</v>
      </c>
      <c r="J163" s="1097" t="s">
        <v>236</v>
      </c>
      <c r="K163" s="1097" t="s">
        <v>227</v>
      </c>
      <c r="L163" s="1097" t="s">
        <v>2</v>
      </c>
      <c r="M163" s="1097" t="s">
        <v>232</v>
      </c>
      <c r="N163" s="1097" t="s">
        <v>230</v>
      </c>
      <c r="O163" s="1097" t="s">
        <v>3</v>
      </c>
      <c r="P163" s="1097" t="s">
        <v>235</v>
      </c>
      <c r="Q163" s="1097" t="s">
        <v>250</v>
      </c>
      <c r="R163" s="1097" t="s">
        <v>228</v>
      </c>
      <c r="S163" s="1097" t="s">
        <v>224</v>
      </c>
      <c r="T163" s="1097" t="s">
        <v>239</v>
      </c>
      <c r="U163" s="1097" t="s">
        <v>1033</v>
      </c>
      <c r="V163" s="1097" t="s">
        <v>219</v>
      </c>
      <c r="W163" s="1097" t="s">
        <v>229</v>
      </c>
      <c r="X163" s="1097" t="s">
        <v>222</v>
      </c>
      <c r="Y163" s="1097" t="s">
        <v>1018</v>
      </c>
      <c r="Z163" s="1097" t="s">
        <v>231</v>
      </c>
      <c r="AC163" s="1099" t="s">
        <v>248</v>
      </c>
      <c r="AD163" s="1097" t="s">
        <v>232</v>
      </c>
      <c r="AE163" s="1097" t="s">
        <v>230</v>
      </c>
      <c r="AF163" s="1097" t="s">
        <v>224</v>
      </c>
      <c r="AG163" s="1097" t="s">
        <v>222</v>
      </c>
      <c r="AH163" s="1097" t="s">
        <v>231</v>
      </c>
      <c r="AJ163" s="1099" t="s">
        <v>248</v>
      </c>
      <c r="AK163" s="1097" t="s">
        <v>232</v>
      </c>
      <c r="AL163" s="1097" t="s">
        <v>230</v>
      </c>
      <c r="AM163" s="1097" t="s">
        <v>224</v>
      </c>
      <c r="AN163" s="1097" t="s">
        <v>222</v>
      </c>
      <c r="AO163" s="1097" t="s">
        <v>231</v>
      </c>
    </row>
    <row r="164" spans="1:41">
      <c r="A164" s="1100" t="s">
        <v>1026</v>
      </c>
      <c r="B164" s="1079"/>
      <c r="C164" s="1079"/>
      <c r="D164" s="1079"/>
      <c r="E164" s="1079"/>
      <c r="F164" s="1079"/>
      <c r="G164" s="1079"/>
      <c r="H164" s="1079"/>
      <c r="I164" s="1079"/>
      <c r="J164" s="1079"/>
      <c r="K164" s="1079"/>
      <c r="L164" s="1079"/>
      <c r="M164" s="1079"/>
      <c r="N164" s="1079"/>
      <c r="O164" s="1079"/>
      <c r="P164" s="1079"/>
      <c r="Q164" s="1079"/>
      <c r="R164" s="1079"/>
      <c r="S164" s="1079"/>
      <c r="T164" s="1079"/>
      <c r="U164" s="1079"/>
      <c r="V164" s="1079"/>
      <c r="W164" s="1079"/>
      <c r="X164" s="1079"/>
      <c r="Y164" s="1079"/>
      <c r="Z164" s="1079"/>
      <c r="AC164" s="1100" t="s">
        <v>1026</v>
      </c>
      <c r="AD164" s="1079"/>
      <c r="AE164" s="1079"/>
      <c r="AF164" s="1079"/>
      <c r="AG164" s="1079"/>
      <c r="AH164" s="1079"/>
      <c r="AJ164" s="1101" t="s">
        <v>251</v>
      </c>
      <c r="AK164" s="1102">
        <v>4.18</v>
      </c>
      <c r="AL164" s="1102">
        <v>0</v>
      </c>
      <c r="AM164" s="1102">
        <v>100</v>
      </c>
      <c r="AN164" s="1102">
        <v>94.1</v>
      </c>
      <c r="AO164" s="1102">
        <v>100</v>
      </c>
    </row>
    <row r="165" spans="1:41">
      <c r="A165" s="1101" t="s">
        <v>251</v>
      </c>
      <c r="B165" s="1102">
        <v>98.15</v>
      </c>
      <c r="C165" s="1102">
        <v>88.35</v>
      </c>
      <c r="D165" s="1102">
        <v>68.599999999999994</v>
      </c>
      <c r="E165" s="1102">
        <v>100</v>
      </c>
      <c r="F165" s="1102">
        <v>74.42</v>
      </c>
      <c r="G165" s="1102">
        <v>90.96</v>
      </c>
      <c r="H165" s="1102">
        <v>100</v>
      </c>
      <c r="I165" s="1102">
        <v>99.04</v>
      </c>
      <c r="J165" s="1102">
        <v>84.76</v>
      </c>
      <c r="K165" s="1102">
        <v>78.06</v>
      </c>
      <c r="L165" s="1102">
        <v>75.94</v>
      </c>
      <c r="M165" s="1102">
        <v>4.18</v>
      </c>
      <c r="N165" s="1102">
        <v>0</v>
      </c>
      <c r="O165" s="1102">
        <v>100</v>
      </c>
      <c r="P165" s="1102">
        <v>100</v>
      </c>
      <c r="Q165" s="1102">
        <v>0</v>
      </c>
      <c r="R165" s="1102">
        <v>7.34</v>
      </c>
      <c r="S165" s="1102">
        <v>100</v>
      </c>
      <c r="T165" s="1102">
        <v>100</v>
      </c>
      <c r="U165" s="1102">
        <v>0</v>
      </c>
      <c r="V165" s="1102">
        <v>79.739999999999995</v>
      </c>
      <c r="W165" s="1102">
        <v>89.4</v>
      </c>
      <c r="X165" s="1102">
        <v>94.1</v>
      </c>
      <c r="Y165" s="1102">
        <v>0</v>
      </c>
      <c r="Z165" s="1102">
        <v>100</v>
      </c>
      <c r="AC165" s="1101" t="s">
        <v>251</v>
      </c>
      <c r="AD165" s="1102">
        <v>4.18</v>
      </c>
      <c r="AE165" s="1102">
        <v>0</v>
      </c>
      <c r="AF165" s="1102">
        <v>100</v>
      </c>
      <c r="AG165" s="1102">
        <v>94.1</v>
      </c>
      <c r="AH165" s="1102">
        <v>100</v>
      </c>
      <c r="AJ165" s="1101" t="s">
        <v>1116</v>
      </c>
      <c r="AK165" s="1102">
        <v>0</v>
      </c>
      <c r="AL165" s="1102">
        <v>0</v>
      </c>
      <c r="AM165" s="1102">
        <v>0</v>
      </c>
      <c r="AN165" s="1102">
        <v>3.49</v>
      </c>
      <c r="AO165" s="1102">
        <v>0</v>
      </c>
    </row>
    <row r="166" spans="1:41">
      <c r="A166" s="1101" t="s">
        <v>1116</v>
      </c>
      <c r="B166" s="1102">
        <v>1.85</v>
      </c>
      <c r="C166" s="1102">
        <v>10.08</v>
      </c>
      <c r="D166" s="1102">
        <v>28.33</v>
      </c>
      <c r="E166" s="1102">
        <v>0</v>
      </c>
      <c r="F166" s="1102">
        <v>16.649999999999999</v>
      </c>
      <c r="G166" s="1102">
        <v>9.0399999999999991</v>
      </c>
      <c r="H166" s="1102">
        <v>0</v>
      </c>
      <c r="I166" s="1102">
        <v>0.96</v>
      </c>
      <c r="J166" s="1102">
        <v>15.24</v>
      </c>
      <c r="K166" s="1102">
        <v>11.73</v>
      </c>
      <c r="L166" s="1102">
        <v>16.760000000000002</v>
      </c>
      <c r="M166" s="1102">
        <v>0</v>
      </c>
      <c r="N166" s="1102">
        <v>0</v>
      </c>
      <c r="O166" s="1102">
        <v>0</v>
      </c>
      <c r="P166" s="1102">
        <v>0</v>
      </c>
      <c r="Q166" s="1102">
        <v>0</v>
      </c>
      <c r="R166" s="1102">
        <v>88.07</v>
      </c>
      <c r="S166" s="1102">
        <v>0</v>
      </c>
      <c r="T166" s="1102">
        <v>0</v>
      </c>
      <c r="U166" s="1102">
        <v>0</v>
      </c>
      <c r="V166" s="1102">
        <v>18.45</v>
      </c>
      <c r="W166" s="1102">
        <v>4.6399999999999997</v>
      </c>
      <c r="X166" s="1102">
        <v>3.49</v>
      </c>
      <c r="Y166" s="1102">
        <v>0</v>
      </c>
      <c r="Z166" s="1102">
        <v>0</v>
      </c>
      <c r="AC166" s="1101" t="s">
        <v>1116</v>
      </c>
      <c r="AD166" s="1102">
        <v>0</v>
      </c>
      <c r="AE166" s="1102">
        <v>0</v>
      </c>
      <c r="AF166" s="1102">
        <v>0</v>
      </c>
      <c r="AG166" s="1102">
        <v>3.49</v>
      </c>
      <c r="AH166" s="1102">
        <v>0</v>
      </c>
      <c r="AJ166" s="1101" t="s">
        <v>253</v>
      </c>
      <c r="AK166" s="1102">
        <v>95.82</v>
      </c>
      <c r="AL166" s="1102">
        <v>0</v>
      </c>
      <c r="AM166" s="1102">
        <v>0</v>
      </c>
      <c r="AN166" s="1102">
        <v>2.41</v>
      </c>
      <c r="AO166" s="1102">
        <v>0</v>
      </c>
    </row>
    <row r="167" spans="1:41">
      <c r="A167" s="1103" t="s">
        <v>233</v>
      </c>
      <c r="B167" s="1079"/>
      <c r="C167" s="1079">
        <v>0.01</v>
      </c>
      <c r="D167" s="1079">
        <v>0</v>
      </c>
      <c r="E167" s="1079">
        <v>0</v>
      </c>
      <c r="F167" s="1079">
        <v>0</v>
      </c>
      <c r="G167" s="1079">
        <v>0</v>
      </c>
      <c r="H167" s="1079">
        <v>0</v>
      </c>
      <c r="I167" s="1079">
        <v>0</v>
      </c>
      <c r="J167" s="1079">
        <v>0</v>
      </c>
      <c r="K167" s="1079">
        <v>0</v>
      </c>
      <c r="L167" s="1079">
        <v>0</v>
      </c>
      <c r="M167" s="1079">
        <v>0</v>
      </c>
      <c r="N167" s="1079">
        <v>0</v>
      </c>
      <c r="O167" s="1079">
        <v>0</v>
      </c>
      <c r="P167" s="1079">
        <v>0</v>
      </c>
      <c r="Q167" s="1079">
        <v>0</v>
      </c>
      <c r="R167" s="1079">
        <v>0</v>
      </c>
      <c r="S167" s="1079">
        <v>0</v>
      </c>
      <c r="T167" s="1079">
        <v>0</v>
      </c>
      <c r="U167" s="1079">
        <v>0</v>
      </c>
      <c r="V167" s="1079">
        <v>0</v>
      </c>
      <c r="W167" s="1079">
        <v>0</v>
      </c>
      <c r="X167" s="1079">
        <v>0</v>
      </c>
      <c r="Y167" s="1079">
        <v>0</v>
      </c>
      <c r="Z167" s="1079">
        <v>0</v>
      </c>
      <c r="AC167" s="1103" t="s">
        <v>233</v>
      </c>
      <c r="AD167" s="1079">
        <v>0</v>
      </c>
      <c r="AE167" s="1079">
        <v>0</v>
      </c>
      <c r="AF167" s="1079">
        <v>0</v>
      </c>
      <c r="AG167" s="1079">
        <v>0</v>
      </c>
      <c r="AH167" s="1079">
        <v>0</v>
      </c>
    </row>
    <row r="168" spans="1:41">
      <c r="A168" s="1103" t="s">
        <v>220</v>
      </c>
      <c r="B168" s="1079">
        <v>1.85</v>
      </c>
      <c r="C168" s="1079"/>
      <c r="D168" s="1079">
        <v>12.35</v>
      </c>
      <c r="E168" s="1079">
        <v>0</v>
      </c>
      <c r="F168" s="1079">
        <v>6.85</v>
      </c>
      <c r="G168" s="1079">
        <v>0</v>
      </c>
      <c r="H168" s="1079">
        <v>0</v>
      </c>
      <c r="I168" s="1079">
        <v>0</v>
      </c>
      <c r="J168" s="1079">
        <v>0</v>
      </c>
      <c r="K168" s="1079">
        <v>0</v>
      </c>
      <c r="L168" s="1079">
        <v>4.8600000000000003</v>
      </c>
      <c r="M168" s="1079">
        <v>0</v>
      </c>
      <c r="N168" s="1079">
        <v>0</v>
      </c>
      <c r="O168" s="1079">
        <v>0</v>
      </c>
      <c r="P168" s="1079">
        <v>0</v>
      </c>
      <c r="Q168" s="1079">
        <v>0</v>
      </c>
      <c r="R168" s="1079">
        <v>0</v>
      </c>
      <c r="S168" s="1079">
        <v>0</v>
      </c>
      <c r="T168" s="1079">
        <v>0</v>
      </c>
      <c r="U168" s="1079">
        <v>0</v>
      </c>
      <c r="V168" s="1079">
        <v>15.95</v>
      </c>
      <c r="W168" s="1079">
        <v>0</v>
      </c>
      <c r="X168" s="1079">
        <v>1.9</v>
      </c>
      <c r="Y168" s="1079">
        <v>0</v>
      </c>
      <c r="Z168" s="1079">
        <v>0</v>
      </c>
      <c r="AC168" s="1103" t="s">
        <v>220</v>
      </c>
      <c r="AD168" s="1079">
        <v>0</v>
      </c>
      <c r="AE168" s="1079">
        <v>0</v>
      </c>
      <c r="AF168" s="1079">
        <v>0</v>
      </c>
      <c r="AG168" s="1079">
        <v>1.9</v>
      </c>
      <c r="AH168" s="1079">
        <v>0</v>
      </c>
      <c r="AJ168" s="1103" t="s">
        <v>220</v>
      </c>
      <c r="AK168" s="1079">
        <v>0</v>
      </c>
      <c r="AL168" s="1079">
        <v>0</v>
      </c>
      <c r="AM168" s="1079">
        <v>0</v>
      </c>
      <c r="AN168" s="1079">
        <v>1.9</v>
      </c>
      <c r="AO168" s="1079">
        <v>0</v>
      </c>
    </row>
    <row r="169" spans="1:41">
      <c r="A169" s="1103" t="s">
        <v>223</v>
      </c>
      <c r="B169" s="1079">
        <v>0</v>
      </c>
      <c r="C169" s="1079">
        <v>0.69</v>
      </c>
      <c r="D169" s="1079"/>
      <c r="E169" s="1079">
        <v>0</v>
      </c>
      <c r="F169" s="1079">
        <v>3.68</v>
      </c>
      <c r="G169" s="1079">
        <v>0</v>
      </c>
      <c r="H169" s="1079">
        <v>0</v>
      </c>
      <c r="I169" s="1079">
        <v>0</v>
      </c>
      <c r="J169" s="1079">
        <v>0</v>
      </c>
      <c r="K169" s="1079">
        <v>0</v>
      </c>
      <c r="L169" s="1079">
        <v>0.05</v>
      </c>
      <c r="M169" s="1079">
        <v>0</v>
      </c>
      <c r="N169" s="1079">
        <v>0</v>
      </c>
      <c r="O169" s="1079">
        <v>0</v>
      </c>
      <c r="P169" s="1079">
        <v>0</v>
      </c>
      <c r="Q169" s="1079">
        <v>0</v>
      </c>
      <c r="R169" s="1079">
        <v>0</v>
      </c>
      <c r="S169" s="1079">
        <v>0</v>
      </c>
      <c r="T169" s="1079">
        <v>0</v>
      </c>
      <c r="U169" s="1079">
        <v>0</v>
      </c>
      <c r="V169" s="1079">
        <v>0.86</v>
      </c>
      <c r="W169" s="1079">
        <v>0</v>
      </c>
      <c r="X169" s="1079">
        <v>0.17</v>
      </c>
      <c r="Y169" s="1079">
        <v>0</v>
      </c>
      <c r="Z169" s="1079">
        <v>0</v>
      </c>
      <c r="AC169" s="1103" t="s">
        <v>223</v>
      </c>
      <c r="AD169" s="1079">
        <v>0</v>
      </c>
      <c r="AE169" s="1079">
        <v>0</v>
      </c>
      <c r="AF169" s="1079">
        <v>0</v>
      </c>
      <c r="AG169" s="1079">
        <v>0.17</v>
      </c>
      <c r="AH169" s="1079">
        <v>0</v>
      </c>
      <c r="AJ169" s="1103" t="s">
        <v>223</v>
      </c>
      <c r="AK169" s="1079">
        <v>0</v>
      </c>
      <c r="AL169" s="1079">
        <v>0</v>
      </c>
      <c r="AM169" s="1079">
        <v>0</v>
      </c>
      <c r="AN169" s="1079">
        <v>0.17</v>
      </c>
      <c r="AO169" s="1079">
        <v>0</v>
      </c>
    </row>
    <row r="170" spans="1:41">
      <c r="A170" s="1103" t="s">
        <v>221</v>
      </c>
      <c r="B170" s="1079">
        <v>0</v>
      </c>
      <c r="C170" s="1079">
        <v>0.55000000000000004</v>
      </c>
      <c r="D170" s="1079">
        <v>3.59</v>
      </c>
      <c r="E170" s="1079">
        <v>0</v>
      </c>
      <c r="F170" s="1079"/>
      <c r="G170" s="1079">
        <v>0</v>
      </c>
      <c r="H170" s="1079">
        <v>0</v>
      </c>
      <c r="I170" s="1079">
        <v>0</v>
      </c>
      <c r="J170" s="1079">
        <v>0</v>
      </c>
      <c r="K170" s="1079">
        <v>0</v>
      </c>
      <c r="L170" s="1079">
        <v>3.39</v>
      </c>
      <c r="M170" s="1079">
        <v>0</v>
      </c>
      <c r="N170" s="1079">
        <v>0</v>
      </c>
      <c r="O170" s="1079">
        <v>0</v>
      </c>
      <c r="P170" s="1079">
        <v>0</v>
      </c>
      <c r="Q170" s="1079">
        <v>0</v>
      </c>
      <c r="R170" s="1079">
        <v>0</v>
      </c>
      <c r="S170" s="1079">
        <v>0</v>
      </c>
      <c r="T170" s="1079">
        <v>0</v>
      </c>
      <c r="U170" s="1079">
        <v>0</v>
      </c>
      <c r="V170" s="1079">
        <v>0.85</v>
      </c>
      <c r="W170" s="1079">
        <v>0</v>
      </c>
      <c r="X170" s="1079">
        <v>0</v>
      </c>
      <c r="Y170" s="1079">
        <v>0</v>
      </c>
      <c r="Z170" s="1079">
        <v>0</v>
      </c>
      <c r="AC170" s="1103" t="s">
        <v>221</v>
      </c>
      <c r="AD170" s="1079">
        <v>0</v>
      </c>
      <c r="AE170" s="1079">
        <v>0</v>
      </c>
      <c r="AF170" s="1079">
        <v>0</v>
      </c>
      <c r="AG170" s="1079">
        <v>0</v>
      </c>
      <c r="AH170" s="1079">
        <v>0</v>
      </c>
      <c r="AJ170" s="1103" t="s">
        <v>219</v>
      </c>
      <c r="AK170" s="1079">
        <v>0</v>
      </c>
      <c r="AL170" s="1079">
        <v>0</v>
      </c>
      <c r="AM170" s="1079">
        <v>0</v>
      </c>
      <c r="AN170" s="1079">
        <v>1.41</v>
      </c>
      <c r="AO170" s="1079">
        <v>0</v>
      </c>
    </row>
    <row r="171" spans="1:41">
      <c r="A171" s="1103" t="s">
        <v>225</v>
      </c>
      <c r="B171" s="1079">
        <v>0</v>
      </c>
      <c r="C171" s="1079">
        <v>0</v>
      </c>
      <c r="D171" s="1079">
        <v>0</v>
      </c>
      <c r="E171" s="1079">
        <v>0</v>
      </c>
      <c r="F171" s="1079">
        <v>0</v>
      </c>
      <c r="G171" s="1079">
        <v>0</v>
      </c>
      <c r="H171" s="1079">
        <v>0</v>
      </c>
      <c r="I171" s="1079"/>
      <c r="J171" s="1079">
        <v>0</v>
      </c>
      <c r="K171" s="1079">
        <v>0</v>
      </c>
      <c r="L171" s="1079">
        <v>0</v>
      </c>
      <c r="M171" s="1079">
        <v>0</v>
      </c>
      <c r="N171" s="1079">
        <v>0</v>
      </c>
      <c r="O171" s="1079">
        <v>0</v>
      </c>
      <c r="P171" s="1079">
        <v>0</v>
      </c>
      <c r="Q171" s="1079">
        <v>0</v>
      </c>
      <c r="R171" s="1079">
        <v>0</v>
      </c>
      <c r="S171" s="1079">
        <v>0</v>
      </c>
      <c r="T171" s="1079">
        <v>0</v>
      </c>
      <c r="U171" s="1079">
        <v>0</v>
      </c>
      <c r="V171" s="1079">
        <v>0.04</v>
      </c>
      <c r="W171" s="1079">
        <v>0</v>
      </c>
      <c r="X171" s="1079">
        <v>0</v>
      </c>
      <c r="Y171" s="1079">
        <v>0</v>
      </c>
      <c r="Z171" s="1079">
        <v>0</v>
      </c>
      <c r="AC171" s="1103" t="s">
        <v>225</v>
      </c>
      <c r="AD171" s="1079">
        <v>0</v>
      </c>
      <c r="AE171" s="1079">
        <v>0</v>
      </c>
      <c r="AF171" s="1079">
        <v>0</v>
      </c>
      <c r="AG171" s="1079">
        <v>0</v>
      </c>
      <c r="AH171" s="1079">
        <v>0</v>
      </c>
    </row>
    <row r="172" spans="1:41">
      <c r="A172" s="1103" t="s">
        <v>236</v>
      </c>
      <c r="B172" s="1079">
        <v>0</v>
      </c>
      <c r="C172" s="1079">
        <v>0</v>
      </c>
      <c r="D172" s="1079">
        <v>0</v>
      </c>
      <c r="E172" s="1079">
        <v>0</v>
      </c>
      <c r="F172" s="1079">
        <v>0</v>
      </c>
      <c r="G172" s="1079">
        <v>0</v>
      </c>
      <c r="H172" s="1079">
        <v>0</v>
      </c>
      <c r="I172" s="1079">
        <v>0</v>
      </c>
      <c r="J172" s="1079"/>
      <c r="K172" s="1079">
        <v>0</v>
      </c>
      <c r="L172" s="1079">
        <v>0</v>
      </c>
      <c r="M172" s="1079">
        <v>0</v>
      </c>
      <c r="N172" s="1079">
        <v>0</v>
      </c>
      <c r="O172" s="1079">
        <v>0</v>
      </c>
      <c r="P172" s="1079">
        <v>0</v>
      </c>
      <c r="Q172" s="1079">
        <v>0</v>
      </c>
      <c r="R172" s="1079">
        <v>0</v>
      </c>
      <c r="S172" s="1079">
        <v>0</v>
      </c>
      <c r="T172" s="1079">
        <v>0</v>
      </c>
      <c r="U172" s="1079">
        <v>0</v>
      </c>
      <c r="V172" s="1079">
        <v>0.06</v>
      </c>
      <c r="W172" s="1079">
        <v>0</v>
      </c>
      <c r="X172" s="1079">
        <v>0</v>
      </c>
      <c r="Y172" s="1079">
        <v>0</v>
      </c>
      <c r="Z172" s="1079">
        <v>0</v>
      </c>
      <c r="AC172" s="1103" t="s">
        <v>236</v>
      </c>
      <c r="AD172" s="1079">
        <v>0</v>
      </c>
      <c r="AE172" s="1079">
        <v>0</v>
      </c>
      <c r="AF172" s="1079">
        <v>0</v>
      </c>
      <c r="AG172" s="1079">
        <v>0</v>
      </c>
      <c r="AH172" s="1079">
        <v>0</v>
      </c>
    </row>
    <row r="173" spans="1:41">
      <c r="A173" s="1103" t="s">
        <v>227</v>
      </c>
      <c r="B173" s="1079">
        <v>0</v>
      </c>
      <c r="C173" s="1079">
        <v>0</v>
      </c>
      <c r="D173" s="1079">
        <v>0</v>
      </c>
      <c r="E173" s="1079">
        <v>0</v>
      </c>
      <c r="F173" s="1079">
        <v>0</v>
      </c>
      <c r="G173" s="1079">
        <v>0</v>
      </c>
      <c r="H173" s="1079">
        <v>0</v>
      </c>
      <c r="I173" s="1079">
        <v>0</v>
      </c>
      <c r="J173" s="1079">
        <v>0</v>
      </c>
      <c r="K173" s="1079"/>
      <c r="L173" s="1079">
        <v>0.26</v>
      </c>
      <c r="M173" s="1079">
        <v>0</v>
      </c>
      <c r="N173" s="1079">
        <v>0</v>
      </c>
      <c r="O173" s="1079">
        <v>0</v>
      </c>
      <c r="P173" s="1079">
        <v>0</v>
      </c>
      <c r="Q173" s="1079">
        <v>0</v>
      </c>
      <c r="R173" s="1079">
        <v>0</v>
      </c>
      <c r="S173" s="1079">
        <v>0</v>
      </c>
      <c r="T173" s="1079">
        <v>0</v>
      </c>
      <c r="U173" s="1079">
        <v>0</v>
      </c>
      <c r="V173" s="1079">
        <v>0.16</v>
      </c>
      <c r="W173" s="1079">
        <v>0</v>
      </c>
      <c r="X173" s="1079">
        <v>0</v>
      </c>
      <c r="Y173" s="1079">
        <v>0</v>
      </c>
      <c r="Z173" s="1079">
        <v>0</v>
      </c>
      <c r="AC173" s="1103" t="s">
        <v>227</v>
      </c>
      <c r="AD173" s="1079">
        <v>0</v>
      </c>
      <c r="AE173" s="1079">
        <v>0</v>
      </c>
      <c r="AF173" s="1079">
        <v>0</v>
      </c>
      <c r="AG173" s="1079">
        <v>0</v>
      </c>
      <c r="AH173" s="1079">
        <v>0</v>
      </c>
    </row>
    <row r="174" spans="1:41">
      <c r="A174" s="1103" t="s">
        <v>2</v>
      </c>
      <c r="B174" s="1079">
        <v>0</v>
      </c>
      <c r="C174" s="1079">
        <v>0.41</v>
      </c>
      <c r="D174" s="1079">
        <v>0.1</v>
      </c>
      <c r="E174" s="1079">
        <v>0</v>
      </c>
      <c r="F174" s="1079">
        <v>2.54</v>
      </c>
      <c r="G174" s="1079">
        <v>0</v>
      </c>
      <c r="H174" s="1079">
        <v>0</v>
      </c>
      <c r="I174" s="1079">
        <v>0</v>
      </c>
      <c r="J174" s="1079">
        <v>0</v>
      </c>
      <c r="K174" s="1079">
        <v>4.08</v>
      </c>
      <c r="L174" s="1079"/>
      <c r="M174" s="1079">
        <v>0</v>
      </c>
      <c r="N174" s="1079">
        <v>0</v>
      </c>
      <c r="O174" s="1079">
        <v>0</v>
      </c>
      <c r="P174" s="1079">
        <v>0</v>
      </c>
      <c r="Q174" s="1079">
        <v>0</v>
      </c>
      <c r="R174" s="1079">
        <v>88.07</v>
      </c>
      <c r="S174" s="1079">
        <v>0</v>
      </c>
      <c r="T174" s="1079">
        <v>0</v>
      </c>
      <c r="U174" s="1079">
        <v>0</v>
      </c>
      <c r="V174" s="1079">
        <v>0.36</v>
      </c>
      <c r="W174" s="1079">
        <v>0</v>
      </c>
      <c r="X174" s="1079">
        <v>0</v>
      </c>
      <c r="Y174" s="1079">
        <v>0</v>
      </c>
      <c r="Z174" s="1079">
        <v>0</v>
      </c>
      <c r="AC174" s="1103" t="s">
        <v>2</v>
      </c>
      <c r="AD174" s="1079">
        <v>0</v>
      </c>
      <c r="AE174" s="1079">
        <v>0</v>
      </c>
      <c r="AF174" s="1079">
        <v>0</v>
      </c>
      <c r="AG174" s="1079">
        <v>0</v>
      </c>
      <c r="AH174" s="1079">
        <v>0</v>
      </c>
    </row>
    <row r="175" spans="1:41">
      <c r="A175" s="1103" t="s">
        <v>228</v>
      </c>
      <c r="B175" s="1079">
        <v>0</v>
      </c>
      <c r="C175" s="1079">
        <v>0</v>
      </c>
      <c r="D175" s="1079">
        <v>0</v>
      </c>
      <c r="E175" s="1079">
        <v>0</v>
      </c>
      <c r="F175" s="1079">
        <v>0</v>
      </c>
      <c r="G175" s="1079">
        <v>0</v>
      </c>
      <c r="H175" s="1079">
        <v>0</v>
      </c>
      <c r="I175" s="1079">
        <v>0</v>
      </c>
      <c r="J175" s="1079">
        <v>0</v>
      </c>
      <c r="K175" s="1079">
        <v>0</v>
      </c>
      <c r="L175" s="1079">
        <v>5.49</v>
      </c>
      <c r="M175" s="1079">
        <v>0</v>
      </c>
      <c r="N175" s="1079">
        <v>0</v>
      </c>
      <c r="O175" s="1079">
        <v>0</v>
      </c>
      <c r="P175" s="1079">
        <v>0</v>
      </c>
      <c r="Q175" s="1079">
        <v>0</v>
      </c>
      <c r="R175" s="1079"/>
      <c r="S175" s="1079">
        <v>0</v>
      </c>
      <c r="T175" s="1079">
        <v>0</v>
      </c>
      <c r="U175" s="1079">
        <v>0</v>
      </c>
      <c r="V175" s="1079">
        <v>0</v>
      </c>
      <c r="W175" s="1079">
        <v>0</v>
      </c>
      <c r="X175" s="1079">
        <v>0</v>
      </c>
      <c r="Y175" s="1079">
        <v>0</v>
      </c>
      <c r="Z175" s="1079">
        <v>0</v>
      </c>
      <c r="AC175" s="1103" t="s">
        <v>228</v>
      </c>
      <c r="AD175" s="1079">
        <v>0</v>
      </c>
      <c r="AE175" s="1079">
        <v>0</v>
      </c>
      <c r="AF175" s="1079">
        <v>0</v>
      </c>
      <c r="AG175" s="1079">
        <v>0</v>
      </c>
      <c r="AH175" s="1079">
        <v>0</v>
      </c>
    </row>
    <row r="176" spans="1:41">
      <c r="A176" s="1103" t="s">
        <v>219</v>
      </c>
      <c r="B176" s="1079">
        <v>0</v>
      </c>
      <c r="C176" s="1079">
        <v>7.99</v>
      </c>
      <c r="D176" s="1079">
        <v>12.02</v>
      </c>
      <c r="E176" s="1079">
        <v>0</v>
      </c>
      <c r="F176" s="1079">
        <v>3.58</v>
      </c>
      <c r="G176" s="1079">
        <v>9.0399999999999991</v>
      </c>
      <c r="H176" s="1079">
        <v>0</v>
      </c>
      <c r="I176" s="1079">
        <v>0.96</v>
      </c>
      <c r="J176" s="1079">
        <v>15.24</v>
      </c>
      <c r="K176" s="1079">
        <v>7.65</v>
      </c>
      <c r="L176" s="1079">
        <v>2.7</v>
      </c>
      <c r="M176" s="1079">
        <v>0</v>
      </c>
      <c r="N176" s="1079">
        <v>0</v>
      </c>
      <c r="O176" s="1079">
        <v>0</v>
      </c>
      <c r="P176" s="1079">
        <v>0</v>
      </c>
      <c r="Q176" s="1079">
        <v>0</v>
      </c>
      <c r="R176" s="1079">
        <v>0</v>
      </c>
      <c r="S176" s="1079">
        <v>0</v>
      </c>
      <c r="T176" s="1079">
        <v>0</v>
      </c>
      <c r="U176" s="1079">
        <v>0</v>
      </c>
      <c r="V176" s="1079"/>
      <c r="W176" s="1079">
        <v>4.6399999999999997</v>
      </c>
      <c r="X176" s="1079">
        <v>1.41</v>
      </c>
      <c r="Y176" s="1079">
        <v>0</v>
      </c>
      <c r="Z176" s="1079">
        <v>0</v>
      </c>
      <c r="AC176" s="1103" t="s">
        <v>219</v>
      </c>
      <c r="AD176" s="1079">
        <v>0</v>
      </c>
      <c r="AE176" s="1079">
        <v>0</v>
      </c>
      <c r="AF176" s="1079">
        <v>0</v>
      </c>
      <c r="AG176" s="1079">
        <v>1.41</v>
      </c>
      <c r="AH176" s="1079">
        <v>0</v>
      </c>
    </row>
    <row r="177" spans="1:34">
      <c r="A177" s="1103" t="s">
        <v>222</v>
      </c>
      <c r="B177" s="1079">
        <v>0</v>
      </c>
      <c r="C177" s="1079">
        <v>0.28999999999999998</v>
      </c>
      <c r="D177" s="1079">
        <v>7.0000000000000007E-2</v>
      </c>
      <c r="E177" s="1079">
        <v>0</v>
      </c>
      <c r="F177" s="1079">
        <v>0</v>
      </c>
      <c r="G177" s="1079">
        <v>0</v>
      </c>
      <c r="H177" s="1079">
        <v>0</v>
      </c>
      <c r="I177" s="1079">
        <v>0</v>
      </c>
      <c r="J177" s="1079">
        <v>0</v>
      </c>
      <c r="K177" s="1079">
        <v>0</v>
      </c>
      <c r="L177" s="1079">
        <v>0</v>
      </c>
      <c r="M177" s="1079">
        <v>0</v>
      </c>
      <c r="N177" s="1079">
        <v>0</v>
      </c>
      <c r="O177" s="1079">
        <v>0</v>
      </c>
      <c r="P177" s="1079">
        <v>0</v>
      </c>
      <c r="Q177" s="1079">
        <v>0</v>
      </c>
      <c r="R177" s="1079">
        <v>0</v>
      </c>
      <c r="S177" s="1079">
        <v>0</v>
      </c>
      <c r="T177" s="1079">
        <v>0</v>
      </c>
      <c r="U177" s="1079">
        <v>0</v>
      </c>
      <c r="V177" s="1079">
        <v>0.11</v>
      </c>
      <c r="W177" s="1079">
        <v>0</v>
      </c>
      <c r="X177" s="1079"/>
      <c r="Y177" s="1079">
        <v>0</v>
      </c>
      <c r="Z177" s="1079">
        <v>0</v>
      </c>
      <c r="AC177" s="1103" t="s">
        <v>222</v>
      </c>
      <c r="AD177" s="1079">
        <v>0</v>
      </c>
      <c r="AE177" s="1079">
        <v>0</v>
      </c>
      <c r="AF177" s="1079">
        <v>0</v>
      </c>
      <c r="AG177" s="1079"/>
      <c r="AH177" s="1079">
        <v>0</v>
      </c>
    </row>
    <row r="178" spans="1:34">
      <c r="A178" s="1103" t="s">
        <v>244</v>
      </c>
      <c r="B178" s="1079">
        <v>0</v>
      </c>
      <c r="C178" s="1079">
        <v>0.14000000000000001</v>
      </c>
      <c r="D178" s="1079">
        <v>0.2</v>
      </c>
      <c r="E178" s="1079">
        <v>0</v>
      </c>
      <c r="F178" s="1079">
        <v>0</v>
      </c>
      <c r="G178" s="1079">
        <v>0</v>
      </c>
      <c r="H178" s="1079">
        <v>0</v>
      </c>
      <c r="I178" s="1079">
        <v>0</v>
      </c>
      <c r="J178" s="1079">
        <v>0</v>
      </c>
      <c r="K178" s="1079">
        <v>0</v>
      </c>
      <c r="L178" s="1079">
        <v>0.01</v>
      </c>
      <c r="M178" s="1079">
        <v>0</v>
      </c>
      <c r="N178" s="1079">
        <v>0</v>
      </c>
      <c r="O178" s="1079">
        <v>0</v>
      </c>
      <c r="P178" s="1079">
        <v>0</v>
      </c>
      <c r="Q178" s="1079">
        <v>0</v>
      </c>
      <c r="R178" s="1079">
        <v>0</v>
      </c>
      <c r="S178" s="1079">
        <v>0</v>
      </c>
      <c r="T178" s="1079">
        <v>0</v>
      </c>
      <c r="U178" s="1079">
        <v>0</v>
      </c>
      <c r="V178" s="1079">
        <v>0.06</v>
      </c>
      <c r="W178" s="1079">
        <v>0</v>
      </c>
      <c r="X178" s="1079">
        <v>0.01</v>
      </c>
      <c r="Y178" s="1079">
        <v>0</v>
      </c>
      <c r="Z178" s="1079">
        <v>0</v>
      </c>
      <c r="AC178" s="1103" t="s">
        <v>244</v>
      </c>
      <c r="AD178" s="1079">
        <v>0</v>
      </c>
      <c r="AE178" s="1079">
        <v>0</v>
      </c>
      <c r="AF178" s="1079">
        <v>0</v>
      </c>
      <c r="AG178" s="1079">
        <v>0.01</v>
      </c>
      <c r="AH178" s="1079">
        <v>0</v>
      </c>
    </row>
    <row r="179" spans="1:34">
      <c r="A179" s="1101" t="s">
        <v>253</v>
      </c>
      <c r="B179" s="1102">
        <v>0</v>
      </c>
      <c r="C179" s="1102">
        <v>1.58</v>
      </c>
      <c r="D179" s="1102">
        <v>3.07</v>
      </c>
      <c r="E179" s="1102">
        <v>0</v>
      </c>
      <c r="F179" s="1102">
        <v>8.93</v>
      </c>
      <c r="G179" s="1102">
        <v>0</v>
      </c>
      <c r="H179" s="1102">
        <v>0</v>
      </c>
      <c r="I179" s="1102">
        <v>0</v>
      </c>
      <c r="J179" s="1102">
        <v>0</v>
      </c>
      <c r="K179" s="1102">
        <v>10.199999999999999</v>
      </c>
      <c r="L179" s="1102">
        <v>7.3</v>
      </c>
      <c r="M179" s="1102">
        <v>95.82</v>
      </c>
      <c r="N179" s="1102">
        <v>0</v>
      </c>
      <c r="O179" s="1102">
        <v>0</v>
      </c>
      <c r="P179" s="1102">
        <v>0</v>
      </c>
      <c r="Q179" s="1102">
        <v>0</v>
      </c>
      <c r="R179" s="1102">
        <v>4.59</v>
      </c>
      <c r="S179" s="1102">
        <v>0</v>
      </c>
      <c r="T179" s="1102">
        <v>0</v>
      </c>
      <c r="U179" s="1102">
        <v>0</v>
      </c>
      <c r="V179" s="1102">
        <v>1.81</v>
      </c>
      <c r="W179" s="1102">
        <v>5.96</v>
      </c>
      <c r="X179" s="1102">
        <v>2.41</v>
      </c>
      <c r="Y179" s="1102">
        <v>0</v>
      </c>
      <c r="Z179" s="1102">
        <v>0</v>
      </c>
      <c r="AC179" s="1101" t="s">
        <v>253</v>
      </c>
      <c r="AD179" s="1102">
        <v>95.82</v>
      </c>
      <c r="AE179" s="1102">
        <v>0</v>
      </c>
      <c r="AF179" s="1102">
        <v>0</v>
      </c>
      <c r="AG179" s="1102">
        <v>2.41</v>
      </c>
      <c r="AH179" s="1102">
        <v>0</v>
      </c>
    </row>
    <row r="180" spans="1:34">
      <c r="A180" s="1101" t="s">
        <v>30</v>
      </c>
      <c r="B180" s="1102">
        <v>100</v>
      </c>
      <c r="C180" s="1102">
        <v>100</v>
      </c>
      <c r="D180" s="1102">
        <v>100</v>
      </c>
      <c r="E180" s="1102">
        <v>100</v>
      </c>
      <c r="F180" s="1102">
        <v>100</v>
      </c>
      <c r="G180" s="1102">
        <v>100</v>
      </c>
      <c r="H180" s="1102">
        <v>100</v>
      </c>
      <c r="I180" s="1102">
        <v>100</v>
      </c>
      <c r="J180" s="1102">
        <v>100</v>
      </c>
      <c r="K180" s="1102">
        <v>100</v>
      </c>
      <c r="L180" s="1102">
        <v>100</v>
      </c>
      <c r="M180" s="1102">
        <v>100</v>
      </c>
      <c r="N180" s="1102">
        <v>0</v>
      </c>
      <c r="O180" s="1102">
        <v>100</v>
      </c>
      <c r="P180" s="1102">
        <v>100</v>
      </c>
      <c r="Q180" s="1102">
        <v>0</v>
      </c>
      <c r="R180" s="1102">
        <v>100</v>
      </c>
      <c r="S180" s="1102">
        <v>100</v>
      </c>
      <c r="T180" s="1102">
        <v>100</v>
      </c>
      <c r="U180" s="1102">
        <v>0</v>
      </c>
      <c r="V180" s="1102">
        <v>100</v>
      </c>
      <c r="W180" s="1102">
        <v>100</v>
      </c>
      <c r="X180" s="1102">
        <v>100</v>
      </c>
      <c r="Y180" s="1102">
        <v>0</v>
      </c>
      <c r="Z180" s="1102">
        <v>100</v>
      </c>
      <c r="AC180" s="1101" t="s">
        <v>30</v>
      </c>
      <c r="AD180" s="1102">
        <v>100</v>
      </c>
      <c r="AE180" s="1102">
        <v>0</v>
      </c>
      <c r="AF180" s="1102">
        <v>100</v>
      </c>
      <c r="AG180" s="1102">
        <v>100</v>
      </c>
      <c r="AH180" s="1102">
        <v>100</v>
      </c>
    </row>
  </sheetData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290CF-7EBF-472B-8D8A-143F60B890A1}">
  <dimension ref="B1:H38"/>
  <sheetViews>
    <sheetView workbookViewId="0"/>
  </sheetViews>
  <sheetFormatPr baseColWidth="10" defaultRowHeight="14.5"/>
  <cols>
    <col min="2" max="2" width="13" customWidth="1"/>
  </cols>
  <sheetData>
    <row r="1" spans="2:8">
      <c r="C1" t="s">
        <v>1124</v>
      </c>
      <c r="D1" t="s">
        <v>1125</v>
      </c>
      <c r="E1" t="s">
        <v>1126</v>
      </c>
      <c r="F1" t="s">
        <v>1127</v>
      </c>
      <c r="G1" t="s">
        <v>1128</v>
      </c>
      <c r="H1" t="s">
        <v>1129</v>
      </c>
    </row>
    <row r="2" spans="2:8">
      <c r="C2" t="s">
        <v>1132</v>
      </c>
      <c r="D2" t="s">
        <v>1132</v>
      </c>
      <c r="E2" t="s">
        <v>1132</v>
      </c>
      <c r="F2" s="1071" t="s">
        <v>1133</v>
      </c>
      <c r="G2" s="1071" t="s">
        <v>1133</v>
      </c>
      <c r="H2" s="1071" t="s">
        <v>1133</v>
      </c>
    </row>
    <row r="4" spans="2:8">
      <c r="B4" t="s">
        <v>1015</v>
      </c>
      <c r="C4" s="1074" t="s">
        <v>1130</v>
      </c>
      <c r="D4" s="1074" t="s">
        <v>1131</v>
      </c>
      <c r="E4" s="1074" t="s">
        <v>994</v>
      </c>
      <c r="F4" s="1074" t="s">
        <v>1130</v>
      </c>
      <c r="G4" s="1074" t="s">
        <v>1131</v>
      </c>
      <c r="H4" s="1074" t="s">
        <v>994</v>
      </c>
    </row>
    <row r="5" spans="2:8">
      <c r="B5" s="1117" t="s">
        <v>219</v>
      </c>
      <c r="C5">
        <v>53.521999999999998</v>
      </c>
      <c r="D5">
        <v>58.195</v>
      </c>
      <c r="E5">
        <v>30.236999999999998</v>
      </c>
      <c r="F5">
        <v>53.857999999999997</v>
      </c>
      <c r="G5">
        <v>54.771000000000001</v>
      </c>
      <c r="H5">
        <v>27.451000000000001</v>
      </c>
    </row>
    <row r="6" spans="2:8">
      <c r="B6" s="1117" t="s">
        <v>220</v>
      </c>
      <c r="C6">
        <v>32.192</v>
      </c>
      <c r="D6">
        <v>31.292000000000002</v>
      </c>
      <c r="E6">
        <v>36.170999999999999</v>
      </c>
      <c r="F6">
        <v>31.190999999999999</v>
      </c>
      <c r="G6">
        <v>32.856999999999999</v>
      </c>
      <c r="H6">
        <v>36.863999999999997</v>
      </c>
    </row>
    <row r="7" spans="2:8">
      <c r="B7" s="1117" t="s">
        <v>222</v>
      </c>
      <c r="C7">
        <v>3.548</v>
      </c>
      <c r="D7">
        <v>0.502</v>
      </c>
      <c r="E7">
        <v>16.858000000000001</v>
      </c>
      <c r="F7">
        <v>3.8039999999999998</v>
      </c>
      <c r="G7">
        <v>3.149</v>
      </c>
      <c r="H7">
        <v>12.324</v>
      </c>
    </row>
    <row r="8" spans="2:8">
      <c r="B8" s="1117" t="s">
        <v>221</v>
      </c>
      <c r="C8">
        <v>5.0389999999999997</v>
      </c>
      <c r="D8">
        <v>5.22</v>
      </c>
      <c r="E8">
        <v>3.5019999999999998</v>
      </c>
      <c r="F8">
        <v>4.9660000000000002</v>
      </c>
      <c r="G8">
        <v>4.2649999999999997</v>
      </c>
      <c r="H8">
        <v>2.5790000000000002</v>
      </c>
    </row>
    <row r="9" spans="2:8">
      <c r="B9" s="1117" t="s">
        <v>224</v>
      </c>
      <c r="C9">
        <v>0.79300000000000004</v>
      </c>
      <c r="D9">
        <v>0.17299999999999999</v>
      </c>
      <c r="E9">
        <v>6.6680000000000001</v>
      </c>
      <c r="F9">
        <v>0.91300000000000003</v>
      </c>
      <c r="G9">
        <v>0.378</v>
      </c>
      <c r="H9">
        <v>12.355</v>
      </c>
    </row>
    <row r="10" spans="2:8">
      <c r="B10" s="1117" t="s">
        <v>2</v>
      </c>
      <c r="C10">
        <v>2.0110000000000001</v>
      </c>
      <c r="D10">
        <v>2.2410000000000001</v>
      </c>
      <c r="E10">
        <v>1.47</v>
      </c>
      <c r="F10">
        <v>2.4129999999999998</v>
      </c>
      <c r="G10">
        <v>2.1640000000000001</v>
      </c>
      <c r="H10">
        <v>1.3460000000000001</v>
      </c>
    </row>
    <row r="11" spans="2:8">
      <c r="B11" s="1117" t="s">
        <v>223</v>
      </c>
      <c r="C11">
        <v>1.2290000000000001</v>
      </c>
      <c r="D11">
        <v>1.0009999999999999</v>
      </c>
      <c r="E11">
        <v>1.6140000000000001</v>
      </c>
      <c r="F11">
        <v>1.391</v>
      </c>
      <c r="G11">
        <v>1.2430000000000001</v>
      </c>
      <c r="H11">
        <v>1.538</v>
      </c>
    </row>
    <row r="12" spans="2:8">
      <c r="B12" s="1117" t="s">
        <v>230</v>
      </c>
      <c r="C12">
        <v>0.34499999999999997</v>
      </c>
      <c r="D12">
        <v>4.9000000000000002E-2</v>
      </c>
      <c r="E12">
        <v>1.5880000000000001</v>
      </c>
      <c r="F12">
        <v>0.158</v>
      </c>
      <c r="G12">
        <v>2.4E-2</v>
      </c>
      <c r="H12">
        <v>2.7</v>
      </c>
    </row>
    <row r="13" spans="2:8">
      <c r="B13" s="1117" t="s">
        <v>225</v>
      </c>
      <c r="C13">
        <v>0.377</v>
      </c>
      <c r="D13">
        <v>0.39700000000000002</v>
      </c>
      <c r="E13">
        <v>0.14499999999999999</v>
      </c>
      <c r="F13">
        <v>0.183</v>
      </c>
      <c r="G13">
        <v>0.23899999999999999</v>
      </c>
      <c r="H13">
        <v>0.106</v>
      </c>
    </row>
    <row r="14" spans="2:8">
      <c r="B14" s="1117" t="s">
        <v>232</v>
      </c>
      <c r="C14">
        <v>4.5999999999999999E-2</v>
      </c>
      <c r="D14">
        <v>2.7E-2</v>
      </c>
      <c r="E14">
        <v>0.32400000000000001</v>
      </c>
      <c r="F14">
        <v>0.11</v>
      </c>
      <c r="G14">
        <v>5.8000000000000003E-2</v>
      </c>
      <c r="H14">
        <v>0.82699999999999996</v>
      </c>
    </row>
    <row r="15" spans="2:8">
      <c r="B15" s="1117" t="s">
        <v>231</v>
      </c>
      <c r="C15">
        <v>2.8000000000000001E-2</v>
      </c>
      <c r="D15">
        <v>8.0000000000000002E-3</v>
      </c>
      <c r="E15">
        <v>0.28000000000000003</v>
      </c>
      <c r="F15">
        <v>8.4000000000000005E-2</v>
      </c>
      <c r="G15">
        <v>1.2999999999999999E-2</v>
      </c>
      <c r="H15">
        <v>0.73299999999999998</v>
      </c>
    </row>
    <row r="16" spans="2:8">
      <c r="B16" s="1117" t="s">
        <v>227</v>
      </c>
      <c r="C16">
        <v>0.16500000000000001</v>
      </c>
      <c r="D16">
        <v>0.26600000000000001</v>
      </c>
      <c r="E16">
        <v>0.11700000000000001</v>
      </c>
      <c r="F16">
        <v>0.25</v>
      </c>
      <c r="G16">
        <v>0.19800000000000001</v>
      </c>
      <c r="H16">
        <v>0.1</v>
      </c>
    </row>
    <row r="17" spans="2:8">
      <c r="B17" s="1117" t="s">
        <v>229</v>
      </c>
      <c r="C17">
        <v>0.17199999999999999</v>
      </c>
      <c r="D17">
        <v>0.15</v>
      </c>
      <c r="E17">
        <v>0.19600000000000001</v>
      </c>
      <c r="F17">
        <v>0.114</v>
      </c>
      <c r="G17">
        <v>0.182</v>
      </c>
      <c r="H17">
        <v>0.27</v>
      </c>
    </row>
    <row r="18" spans="2:8">
      <c r="B18" s="1117" t="s">
        <v>226</v>
      </c>
      <c r="C18">
        <v>0.217</v>
      </c>
      <c r="D18">
        <v>6.4000000000000001E-2</v>
      </c>
      <c r="E18">
        <v>0.155</v>
      </c>
      <c r="F18">
        <v>0.16400000000000001</v>
      </c>
      <c r="G18">
        <v>0.187</v>
      </c>
      <c r="H18">
        <v>0.21199999999999999</v>
      </c>
    </row>
    <row r="19" spans="2:8">
      <c r="B19" s="1117" t="s">
        <v>228</v>
      </c>
      <c r="C19">
        <v>8.7999999999999995E-2</v>
      </c>
      <c r="D19">
        <v>0.113</v>
      </c>
      <c r="E19">
        <v>0.22700000000000001</v>
      </c>
      <c r="F19">
        <v>5.5E-2</v>
      </c>
      <c r="G19">
        <v>6.8000000000000005E-2</v>
      </c>
      <c r="H19">
        <v>5.8999999999999997E-2</v>
      </c>
    </row>
    <row r="20" spans="2:8">
      <c r="B20" s="1117" t="s">
        <v>235</v>
      </c>
      <c r="C20">
        <v>7.6999999999999999E-2</v>
      </c>
      <c r="D20">
        <v>8.6999999999999994E-2</v>
      </c>
      <c r="E20">
        <v>9.0999999999999998E-2</v>
      </c>
      <c r="F20">
        <v>3.7999999999999999E-2</v>
      </c>
      <c r="G20">
        <v>6.4000000000000001E-2</v>
      </c>
      <c r="H20">
        <v>2.5000000000000001E-2</v>
      </c>
    </row>
    <row r="21" spans="2:8">
      <c r="B21" s="1117" t="s">
        <v>233</v>
      </c>
      <c r="C21">
        <v>3.4000000000000002E-2</v>
      </c>
      <c r="D21">
        <v>8.5000000000000006E-2</v>
      </c>
      <c r="E21">
        <v>1.7000000000000001E-2</v>
      </c>
      <c r="F21">
        <v>0.13500000000000001</v>
      </c>
      <c r="G21">
        <v>1.4999999999999999E-2</v>
      </c>
      <c r="H21">
        <v>7.5999999999999998E-2</v>
      </c>
    </row>
    <row r="22" spans="2:8">
      <c r="B22" s="1117" t="s">
        <v>238</v>
      </c>
      <c r="C22">
        <v>8.9999999999999993E-3</v>
      </c>
      <c r="D22">
        <v>1E-3</v>
      </c>
      <c r="E22">
        <v>8.2000000000000003E-2</v>
      </c>
      <c r="F22">
        <v>1.0999999999999999E-2</v>
      </c>
      <c r="G22">
        <v>2E-3</v>
      </c>
      <c r="H22">
        <v>0.19600000000000001</v>
      </c>
    </row>
    <row r="23" spans="2:8">
      <c r="B23" s="1117" t="s">
        <v>3</v>
      </c>
      <c r="C23">
        <v>3.0000000000000001E-3</v>
      </c>
      <c r="D23">
        <v>0.03</v>
      </c>
      <c r="E23">
        <v>0.122</v>
      </c>
      <c r="F23">
        <v>1.7000000000000001E-2</v>
      </c>
      <c r="G23">
        <v>2.9000000000000001E-2</v>
      </c>
      <c r="H23">
        <v>6.9000000000000006E-2</v>
      </c>
    </row>
    <row r="24" spans="2:8">
      <c r="B24" s="1117" t="s">
        <v>237</v>
      </c>
      <c r="C24">
        <v>1.4E-2</v>
      </c>
      <c r="D24">
        <v>1.0999999999999999E-2</v>
      </c>
      <c r="E24">
        <v>7.3999999999999996E-2</v>
      </c>
      <c r="F24">
        <v>1.2E-2</v>
      </c>
      <c r="G24">
        <v>1.9E-2</v>
      </c>
      <c r="H24">
        <v>3.2000000000000001E-2</v>
      </c>
    </row>
    <row r="25" spans="2:8">
      <c r="B25" s="1117" t="s">
        <v>234</v>
      </c>
      <c r="C25">
        <v>1.9E-2</v>
      </c>
      <c r="D25">
        <v>2.1000000000000001E-2</v>
      </c>
      <c r="E25">
        <v>3.2000000000000001E-2</v>
      </c>
      <c r="F25">
        <v>1.7999999999999999E-2</v>
      </c>
      <c r="G25">
        <v>0.03</v>
      </c>
      <c r="H25">
        <v>8.9999999999999993E-3</v>
      </c>
    </row>
    <row r="26" spans="2:8">
      <c r="B26" s="1117" t="s">
        <v>236</v>
      </c>
      <c r="C26">
        <v>1.4999999999999999E-2</v>
      </c>
      <c r="D26">
        <v>1.9E-2</v>
      </c>
      <c r="E26">
        <v>2E-3</v>
      </c>
      <c r="F26">
        <v>1.0999999999999999E-2</v>
      </c>
      <c r="G26">
        <v>1.9E-2</v>
      </c>
      <c r="H26">
        <v>1.0999999999999999E-2</v>
      </c>
    </row>
    <row r="27" spans="2:8">
      <c r="B27" s="1117" t="s">
        <v>250</v>
      </c>
      <c r="C27">
        <v>0</v>
      </c>
      <c r="D27">
        <v>0</v>
      </c>
      <c r="E27">
        <v>0</v>
      </c>
      <c r="F27">
        <v>0</v>
      </c>
      <c r="G27">
        <v>0</v>
      </c>
      <c r="H27">
        <v>6.6000000000000003E-2</v>
      </c>
    </row>
    <row r="28" spans="2:8">
      <c r="B28" s="1117" t="s">
        <v>249</v>
      </c>
      <c r="C28">
        <v>2E-3</v>
      </c>
      <c r="D28">
        <v>2E-3</v>
      </c>
      <c r="E28">
        <v>1E-3</v>
      </c>
      <c r="F28">
        <v>4.2000000000000003E-2</v>
      </c>
      <c r="G28">
        <v>3.0000000000000001E-3</v>
      </c>
      <c r="H28">
        <v>8.9999999999999993E-3</v>
      </c>
    </row>
    <row r="29" spans="2:8">
      <c r="B29" s="1117" t="s">
        <v>239</v>
      </c>
      <c r="C29">
        <v>1.0999999999999999E-2</v>
      </c>
      <c r="D29">
        <v>5.0000000000000001E-3</v>
      </c>
      <c r="E29">
        <v>2.3E-2</v>
      </c>
      <c r="F29">
        <v>8.9999999999999993E-3</v>
      </c>
      <c r="G29">
        <v>6.0000000000000001E-3</v>
      </c>
      <c r="H29">
        <v>2E-3</v>
      </c>
    </row>
    <row r="30" spans="2:8">
      <c r="B30" s="1117" t="s">
        <v>240</v>
      </c>
      <c r="C30">
        <v>1.0999999999999999E-2</v>
      </c>
      <c r="D30">
        <v>3.0000000000000001E-3</v>
      </c>
      <c r="E30">
        <v>1E-3</v>
      </c>
      <c r="F30">
        <v>4.0000000000000001E-3</v>
      </c>
      <c r="G30">
        <v>8.9999999999999993E-3</v>
      </c>
      <c r="H30">
        <v>2.5000000000000001E-2</v>
      </c>
    </row>
    <row r="31" spans="2:8">
      <c r="B31" s="1117" t="s">
        <v>1033</v>
      </c>
      <c r="C31">
        <v>8.9999999999999993E-3</v>
      </c>
      <c r="D31">
        <v>7.0000000000000001E-3</v>
      </c>
      <c r="E31">
        <v>0</v>
      </c>
      <c r="F31">
        <v>2.8000000000000001E-2</v>
      </c>
      <c r="G31">
        <v>0</v>
      </c>
      <c r="H31">
        <v>0</v>
      </c>
    </row>
    <row r="32" spans="2:8">
      <c r="B32" s="1117" t="s">
        <v>241</v>
      </c>
      <c r="C32">
        <v>0.01</v>
      </c>
      <c r="D32">
        <v>1.7999999999999999E-2</v>
      </c>
      <c r="E32">
        <v>0</v>
      </c>
      <c r="F32">
        <v>5.0000000000000001E-3</v>
      </c>
      <c r="G32">
        <v>0</v>
      </c>
      <c r="H32">
        <v>0</v>
      </c>
    </row>
    <row r="33" spans="2:8">
      <c r="B33" s="1117" t="s">
        <v>1016</v>
      </c>
      <c r="C33">
        <v>5.0000000000000001E-3</v>
      </c>
      <c r="D33">
        <v>1E-3</v>
      </c>
      <c r="E33">
        <v>0</v>
      </c>
      <c r="F33">
        <v>1E-3</v>
      </c>
      <c r="G33">
        <v>3.0000000000000001E-3</v>
      </c>
      <c r="H33">
        <v>7.0000000000000001E-3</v>
      </c>
    </row>
    <row r="34" spans="2:8">
      <c r="B34" s="1117" t="s">
        <v>1138</v>
      </c>
      <c r="C34">
        <v>0</v>
      </c>
      <c r="D34">
        <v>1E-3</v>
      </c>
      <c r="E34">
        <v>0</v>
      </c>
      <c r="F34">
        <v>1.0999999999999999E-2</v>
      </c>
      <c r="G34">
        <v>3.0000000000000001E-3</v>
      </c>
      <c r="H34">
        <v>0</v>
      </c>
    </row>
    <row r="35" spans="2:8">
      <c r="B35" s="1117" t="s">
        <v>1017</v>
      </c>
      <c r="C35">
        <v>0</v>
      </c>
      <c r="D35">
        <v>8.0000000000000002E-3</v>
      </c>
      <c r="E35">
        <v>3.0000000000000001E-3</v>
      </c>
      <c r="F35">
        <v>0</v>
      </c>
      <c r="G35">
        <v>0</v>
      </c>
      <c r="H35">
        <v>0</v>
      </c>
    </row>
    <row r="36" spans="2:8">
      <c r="B36" s="1117" t="s">
        <v>1018</v>
      </c>
      <c r="C36">
        <v>5.0000000000000001E-3</v>
      </c>
      <c r="D36">
        <v>1E-3</v>
      </c>
      <c r="E36">
        <v>0</v>
      </c>
      <c r="F36">
        <v>1E-3</v>
      </c>
      <c r="G36">
        <v>0</v>
      </c>
      <c r="H36">
        <v>2E-3</v>
      </c>
    </row>
    <row r="37" spans="2:8">
      <c r="B37" s="1117" t="s">
        <v>1139</v>
      </c>
      <c r="C37">
        <v>2E-3</v>
      </c>
      <c r="D37">
        <v>0</v>
      </c>
      <c r="E37">
        <v>1E-3</v>
      </c>
      <c r="F37">
        <v>4.0000000000000001E-3</v>
      </c>
      <c r="G37">
        <v>2E-3</v>
      </c>
      <c r="H37">
        <v>9.0000000000000011E-3</v>
      </c>
    </row>
    <row r="38" spans="2:8">
      <c r="B38" s="1117" t="s">
        <v>30</v>
      </c>
      <c r="C38">
        <v>100</v>
      </c>
      <c r="D38">
        <v>100</v>
      </c>
      <c r="E38">
        <v>100</v>
      </c>
      <c r="F38">
        <v>100</v>
      </c>
      <c r="G38">
        <v>100</v>
      </c>
      <c r="H38">
        <v>100</v>
      </c>
    </row>
  </sheetData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AB84A-E527-4A61-A4D3-2DF68DDE23C7}">
  <dimension ref="A1:G40"/>
  <sheetViews>
    <sheetView workbookViewId="0"/>
  </sheetViews>
  <sheetFormatPr baseColWidth="10" defaultRowHeight="14.5"/>
  <sheetData>
    <row r="1" spans="1:7">
      <c r="A1" t="s">
        <v>1</v>
      </c>
      <c r="B1" t="s">
        <v>1124</v>
      </c>
      <c r="C1" t="s">
        <v>1125</v>
      </c>
      <c r="D1" t="s">
        <v>1126</v>
      </c>
      <c r="E1" t="s">
        <v>1127</v>
      </c>
      <c r="F1" t="s">
        <v>1128</v>
      </c>
      <c r="G1" t="s">
        <v>1129</v>
      </c>
    </row>
    <row r="2" spans="1:7">
      <c r="B2" t="s">
        <v>1132</v>
      </c>
      <c r="C2" t="s">
        <v>1132</v>
      </c>
      <c r="D2" t="s">
        <v>1132</v>
      </c>
      <c r="E2" s="1071" t="s">
        <v>1133</v>
      </c>
      <c r="F2" s="1071" t="s">
        <v>1133</v>
      </c>
      <c r="G2" s="1071" t="s">
        <v>1133</v>
      </c>
    </row>
    <row r="4" spans="1:7">
      <c r="B4" s="1074" t="s">
        <v>1130</v>
      </c>
      <c r="C4" s="1074" t="s">
        <v>1131</v>
      </c>
      <c r="D4" s="1074" t="s">
        <v>994</v>
      </c>
      <c r="E4" s="1074" t="s">
        <v>1130</v>
      </c>
      <c r="F4" s="1074" t="s">
        <v>1131</v>
      </c>
      <c r="G4" s="1074" t="s">
        <v>994</v>
      </c>
    </row>
    <row r="5" spans="1:7">
      <c r="A5" s="1080" t="s">
        <v>224</v>
      </c>
      <c r="B5" s="1081">
        <v>45.527000000000001</v>
      </c>
      <c r="C5" s="1081">
        <v>48.6967</v>
      </c>
      <c r="D5" s="1081">
        <v>57.646700000000003</v>
      </c>
      <c r="E5" s="1081">
        <v>55.168799999999997</v>
      </c>
      <c r="F5" s="1081">
        <v>66.793300000000002</v>
      </c>
      <c r="G5" s="1081">
        <v>56.790199999999999</v>
      </c>
    </row>
    <row r="6" spans="1:7">
      <c r="A6" s="1080" t="s">
        <v>230</v>
      </c>
      <c r="B6" s="1081">
        <v>45.631999999999998</v>
      </c>
      <c r="C6" s="1081">
        <v>32.178400000000003</v>
      </c>
      <c r="D6" s="1081">
        <v>31.666499999999999</v>
      </c>
      <c r="E6" s="1081">
        <v>21.9618</v>
      </c>
      <c r="F6" s="1081">
        <v>9.7436000000000007</v>
      </c>
      <c r="G6" s="1081">
        <v>28.619599999999998</v>
      </c>
    </row>
    <row r="7" spans="1:7">
      <c r="A7" s="1080" t="s">
        <v>232</v>
      </c>
      <c r="B7" s="1081">
        <v>4.8714000000000004</v>
      </c>
      <c r="C7" s="1081">
        <v>13.764099999999999</v>
      </c>
      <c r="D7" s="1081">
        <v>5.1135999999999999</v>
      </c>
      <c r="E7" s="1081">
        <v>12.1983</v>
      </c>
      <c r="F7" s="1081">
        <v>18.603000000000002</v>
      </c>
      <c r="G7" s="1081">
        <v>6.9481999999999999</v>
      </c>
    </row>
    <row r="8" spans="1:7">
      <c r="A8" s="1080" t="s">
        <v>231</v>
      </c>
      <c r="B8" s="1081">
        <v>3.0726</v>
      </c>
      <c r="C8" s="1081">
        <v>4.5052000000000003</v>
      </c>
      <c r="D8" s="1081">
        <v>4.6536</v>
      </c>
      <c r="E8" s="1081">
        <v>9.7949999999999999</v>
      </c>
      <c r="F8" s="1081">
        <v>4.3338999999999999</v>
      </c>
      <c r="G8" s="1081">
        <v>6.4710000000000001</v>
      </c>
    </row>
    <row r="9" spans="1:7">
      <c r="A9" s="1080" t="s">
        <v>238</v>
      </c>
      <c r="B9" s="1081">
        <v>0.67779999999999996</v>
      </c>
      <c r="C9" s="1081">
        <v>0.47260000000000002</v>
      </c>
      <c r="D9" s="1081">
        <v>0.91679999999999995</v>
      </c>
      <c r="E9" s="1081">
        <v>0.83360000000000001</v>
      </c>
      <c r="F9" s="1081">
        <v>0.4592</v>
      </c>
      <c r="G9" s="1081">
        <v>1.1623000000000001</v>
      </c>
    </row>
    <row r="10" spans="1:7">
      <c r="A10" s="1080" t="s">
        <v>1018</v>
      </c>
      <c r="B10" s="1081">
        <v>0.2029</v>
      </c>
      <c r="C10" s="1081">
        <v>0.19550000000000001</v>
      </c>
      <c r="D10" s="1081">
        <v>0</v>
      </c>
      <c r="E10" s="1081">
        <v>4.1300000000000003E-2</v>
      </c>
      <c r="F10" s="1081">
        <v>6.5600000000000006E-2</v>
      </c>
      <c r="G10" s="1081">
        <v>8.6E-3</v>
      </c>
    </row>
    <row r="11" spans="1:7">
      <c r="A11" s="1080" t="s">
        <v>1017</v>
      </c>
      <c r="B11" s="1081">
        <v>8.0000000000000004E-4</v>
      </c>
      <c r="C11" s="1081">
        <v>0.17949999999999999</v>
      </c>
      <c r="D11" s="1081">
        <v>2E-3</v>
      </c>
      <c r="E11" s="1081">
        <v>1.1000000000000001E-3</v>
      </c>
      <c r="F11" s="1081">
        <v>0</v>
      </c>
      <c r="G11" s="1081">
        <v>0</v>
      </c>
    </row>
    <row r="12" spans="1:7">
      <c r="A12" s="1080" t="s">
        <v>244</v>
      </c>
      <c r="B12" s="1081">
        <v>1.55E-2</v>
      </c>
      <c r="C12" s="1081">
        <v>8.0000000000000002E-3</v>
      </c>
      <c r="D12" s="1081">
        <v>8.0000000000000004E-4</v>
      </c>
      <c r="E12" s="1081">
        <v>0</v>
      </c>
      <c r="F12" s="1081">
        <v>1.4E-3</v>
      </c>
      <c r="G12" s="1081">
        <v>0</v>
      </c>
    </row>
    <row r="13" spans="1:7">
      <c r="A13" s="1080" t="s">
        <v>30</v>
      </c>
      <c r="B13" s="1079">
        <v>100</v>
      </c>
      <c r="C13" s="1079">
        <v>100</v>
      </c>
      <c r="D13" s="1079">
        <v>100</v>
      </c>
      <c r="E13" s="1079">
        <v>100</v>
      </c>
      <c r="F13" s="1079">
        <v>100</v>
      </c>
      <c r="G13" s="1079">
        <v>100</v>
      </c>
    </row>
    <row r="17" spans="1:7">
      <c r="A17" t="s">
        <v>17</v>
      </c>
      <c r="B17" s="1074" t="s">
        <v>1020</v>
      </c>
      <c r="C17" s="1074" t="s">
        <v>1021</v>
      </c>
      <c r="D17" s="1074" t="s">
        <v>1022</v>
      </c>
      <c r="E17" s="1074" t="s">
        <v>1023</v>
      </c>
      <c r="F17" s="1074" t="s">
        <v>1024</v>
      </c>
      <c r="G17" s="1074" t="s">
        <v>1025</v>
      </c>
    </row>
    <row r="18" spans="1:7">
      <c r="B18" s="1074" t="s">
        <v>1028</v>
      </c>
      <c r="C18" s="1074" t="s">
        <v>1028</v>
      </c>
      <c r="D18" s="1074" t="s">
        <v>1028</v>
      </c>
      <c r="E18" s="1077" t="s">
        <v>1030</v>
      </c>
      <c r="F18" s="1077" t="s">
        <v>1030</v>
      </c>
      <c r="G18" s="1077" t="s">
        <v>1030</v>
      </c>
    </row>
    <row r="19" spans="1:7">
      <c r="B19" s="1074" t="s">
        <v>1027</v>
      </c>
      <c r="C19" s="1074" t="s">
        <v>1031</v>
      </c>
      <c r="D19" s="1074" t="s">
        <v>1032</v>
      </c>
      <c r="E19" s="1074" t="s">
        <v>1027</v>
      </c>
      <c r="F19" s="1074" t="s">
        <v>1027</v>
      </c>
      <c r="G19" s="1074" t="s">
        <v>1031</v>
      </c>
    </row>
    <row r="20" spans="1:7">
      <c r="B20" s="1074" t="s">
        <v>1029</v>
      </c>
      <c r="C20" s="1074" t="s">
        <v>973</v>
      </c>
      <c r="D20" s="1074" t="s">
        <v>974</v>
      </c>
      <c r="E20" s="1074" t="s">
        <v>972</v>
      </c>
      <c r="F20" s="1074" t="s">
        <v>1029</v>
      </c>
      <c r="G20" s="1074" t="s">
        <v>973</v>
      </c>
    </row>
    <row r="21" spans="1:7">
      <c r="A21" s="1080" t="s">
        <v>222</v>
      </c>
      <c r="B21" s="1081">
        <v>58.274799999999999</v>
      </c>
      <c r="C21" s="1081">
        <v>62.354700000000001</v>
      </c>
      <c r="D21" s="1081">
        <v>86.108099999999993</v>
      </c>
      <c r="E21" s="1081">
        <v>70.907600000000002</v>
      </c>
      <c r="F21" s="1081">
        <v>53.577500000000001</v>
      </c>
      <c r="G21" s="1081">
        <v>64.249799999999993</v>
      </c>
    </row>
    <row r="22" spans="1:7">
      <c r="A22" s="1080" t="s">
        <v>224</v>
      </c>
      <c r="B22" s="1081">
        <v>39.0608</v>
      </c>
      <c r="C22" s="1081">
        <v>34.511800000000001</v>
      </c>
      <c r="D22" s="1081">
        <v>2.8227000000000002</v>
      </c>
      <c r="E22" s="1081">
        <v>22.906400000000001</v>
      </c>
      <c r="F22" s="1081">
        <v>43.049300000000002</v>
      </c>
      <c r="G22" s="1081">
        <v>31.077000000000002</v>
      </c>
    </row>
    <row r="23" spans="1:7">
      <c r="A23" s="1080" t="s">
        <v>2</v>
      </c>
      <c r="B23" s="1081">
        <v>0.86429999999999996</v>
      </c>
      <c r="C23" s="1081">
        <v>1.3994</v>
      </c>
      <c r="D23" s="1081">
        <v>7.0797999999999996</v>
      </c>
      <c r="E23" s="1081">
        <v>3.0213999999999999</v>
      </c>
      <c r="F23" s="1081">
        <v>0.48549999999999999</v>
      </c>
      <c r="G23" s="1081">
        <v>1.22</v>
      </c>
    </row>
    <row r="24" spans="1:7">
      <c r="A24" s="1080" t="s">
        <v>225</v>
      </c>
      <c r="B24" s="1081">
        <v>1.52E-2</v>
      </c>
      <c r="C24" s="1081">
        <v>0.56699999999999995</v>
      </c>
      <c r="D24" s="1081">
        <v>3.1631</v>
      </c>
      <c r="E24" s="1081">
        <v>2.0324</v>
      </c>
      <c r="F24" s="1081">
        <v>0.3574</v>
      </c>
      <c r="G24" s="1081">
        <v>2.1278999999999999</v>
      </c>
    </row>
    <row r="25" spans="1:7">
      <c r="A25" s="1080" t="s">
        <v>232</v>
      </c>
      <c r="B25" s="1081">
        <v>1.3287</v>
      </c>
      <c r="C25" s="1081">
        <v>0.48299999999999998</v>
      </c>
      <c r="D25" s="1081">
        <v>4.9000000000000002E-2</v>
      </c>
      <c r="E25" s="1081">
        <v>0.41389999999999999</v>
      </c>
      <c r="F25" s="1081">
        <v>2.0331000000000001</v>
      </c>
      <c r="G25" s="1081">
        <v>0.85429999999999995</v>
      </c>
    </row>
    <row r="26" spans="1:7">
      <c r="A26" s="1080" t="s">
        <v>228</v>
      </c>
      <c r="B26" s="1081">
        <v>6.4600000000000005E-2</v>
      </c>
      <c r="C26" s="1081">
        <v>0.18290000000000001</v>
      </c>
      <c r="D26" s="1081">
        <v>0.30009999999999998</v>
      </c>
      <c r="E26" s="1081">
        <v>0.40479999999999999</v>
      </c>
      <c r="F26" s="1081">
        <v>1.26E-2</v>
      </c>
      <c r="G26" s="1081">
        <v>0.1714</v>
      </c>
    </row>
    <row r="27" spans="1:7">
      <c r="A27" s="1080" t="s">
        <v>238</v>
      </c>
      <c r="B27" s="1081">
        <v>0.2228</v>
      </c>
      <c r="C27" s="1081">
        <v>0.11269999999999999</v>
      </c>
      <c r="D27" s="1081">
        <v>5.7099999999999998E-2</v>
      </c>
      <c r="E27" s="1081">
        <v>6.9099999999999995E-2</v>
      </c>
      <c r="F27" s="1081">
        <v>0.34520000000000001</v>
      </c>
      <c r="G27" s="1081">
        <v>0.13450000000000001</v>
      </c>
    </row>
    <row r="28" spans="1:7">
      <c r="A28" s="1080" t="s">
        <v>227</v>
      </c>
      <c r="B28" s="1081">
        <v>3.2599999999999997E-2</v>
      </c>
      <c r="C28" s="1081">
        <v>8.3299999999999999E-2</v>
      </c>
      <c r="D28" s="1081">
        <v>0.2235</v>
      </c>
      <c r="E28" s="1081">
        <v>0.1246</v>
      </c>
      <c r="F28" s="1081">
        <v>4.4600000000000001E-2</v>
      </c>
      <c r="G28" s="1081">
        <v>1.9599999999999999E-2</v>
      </c>
    </row>
    <row r="29" spans="1:7">
      <c r="A29" s="1080" t="s">
        <v>236</v>
      </c>
      <c r="B29" s="1081">
        <v>1.5599999999999999E-2</v>
      </c>
      <c r="C29" s="1081">
        <v>0.15959999999999999</v>
      </c>
      <c r="D29" s="1081">
        <v>3.78E-2</v>
      </c>
      <c r="E29" s="1081">
        <v>3.3999999999999998E-3</v>
      </c>
      <c r="F29" s="1081">
        <v>1.6000000000000001E-3</v>
      </c>
      <c r="G29" s="1081">
        <v>1.5599999999999999E-2</v>
      </c>
    </row>
    <row r="30" spans="1:7">
      <c r="A30" s="1080" t="s">
        <v>1017</v>
      </c>
      <c r="B30" s="1081">
        <v>5.6300000000000003E-2</v>
      </c>
      <c r="C30" s="1081">
        <v>0.1109</v>
      </c>
      <c r="D30" s="1081">
        <v>0</v>
      </c>
      <c r="E30" s="1081">
        <v>8.3999999999999995E-3</v>
      </c>
      <c r="F30" s="1081">
        <v>2.6499999999999999E-2</v>
      </c>
      <c r="G30" s="1081">
        <v>6.0199999999999997E-2</v>
      </c>
    </row>
    <row r="31" spans="1:7">
      <c r="A31" s="1080" t="s">
        <v>1033</v>
      </c>
      <c r="B31" s="1081">
        <v>0</v>
      </c>
      <c r="C31" s="1081">
        <v>0</v>
      </c>
      <c r="D31" s="1081">
        <v>0.13270000000000001</v>
      </c>
      <c r="E31" s="1081">
        <v>8.4199999999999997E-2</v>
      </c>
      <c r="F31" s="1081">
        <v>0</v>
      </c>
      <c r="G31" s="1081">
        <v>1.5800000000000002E-2</v>
      </c>
    </row>
    <row r="32" spans="1:7">
      <c r="A32" s="1082" t="s">
        <v>223</v>
      </c>
      <c r="B32" s="1081">
        <v>2.92E-2</v>
      </c>
      <c r="C32" s="1081">
        <v>0</v>
      </c>
      <c r="D32" s="1081">
        <v>0</v>
      </c>
      <c r="E32" s="1081">
        <v>1.66E-2</v>
      </c>
      <c r="F32" s="1081">
        <v>0</v>
      </c>
      <c r="G32" s="1081">
        <v>0</v>
      </c>
    </row>
    <row r="33" spans="1:7">
      <c r="A33" s="1082" t="s">
        <v>250</v>
      </c>
      <c r="B33" s="1081">
        <v>2.1700000000000001E-2</v>
      </c>
      <c r="C33" s="1081">
        <v>2.9999999999999997E-4</v>
      </c>
      <c r="D33" s="1081">
        <v>0</v>
      </c>
      <c r="E33" s="1081">
        <v>3.2000000000000002E-3</v>
      </c>
      <c r="F33" s="1081">
        <v>4.82E-2</v>
      </c>
      <c r="G33" s="1081">
        <v>8.9999999999999998E-4</v>
      </c>
    </row>
    <row r="34" spans="1:7">
      <c r="A34" s="1082" t="s">
        <v>1018</v>
      </c>
      <c r="B34" s="1081">
        <v>1.1999999999999999E-3</v>
      </c>
      <c r="C34" s="1081">
        <v>2.86E-2</v>
      </c>
      <c r="D34" s="1081">
        <v>0</v>
      </c>
      <c r="E34" s="1081">
        <v>0</v>
      </c>
      <c r="F34" s="1081">
        <v>8.2000000000000007E-3</v>
      </c>
      <c r="G34" s="1081">
        <v>0</v>
      </c>
    </row>
    <row r="35" spans="1:7">
      <c r="A35" s="1080" t="s">
        <v>1034</v>
      </c>
      <c r="B35" s="1081">
        <v>0</v>
      </c>
      <c r="C35" s="1081">
        <v>0</v>
      </c>
      <c r="D35" s="1081">
        <v>0</v>
      </c>
      <c r="E35" s="1081">
        <v>0</v>
      </c>
      <c r="F35" s="1081">
        <v>0</v>
      </c>
      <c r="G35" s="1081">
        <v>4.6600000000000003E-2</v>
      </c>
    </row>
    <row r="36" spans="1:7">
      <c r="A36" s="1080" t="s">
        <v>241</v>
      </c>
      <c r="B36" s="1081">
        <v>0</v>
      </c>
      <c r="C36" s="1081">
        <v>6.9999999999999999E-4</v>
      </c>
      <c r="D36" s="1081">
        <v>0</v>
      </c>
      <c r="E36" s="1081">
        <v>0</v>
      </c>
      <c r="F36" s="1081">
        <v>7.1999999999999998E-3</v>
      </c>
      <c r="G36" s="1081">
        <v>1.5E-3</v>
      </c>
    </row>
    <row r="37" spans="1:7">
      <c r="A37" s="1080" t="s">
        <v>1035</v>
      </c>
      <c r="B37" s="1081">
        <v>1.1999999999999999E-3</v>
      </c>
      <c r="C37" s="1081">
        <v>1.8E-3</v>
      </c>
      <c r="D37" s="1081">
        <v>2.0899999999999998E-2</v>
      </c>
      <c r="E37" s="1081">
        <v>0</v>
      </c>
      <c r="F37" s="1081">
        <v>0</v>
      </c>
      <c r="G37" s="1081">
        <v>1.9E-3</v>
      </c>
    </row>
    <row r="38" spans="1:7">
      <c r="A38" s="1080" t="s">
        <v>242</v>
      </c>
      <c r="B38" s="1081">
        <v>0</v>
      </c>
      <c r="C38" s="1081">
        <v>0</v>
      </c>
      <c r="D38" s="1081">
        <v>0</v>
      </c>
      <c r="E38" s="1081">
        <v>0</v>
      </c>
      <c r="F38" s="1081">
        <v>0</v>
      </c>
      <c r="G38" s="1081">
        <v>0</v>
      </c>
    </row>
    <row r="39" spans="1:7">
      <c r="A39" s="1080" t="s">
        <v>244</v>
      </c>
      <c r="B39" s="1079">
        <v>1.09E-2</v>
      </c>
      <c r="C39" s="1079">
        <v>3.3E-3</v>
      </c>
      <c r="D39" s="1079">
        <v>5.1999999999999998E-3</v>
      </c>
      <c r="E39" s="1079">
        <v>4.0000000000000001E-3</v>
      </c>
      <c r="F39" s="1079">
        <v>3.0999999999999999E-3</v>
      </c>
      <c r="G39" s="1079">
        <v>3.0000000000000001E-3</v>
      </c>
    </row>
    <row r="40" spans="1:7">
      <c r="A40" s="1080" t="s">
        <v>30</v>
      </c>
      <c r="B40" s="1079">
        <v>100</v>
      </c>
      <c r="C40" s="1079">
        <v>100</v>
      </c>
      <c r="D40" s="1079">
        <v>100</v>
      </c>
      <c r="E40" s="1079">
        <v>100</v>
      </c>
      <c r="F40" s="1079">
        <v>100</v>
      </c>
      <c r="G40" s="1079">
        <v>100</v>
      </c>
    </row>
  </sheetData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41401-7FB9-4B1C-BC4B-ADAB7AC21A4C}">
  <dimension ref="A1:O40"/>
  <sheetViews>
    <sheetView workbookViewId="0"/>
  </sheetViews>
  <sheetFormatPr baseColWidth="10" defaultRowHeight="14.5"/>
  <sheetData>
    <row r="1" spans="1:15">
      <c r="A1" s="1093"/>
      <c r="B1" s="1471" t="s">
        <v>1101</v>
      </c>
      <c r="C1" s="1093"/>
      <c r="D1" s="1093"/>
      <c r="E1" s="1471" t="s">
        <v>1102</v>
      </c>
      <c r="F1" s="1471"/>
      <c r="G1" s="1471"/>
      <c r="H1" s="1471"/>
      <c r="I1" s="1471"/>
      <c r="J1" s="1471"/>
      <c r="K1" s="1471"/>
      <c r="L1" s="1471"/>
      <c r="M1" s="1471"/>
      <c r="N1" s="1471"/>
      <c r="O1" s="1471"/>
    </row>
    <row r="2" spans="1:15">
      <c r="A2" s="1093"/>
      <c r="B2" s="1472"/>
      <c r="C2" s="1093"/>
      <c r="D2" s="1093"/>
      <c r="E2" s="1471"/>
      <c r="F2" s="1471"/>
      <c r="G2" s="1471"/>
      <c r="H2" s="1471"/>
      <c r="I2" s="1471"/>
      <c r="J2" s="1471"/>
      <c r="K2" s="1471"/>
      <c r="L2" s="1471"/>
      <c r="M2" s="1471"/>
      <c r="N2" s="1471"/>
      <c r="O2" s="1471"/>
    </row>
    <row r="3" spans="1:15">
      <c r="A3" s="1094" t="s">
        <v>1103</v>
      </c>
      <c r="B3" s="1094" t="s">
        <v>1104</v>
      </c>
      <c r="C3" s="1094"/>
      <c r="D3" s="1094"/>
      <c r="E3" s="1095" t="s">
        <v>1105</v>
      </c>
      <c r="F3" s="1096" t="s">
        <v>1106</v>
      </c>
      <c r="G3" s="1096" t="s">
        <v>1107</v>
      </c>
      <c r="H3" s="1096" t="s">
        <v>1108</v>
      </c>
      <c r="I3" s="1096" t="s">
        <v>1109</v>
      </c>
      <c r="J3" s="1096" t="s">
        <v>1110</v>
      </c>
      <c r="K3" s="1096" t="s">
        <v>1111</v>
      </c>
      <c r="L3" s="1096" t="s">
        <v>1112</v>
      </c>
      <c r="M3" s="1096" t="s">
        <v>1113</v>
      </c>
      <c r="N3" s="1096" t="s">
        <v>1114</v>
      </c>
      <c r="O3" s="1096" t="s">
        <v>1115</v>
      </c>
    </row>
    <row r="4" spans="1:15">
      <c r="A4" s="1097" t="s">
        <v>1019</v>
      </c>
      <c r="B4" s="1079" t="s">
        <v>224</v>
      </c>
      <c r="C4" s="1074" t="s">
        <v>1027</v>
      </c>
      <c r="D4" s="1074" t="s">
        <v>1130</v>
      </c>
      <c r="E4" s="1098">
        <v>21.559200000000001</v>
      </c>
      <c r="F4" s="1098">
        <v>21.553699999999999</v>
      </c>
      <c r="G4" s="1098">
        <v>6.7423999999999999</v>
      </c>
      <c r="H4" s="1098">
        <v>2.7955000000000001</v>
      </c>
      <c r="I4" s="1098">
        <v>9.0135000000000005</v>
      </c>
      <c r="J4" s="1098">
        <v>4.0932000000000004</v>
      </c>
      <c r="K4" s="1098">
        <v>3.7978000000000001</v>
      </c>
      <c r="L4" s="1098">
        <v>2.7534000000000001</v>
      </c>
      <c r="M4" s="1098">
        <v>2.6402999999999999</v>
      </c>
      <c r="N4" s="1098">
        <v>25.050999999999998</v>
      </c>
      <c r="O4" s="1098">
        <v>100</v>
      </c>
    </row>
    <row r="5" spans="1:15">
      <c r="A5" s="1097" t="s">
        <v>1020</v>
      </c>
      <c r="B5" s="1079" t="s">
        <v>224</v>
      </c>
      <c r="C5" s="1074" t="s">
        <v>1027</v>
      </c>
      <c r="D5" s="1074" t="s">
        <v>1131</v>
      </c>
      <c r="E5" s="1098">
        <v>50.328400000000002</v>
      </c>
      <c r="F5" s="1098">
        <v>14.849</v>
      </c>
      <c r="G5" s="1098">
        <v>26.4663</v>
      </c>
      <c r="H5" s="1098">
        <v>0</v>
      </c>
      <c r="I5" s="1098">
        <v>0</v>
      </c>
      <c r="J5" s="1098">
        <v>0.48089999999999999</v>
      </c>
      <c r="K5" s="1098">
        <v>3.2463000000000002</v>
      </c>
      <c r="L5" s="1098">
        <v>0</v>
      </c>
      <c r="M5" s="1098">
        <v>0.36070000000000002</v>
      </c>
      <c r="N5" s="1098">
        <v>4.2683</v>
      </c>
      <c r="O5" s="1098">
        <v>100</v>
      </c>
    </row>
    <row r="6" spans="1:15">
      <c r="A6" s="1097" t="s">
        <v>1021</v>
      </c>
      <c r="B6" s="1079" t="s">
        <v>224</v>
      </c>
      <c r="C6" s="1074" t="s">
        <v>1100</v>
      </c>
      <c r="D6" s="1074" t="s">
        <v>994</v>
      </c>
      <c r="E6" s="1098">
        <v>1.6637999999999999</v>
      </c>
      <c r="F6" s="1098">
        <v>1.7815000000000001</v>
      </c>
      <c r="G6" s="1098">
        <v>1.2444999999999999</v>
      </c>
      <c r="H6" s="1098">
        <v>3.2134999999999998</v>
      </c>
      <c r="I6" s="1098">
        <v>1.2572000000000001</v>
      </c>
      <c r="J6" s="1098">
        <v>4.6208999999999998</v>
      </c>
      <c r="K6" s="1098">
        <v>5.1570999999999998</v>
      </c>
      <c r="L6" s="1098">
        <v>5.1326000000000001</v>
      </c>
      <c r="M6" s="1098">
        <v>12.6714</v>
      </c>
      <c r="N6" s="1098">
        <v>63.2575</v>
      </c>
      <c r="O6" s="1098">
        <v>100</v>
      </c>
    </row>
    <row r="7" spans="1:15">
      <c r="A7" s="1097" t="s">
        <v>1022</v>
      </c>
      <c r="B7" s="1079" t="s">
        <v>224</v>
      </c>
      <c r="C7" s="1074" t="s">
        <v>1032</v>
      </c>
      <c r="D7" s="1074" t="s">
        <v>1130</v>
      </c>
      <c r="E7" s="1098">
        <v>18.187100000000001</v>
      </c>
      <c r="F7" s="1098">
        <v>7.9512999999999998</v>
      </c>
      <c r="G7" s="1098">
        <v>2.617</v>
      </c>
      <c r="H7" s="1098">
        <v>1.0206</v>
      </c>
      <c r="I7" s="1098">
        <v>0.83750000000000002</v>
      </c>
      <c r="J7" s="1098">
        <v>2.7543000000000002</v>
      </c>
      <c r="K7" s="1098">
        <v>7.3105000000000002</v>
      </c>
      <c r="L7" s="1098">
        <v>5.9687000000000001</v>
      </c>
      <c r="M7" s="1098">
        <v>4.7987000000000002</v>
      </c>
      <c r="N7" s="1098">
        <v>48.554200000000002</v>
      </c>
      <c r="O7" s="1098">
        <v>100</v>
      </c>
    </row>
    <row r="8" spans="1:15">
      <c r="A8" s="1097" t="s">
        <v>1023</v>
      </c>
      <c r="B8" s="1079" t="s">
        <v>224</v>
      </c>
      <c r="C8" s="1074" t="s">
        <v>1027</v>
      </c>
      <c r="D8" s="1074" t="s">
        <v>1131</v>
      </c>
      <c r="E8" s="1098">
        <v>42.539299999999997</v>
      </c>
      <c r="F8" s="1098">
        <v>10.8202</v>
      </c>
      <c r="G8" s="1098">
        <v>18.713699999999999</v>
      </c>
      <c r="H8" s="1098">
        <v>10.603</v>
      </c>
      <c r="I8" s="1098">
        <v>5.1840000000000002</v>
      </c>
      <c r="J8" s="1098">
        <v>0.14599999999999999</v>
      </c>
      <c r="K8" s="1098">
        <v>0</v>
      </c>
      <c r="L8" s="1098">
        <v>0</v>
      </c>
      <c r="M8" s="1098">
        <v>0</v>
      </c>
      <c r="N8" s="1098">
        <v>11.9938</v>
      </c>
      <c r="O8" s="1098">
        <v>100</v>
      </c>
    </row>
    <row r="9" spans="1:15">
      <c r="A9" s="1097" t="s">
        <v>1024</v>
      </c>
      <c r="B9" s="1079" t="s">
        <v>224</v>
      </c>
      <c r="C9" s="1074" t="s">
        <v>1027</v>
      </c>
      <c r="D9" s="1074" t="s">
        <v>994</v>
      </c>
      <c r="E9" s="1098">
        <v>1.8408</v>
      </c>
      <c r="F9" s="1098">
        <v>2.0585</v>
      </c>
      <c r="G9" s="1098">
        <v>1.5903</v>
      </c>
      <c r="H9" s="1098">
        <v>2.7244000000000002</v>
      </c>
      <c r="I9" s="1098">
        <v>8.6277000000000008</v>
      </c>
      <c r="J9" s="1098">
        <v>4.7069000000000001</v>
      </c>
      <c r="K9" s="1098">
        <v>2.6703999999999999</v>
      </c>
      <c r="L9" s="1098">
        <v>4.3819999999999997</v>
      </c>
      <c r="M9" s="1098">
        <v>6.2709000000000001</v>
      </c>
      <c r="N9" s="1098">
        <v>65.127899999999997</v>
      </c>
      <c r="O9" s="1098">
        <v>100</v>
      </c>
    </row>
    <row r="10" spans="1:15">
      <c r="A10" s="1097" t="str">
        <f t="shared" ref="A10:A39" si="0">A4</f>
        <v>PUNTO 1: ALIMENTACION 1° CLEANER TURNO_NOCHE 01-09-25</v>
      </c>
      <c r="B10" s="1079" t="s">
        <v>230</v>
      </c>
      <c r="C10" s="1074" t="s">
        <v>1027</v>
      </c>
      <c r="D10" s="1074" t="s">
        <v>1130</v>
      </c>
      <c r="E10" s="1098">
        <v>2.9695</v>
      </c>
      <c r="F10" s="1098">
        <v>1.5227999999999999</v>
      </c>
      <c r="G10" s="1098">
        <v>0.15229999999999999</v>
      </c>
      <c r="H10" s="1098">
        <v>0</v>
      </c>
      <c r="I10" s="1098">
        <v>18.730899999999998</v>
      </c>
      <c r="J10" s="1098">
        <v>1.0660000000000001</v>
      </c>
      <c r="K10" s="1098">
        <v>4.2640000000000002</v>
      </c>
      <c r="L10" s="1098">
        <v>3.6547999999999998</v>
      </c>
      <c r="M10" s="1098">
        <v>5.3299000000000003</v>
      </c>
      <c r="N10" s="1098">
        <v>62.309699999999999</v>
      </c>
      <c r="O10" s="1098">
        <v>100</v>
      </c>
    </row>
    <row r="11" spans="1:15">
      <c r="A11" s="1097" t="str">
        <f t="shared" si="0"/>
        <v>PUNTO 2: CONCENTRADO 1° CLEANER TURNO_NOCHE 01-09-25</v>
      </c>
      <c r="B11" s="1079" t="s">
        <v>230</v>
      </c>
      <c r="C11" s="1074" t="s">
        <v>1027</v>
      </c>
      <c r="D11" s="1074" t="s">
        <v>1131</v>
      </c>
      <c r="E11" s="1098">
        <v>100</v>
      </c>
      <c r="F11" s="1098">
        <v>0</v>
      </c>
      <c r="G11" s="1098">
        <v>0</v>
      </c>
      <c r="H11" s="1098">
        <v>0</v>
      </c>
      <c r="I11" s="1098">
        <v>0</v>
      </c>
      <c r="J11" s="1098">
        <v>0</v>
      </c>
      <c r="K11" s="1098">
        <v>0</v>
      </c>
      <c r="L11" s="1098">
        <v>0</v>
      </c>
      <c r="M11" s="1098">
        <v>0</v>
      </c>
      <c r="N11" s="1098">
        <v>0</v>
      </c>
      <c r="O11" s="1098">
        <v>100</v>
      </c>
    </row>
    <row r="12" spans="1:15">
      <c r="A12" s="1097" t="str">
        <f t="shared" si="0"/>
        <v>PUNTO 5: CONCENTRADO CLNR SCV TURNO_NOCHE 01-09-25</v>
      </c>
      <c r="B12" s="1079" t="s">
        <v>230</v>
      </c>
      <c r="C12" s="1074" t="s">
        <v>1100</v>
      </c>
      <c r="D12" s="1074" t="s">
        <v>994</v>
      </c>
      <c r="E12" s="1098">
        <v>0.96060000000000001</v>
      </c>
      <c r="F12" s="1098">
        <v>2.5937000000000001</v>
      </c>
      <c r="G12" s="1098">
        <v>0.76849999999999996</v>
      </c>
      <c r="H12" s="1098">
        <v>2.3054999999999999</v>
      </c>
      <c r="I12" s="1098">
        <v>0.76849999999999996</v>
      </c>
      <c r="J12" s="1098">
        <v>0.19209999999999999</v>
      </c>
      <c r="K12" s="1098">
        <v>0.86460000000000004</v>
      </c>
      <c r="L12" s="1098">
        <v>6.8204000000000002</v>
      </c>
      <c r="M12" s="1098">
        <v>2.3054999999999999</v>
      </c>
      <c r="N12" s="1098">
        <v>82.420699999999997</v>
      </c>
      <c r="O12" s="1098">
        <v>100</v>
      </c>
    </row>
    <row r="13" spans="1:15">
      <c r="A13" s="1097" t="str">
        <f t="shared" si="0"/>
        <v>PUNTO 8: RELAVE SCAVENGER TURNO_NOCHE 01-09-25</v>
      </c>
      <c r="B13" s="1079" t="s">
        <v>230</v>
      </c>
      <c r="C13" s="1074" t="s">
        <v>1032</v>
      </c>
      <c r="D13" s="1074" t="s">
        <v>1130</v>
      </c>
      <c r="E13" s="1098">
        <v>0.4415</v>
      </c>
      <c r="F13" s="1098">
        <v>13.0243</v>
      </c>
      <c r="G13" s="1098">
        <v>0</v>
      </c>
      <c r="H13" s="1098">
        <v>0</v>
      </c>
      <c r="I13" s="1098">
        <v>0.6623</v>
      </c>
      <c r="J13" s="1098">
        <v>3.9735</v>
      </c>
      <c r="K13" s="1098">
        <v>2.8698000000000001</v>
      </c>
      <c r="L13" s="1098">
        <v>10.154500000000001</v>
      </c>
      <c r="M13" s="1098">
        <v>0</v>
      </c>
      <c r="N13" s="1098">
        <v>68.874200000000002</v>
      </c>
      <c r="O13" s="1098">
        <v>100</v>
      </c>
    </row>
    <row r="14" spans="1:15">
      <c r="A14" s="1097" t="str">
        <f t="shared" si="0"/>
        <v>PUNTO 1: ALIMENTACION 1° CLEANER TURNO_DIA 22-09-25</v>
      </c>
      <c r="B14" s="1079" t="s">
        <v>230</v>
      </c>
      <c r="C14" s="1074" t="s">
        <v>1027</v>
      </c>
      <c r="D14" s="1074" t="s">
        <v>1131</v>
      </c>
      <c r="E14" s="1098">
        <v>14.2857</v>
      </c>
      <c r="F14" s="1098">
        <v>14.2857</v>
      </c>
      <c r="G14" s="1098">
        <v>0</v>
      </c>
      <c r="H14" s="1098">
        <v>21.848700000000001</v>
      </c>
      <c r="I14" s="1098">
        <v>0</v>
      </c>
      <c r="J14" s="1098">
        <v>0</v>
      </c>
      <c r="K14" s="1098">
        <v>0</v>
      </c>
      <c r="L14" s="1098">
        <v>0</v>
      </c>
      <c r="M14" s="1098">
        <v>0</v>
      </c>
      <c r="N14" s="1098">
        <v>49.579799999999999</v>
      </c>
      <c r="O14" s="1098">
        <v>100</v>
      </c>
    </row>
    <row r="15" spans="1:15">
      <c r="A15" s="1097" t="str">
        <f t="shared" si="0"/>
        <v>PUNTO 2: CONCENTRADO 1° CLEANER TURNO_DIA 22-09-25</v>
      </c>
      <c r="B15" s="1079" t="s">
        <v>230</v>
      </c>
      <c r="C15" s="1074" t="s">
        <v>1027</v>
      </c>
      <c r="D15" s="1074" t="s">
        <v>994</v>
      </c>
      <c r="E15" s="1098">
        <v>2.3304999999999998</v>
      </c>
      <c r="F15" s="1098">
        <v>0.28249999999999997</v>
      </c>
      <c r="G15" s="1098">
        <v>10.6638</v>
      </c>
      <c r="H15" s="1098">
        <v>0.21190000000000001</v>
      </c>
      <c r="I15" s="1098">
        <v>0.49440000000000001</v>
      </c>
      <c r="J15" s="1098">
        <v>0</v>
      </c>
      <c r="K15" s="1098">
        <v>1.0592999999999999</v>
      </c>
      <c r="L15" s="1098">
        <v>3.4605000000000001</v>
      </c>
      <c r="M15" s="1098">
        <v>15.1836</v>
      </c>
      <c r="N15" s="1098">
        <v>66.313599999999994</v>
      </c>
      <c r="O15" s="1098">
        <v>100</v>
      </c>
    </row>
    <row r="16" spans="1:15">
      <c r="A16" s="1097" t="str">
        <f t="shared" si="0"/>
        <v>PUNTO 1: ALIMENTACION 1° CLEANER TURNO_NOCHE 01-09-25</v>
      </c>
      <c r="B16" s="1079" t="s">
        <v>232</v>
      </c>
      <c r="C16" s="1074" t="s">
        <v>1027</v>
      </c>
      <c r="D16" s="1074" t="s">
        <v>1130</v>
      </c>
      <c r="E16" s="1098">
        <v>24.637699999999999</v>
      </c>
      <c r="F16" s="1098">
        <v>20.289899999999999</v>
      </c>
      <c r="G16" s="1098">
        <v>0</v>
      </c>
      <c r="H16" s="1098">
        <v>0</v>
      </c>
      <c r="I16" s="1098">
        <v>0</v>
      </c>
      <c r="J16" s="1098">
        <v>0</v>
      </c>
      <c r="K16" s="1098">
        <v>0</v>
      </c>
      <c r="L16" s="1098">
        <v>0</v>
      </c>
      <c r="M16" s="1098">
        <v>26.57</v>
      </c>
      <c r="N16" s="1098">
        <v>28.502400000000002</v>
      </c>
      <c r="O16" s="1098">
        <v>100</v>
      </c>
    </row>
    <row r="17" spans="1:15">
      <c r="A17" s="1097" t="str">
        <f t="shared" si="0"/>
        <v>PUNTO 2: CONCENTRADO 1° CLEANER TURNO_NOCHE 01-09-25</v>
      </c>
      <c r="B17" s="1079" t="s">
        <v>232</v>
      </c>
      <c r="C17" s="1074" t="s">
        <v>1027</v>
      </c>
      <c r="D17" s="1074" t="s">
        <v>1131</v>
      </c>
      <c r="E17" s="1098">
        <v>49.815100000000001</v>
      </c>
      <c r="F17" s="1098">
        <v>49.701300000000003</v>
      </c>
      <c r="G17" s="1098">
        <v>0</v>
      </c>
      <c r="H17" s="1098">
        <v>0</v>
      </c>
      <c r="I17" s="1098">
        <v>0</v>
      </c>
      <c r="J17" s="1098">
        <v>0</v>
      </c>
      <c r="K17" s="1098">
        <v>0</v>
      </c>
      <c r="L17" s="1098">
        <v>0</v>
      </c>
      <c r="M17" s="1098">
        <v>0</v>
      </c>
      <c r="N17" s="1098">
        <v>0.48359999999999997</v>
      </c>
      <c r="O17" s="1098">
        <v>100</v>
      </c>
    </row>
    <row r="18" spans="1:15">
      <c r="A18" s="1097" t="str">
        <f t="shared" si="0"/>
        <v>PUNTO 5: CONCENTRADO CLNR SCV TURNO_NOCHE 01-09-25</v>
      </c>
      <c r="B18" s="1079" t="s">
        <v>232</v>
      </c>
      <c r="C18" s="1074" t="s">
        <v>1100</v>
      </c>
      <c r="D18" s="1074" t="s">
        <v>994</v>
      </c>
      <c r="E18" s="1098">
        <v>10.052899999999999</v>
      </c>
      <c r="F18" s="1098">
        <v>30.9011</v>
      </c>
      <c r="G18" s="1098">
        <v>11.276899999999999</v>
      </c>
      <c r="H18" s="1098">
        <v>7.6521999999999997</v>
      </c>
      <c r="I18" s="1098">
        <v>0.80549999999999999</v>
      </c>
      <c r="J18" s="1098">
        <v>5.6384999999999996</v>
      </c>
      <c r="K18" s="1098">
        <v>0</v>
      </c>
      <c r="L18" s="1098">
        <v>0</v>
      </c>
      <c r="M18" s="1098">
        <v>0</v>
      </c>
      <c r="N18" s="1098">
        <v>33.672899999999998</v>
      </c>
      <c r="O18" s="1098">
        <v>100</v>
      </c>
    </row>
    <row r="19" spans="1:15">
      <c r="A19" s="1097" t="str">
        <f t="shared" si="0"/>
        <v>PUNTO 8: RELAVE SCAVENGER TURNO_NOCHE 01-09-25</v>
      </c>
      <c r="B19" s="1079" t="s">
        <v>232</v>
      </c>
      <c r="C19" s="1074" t="s">
        <v>1032</v>
      </c>
      <c r="D19" s="1074" t="s">
        <v>1130</v>
      </c>
      <c r="E19" s="1098">
        <v>22.5459</v>
      </c>
      <c r="F19" s="1098">
        <v>21.416499999999999</v>
      </c>
      <c r="G19" s="1098">
        <v>6.4598000000000004</v>
      </c>
      <c r="H19" s="1098">
        <v>3.2299000000000002</v>
      </c>
      <c r="I19" s="1098">
        <v>1.6149</v>
      </c>
      <c r="J19" s="1098">
        <v>0</v>
      </c>
      <c r="K19" s="1098">
        <v>0</v>
      </c>
      <c r="L19" s="1098">
        <v>21.981200000000001</v>
      </c>
      <c r="M19" s="1098">
        <v>17.9175</v>
      </c>
      <c r="N19" s="1098">
        <v>4.8342999999999998</v>
      </c>
      <c r="O19" s="1098">
        <v>100</v>
      </c>
    </row>
    <row r="20" spans="1:15">
      <c r="A20" s="1097" t="str">
        <f t="shared" si="0"/>
        <v>PUNTO 1: ALIMENTACION 1° CLEANER TURNO_DIA 22-09-25</v>
      </c>
      <c r="B20" s="1079" t="s">
        <v>232</v>
      </c>
      <c r="C20" s="1074" t="s">
        <v>1027</v>
      </c>
      <c r="D20" s="1074" t="s">
        <v>1131</v>
      </c>
      <c r="E20" s="1098">
        <v>74.459400000000002</v>
      </c>
      <c r="F20" s="1098">
        <v>24.9679</v>
      </c>
      <c r="G20" s="1098">
        <v>0</v>
      </c>
      <c r="H20" s="1098">
        <v>0</v>
      </c>
      <c r="I20" s="1098">
        <v>0</v>
      </c>
      <c r="J20" s="1098">
        <v>0</v>
      </c>
      <c r="K20" s="1098">
        <v>0</v>
      </c>
      <c r="L20" s="1098">
        <v>0</v>
      </c>
      <c r="M20" s="1098">
        <v>0</v>
      </c>
      <c r="N20" s="1098">
        <v>0.57279999999999998</v>
      </c>
      <c r="O20" s="1098">
        <v>100</v>
      </c>
    </row>
    <row r="21" spans="1:15">
      <c r="A21" s="1097" t="str">
        <f t="shared" si="0"/>
        <v>PUNTO 2: CONCENTRADO 1° CLEANER TURNO_DIA 22-09-25</v>
      </c>
      <c r="B21" s="1079" t="s">
        <v>232</v>
      </c>
      <c r="C21" s="1074" t="s">
        <v>1027</v>
      </c>
      <c r="D21" s="1074" t="s">
        <v>994</v>
      </c>
      <c r="E21" s="1098">
        <v>6.242</v>
      </c>
      <c r="F21" s="1098">
        <v>3.5459000000000001</v>
      </c>
      <c r="G21" s="1098">
        <v>1.5760000000000001</v>
      </c>
      <c r="H21" s="1098">
        <v>0.39400000000000002</v>
      </c>
      <c r="I21" s="1098">
        <v>5.3189000000000002</v>
      </c>
      <c r="J21" s="1098">
        <v>2.5609000000000002</v>
      </c>
      <c r="K21" s="1098">
        <v>0.59099999999999997</v>
      </c>
      <c r="L21" s="1098">
        <v>3.9167000000000001</v>
      </c>
      <c r="M21" s="1098">
        <v>21.6694</v>
      </c>
      <c r="N21" s="1098">
        <v>54.185200000000002</v>
      </c>
      <c r="O21" s="1098">
        <v>100</v>
      </c>
    </row>
    <row r="22" spans="1:15">
      <c r="A22" s="1097" t="str">
        <f t="shared" si="0"/>
        <v>PUNTO 1: ALIMENTACION 1° CLEANER TURNO_NOCHE 01-09-25</v>
      </c>
      <c r="B22" s="1079" t="s">
        <v>231</v>
      </c>
      <c r="C22" s="1074" t="s">
        <v>1027</v>
      </c>
      <c r="D22" s="1074" t="s">
        <v>1130</v>
      </c>
      <c r="E22" s="1098">
        <v>21.167899999999999</v>
      </c>
      <c r="F22" s="1098">
        <v>13.1387</v>
      </c>
      <c r="G22" s="1098">
        <v>23.357700000000001</v>
      </c>
      <c r="H22" s="1098">
        <v>0.72989999999999999</v>
      </c>
      <c r="I22" s="1098">
        <v>2.1898</v>
      </c>
      <c r="J22" s="1098">
        <v>10.9489</v>
      </c>
      <c r="K22" s="1098">
        <v>0</v>
      </c>
      <c r="L22" s="1098">
        <v>6.5693000000000001</v>
      </c>
      <c r="M22" s="1098">
        <v>0</v>
      </c>
      <c r="N22" s="1098">
        <v>21.8978</v>
      </c>
      <c r="O22" s="1098">
        <v>100</v>
      </c>
    </row>
    <row r="23" spans="1:15">
      <c r="A23" s="1097" t="str">
        <f t="shared" si="0"/>
        <v>PUNTO 2: CONCENTRADO 1° CLEANER TURNO_NOCHE 01-09-25</v>
      </c>
      <c r="B23" s="1079" t="s">
        <v>231</v>
      </c>
      <c r="C23" s="1074" t="s">
        <v>1027</v>
      </c>
      <c r="D23" s="1074" t="s">
        <v>1131</v>
      </c>
      <c r="E23" s="1098">
        <v>60.563400000000001</v>
      </c>
      <c r="F23" s="1098">
        <v>0</v>
      </c>
      <c r="G23" s="1098">
        <v>0</v>
      </c>
      <c r="H23" s="1098">
        <v>11.2676</v>
      </c>
      <c r="I23" s="1098">
        <v>0</v>
      </c>
      <c r="J23" s="1098">
        <v>0</v>
      </c>
      <c r="K23" s="1098">
        <v>0</v>
      </c>
      <c r="L23" s="1098">
        <v>0</v>
      </c>
      <c r="M23" s="1098">
        <v>0</v>
      </c>
      <c r="N23" s="1098">
        <v>28.169</v>
      </c>
      <c r="O23" s="1098">
        <v>100</v>
      </c>
    </row>
    <row r="24" spans="1:15">
      <c r="A24" s="1097" t="str">
        <f t="shared" si="0"/>
        <v>PUNTO 5: CONCENTRADO CLNR SCV TURNO_NOCHE 01-09-25</v>
      </c>
      <c r="B24" s="1079" t="s">
        <v>231</v>
      </c>
      <c r="C24" s="1074" t="s">
        <v>1100</v>
      </c>
      <c r="D24" s="1074" t="s">
        <v>994</v>
      </c>
      <c r="E24" s="1098">
        <v>0.84389999999999998</v>
      </c>
      <c r="F24" s="1098">
        <v>2.9535999999999998</v>
      </c>
      <c r="G24" s="1098">
        <v>0</v>
      </c>
      <c r="H24" s="1098">
        <v>0</v>
      </c>
      <c r="I24" s="1098">
        <v>0</v>
      </c>
      <c r="J24" s="1098">
        <v>8.4388000000000005</v>
      </c>
      <c r="K24" s="1098">
        <v>6.3291000000000004</v>
      </c>
      <c r="L24" s="1098">
        <v>17.721499999999999</v>
      </c>
      <c r="M24" s="1098">
        <v>18.1435</v>
      </c>
      <c r="N24" s="1098">
        <v>45.569600000000001</v>
      </c>
      <c r="O24" s="1098">
        <v>100</v>
      </c>
    </row>
    <row r="25" spans="1:15">
      <c r="A25" s="1097" t="str">
        <f t="shared" si="0"/>
        <v>PUNTO 8: RELAVE SCAVENGER TURNO_NOCHE 01-09-25</v>
      </c>
      <c r="B25" s="1079" t="s">
        <v>231</v>
      </c>
      <c r="C25" s="1074" t="s">
        <v>1032</v>
      </c>
      <c r="D25" s="1074" t="s">
        <v>1130</v>
      </c>
      <c r="E25" s="1098">
        <v>4.4728000000000003</v>
      </c>
      <c r="F25" s="1098">
        <v>24.281199999999998</v>
      </c>
      <c r="G25" s="1098">
        <v>4.1534000000000004</v>
      </c>
      <c r="H25" s="1098">
        <v>0</v>
      </c>
      <c r="I25" s="1098">
        <v>0</v>
      </c>
      <c r="J25" s="1098">
        <v>50.159700000000001</v>
      </c>
      <c r="K25" s="1098">
        <v>0</v>
      </c>
      <c r="L25" s="1098">
        <v>0</v>
      </c>
      <c r="M25" s="1098">
        <v>2.8754</v>
      </c>
      <c r="N25" s="1098">
        <v>14.057499999999999</v>
      </c>
      <c r="O25" s="1098">
        <v>100</v>
      </c>
    </row>
    <row r="26" spans="1:15">
      <c r="A26" s="1097" t="str">
        <f t="shared" si="0"/>
        <v>PUNTO 1: ALIMENTACION 1° CLEANER TURNO_DIA 22-09-25</v>
      </c>
      <c r="B26" s="1079" t="s">
        <v>231</v>
      </c>
      <c r="C26" s="1074" t="s">
        <v>1027</v>
      </c>
      <c r="D26" s="1074" t="s">
        <v>1131</v>
      </c>
      <c r="E26" s="1098">
        <v>14.6341</v>
      </c>
      <c r="F26" s="1098">
        <v>12.1951</v>
      </c>
      <c r="G26" s="1098">
        <v>53.658499999999997</v>
      </c>
      <c r="H26" s="1098">
        <v>0</v>
      </c>
      <c r="I26" s="1098">
        <v>0</v>
      </c>
      <c r="J26" s="1098">
        <v>0</v>
      </c>
      <c r="K26" s="1098">
        <v>0</v>
      </c>
      <c r="L26" s="1098">
        <v>17.0732</v>
      </c>
      <c r="M26" s="1098">
        <v>0</v>
      </c>
      <c r="N26" s="1098">
        <v>2.4390000000000001</v>
      </c>
      <c r="O26" s="1098">
        <v>100</v>
      </c>
    </row>
    <row r="27" spans="1:15">
      <c r="A27" s="1097" t="str">
        <f t="shared" si="0"/>
        <v>PUNTO 2: CONCENTRADO 1° CLEANER TURNO_DIA 22-09-25</v>
      </c>
      <c r="B27" s="1079" t="s">
        <v>231</v>
      </c>
      <c r="C27" s="1074" t="s">
        <v>1027</v>
      </c>
      <c r="D27" s="1074" t="s">
        <v>994</v>
      </c>
      <c r="E27" s="1098">
        <v>3.2258</v>
      </c>
      <c r="F27" s="1098">
        <v>2.2176999999999998</v>
      </c>
      <c r="G27" s="1098">
        <v>3.2258</v>
      </c>
      <c r="H27" s="1098">
        <v>1.0081</v>
      </c>
      <c r="I27" s="1098">
        <v>1.6129</v>
      </c>
      <c r="J27" s="1098">
        <v>11.491899999999999</v>
      </c>
      <c r="K27" s="1098">
        <v>1.0081</v>
      </c>
      <c r="L27" s="1098">
        <v>4.6371000000000002</v>
      </c>
      <c r="M27" s="1098">
        <v>4.0323000000000002</v>
      </c>
      <c r="N27" s="1098">
        <v>67.540300000000002</v>
      </c>
      <c r="O27" s="1098">
        <v>100</v>
      </c>
    </row>
    <row r="28" spans="1:15">
      <c r="A28" s="1097" t="str">
        <f t="shared" si="0"/>
        <v>PUNTO 1: ALIMENTACION 1° CLEANER TURNO_NOCHE 01-09-25</v>
      </c>
      <c r="B28" s="1079" t="s">
        <v>222</v>
      </c>
      <c r="C28" s="1074" t="s">
        <v>1027</v>
      </c>
      <c r="D28" s="1074" t="s">
        <v>1130</v>
      </c>
      <c r="E28" s="1098">
        <v>2.9043000000000001</v>
      </c>
      <c r="F28" s="1098">
        <v>0.61439999999999995</v>
      </c>
      <c r="G28" s="1098">
        <v>3.3635000000000002</v>
      </c>
      <c r="H28" s="1098">
        <v>2.8483999999999998</v>
      </c>
      <c r="I28" s="1098">
        <v>1.8599999999999998E-2</v>
      </c>
      <c r="J28" s="1098">
        <v>0.24199999999999999</v>
      </c>
      <c r="K28" s="1098">
        <v>1.2162999999999999</v>
      </c>
      <c r="L28" s="1098">
        <v>5.2805999999999997</v>
      </c>
      <c r="M28" s="1098">
        <v>6.2911999999999999</v>
      </c>
      <c r="N28" s="1098">
        <v>77.220600000000005</v>
      </c>
      <c r="O28" s="1098">
        <v>100</v>
      </c>
    </row>
    <row r="29" spans="1:15">
      <c r="A29" s="1097" t="str">
        <f t="shared" si="0"/>
        <v>PUNTO 2: CONCENTRADO 1° CLEANER TURNO_NOCHE 01-09-25</v>
      </c>
      <c r="B29" s="1079" t="s">
        <v>222</v>
      </c>
      <c r="C29" s="1074" t="s">
        <v>1027</v>
      </c>
      <c r="D29" s="1074" t="s">
        <v>1131</v>
      </c>
      <c r="E29" s="1098">
        <v>14.582700000000001</v>
      </c>
      <c r="F29" s="1098">
        <v>5.4589999999999996</v>
      </c>
      <c r="G29" s="1098">
        <v>32.678400000000003</v>
      </c>
      <c r="H29" s="1098">
        <v>2.1735000000000002</v>
      </c>
      <c r="I29" s="1098">
        <v>1.3142</v>
      </c>
      <c r="J29" s="1098">
        <v>2.1482000000000001</v>
      </c>
      <c r="K29" s="1098">
        <v>1.1373</v>
      </c>
      <c r="L29" s="1098">
        <v>2.2999000000000001</v>
      </c>
      <c r="M29" s="1098">
        <v>0.98570000000000002</v>
      </c>
      <c r="N29" s="1098">
        <v>37.2211</v>
      </c>
      <c r="O29" s="1098">
        <v>100</v>
      </c>
    </row>
    <row r="30" spans="1:15">
      <c r="A30" s="1097" t="str">
        <f t="shared" si="0"/>
        <v>PUNTO 5: CONCENTRADO CLNR SCV TURNO_NOCHE 01-09-25</v>
      </c>
      <c r="B30" s="1079" t="s">
        <v>222</v>
      </c>
      <c r="C30" s="1074" t="s">
        <v>1100</v>
      </c>
      <c r="D30" s="1074" t="s">
        <v>994</v>
      </c>
      <c r="E30" s="1098">
        <v>6.08E-2</v>
      </c>
      <c r="F30" s="1098">
        <v>0.94179999999999997</v>
      </c>
      <c r="G30" s="1098">
        <v>0.39500000000000002</v>
      </c>
      <c r="H30" s="1098">
        <v>0.34870000000000001</v>
      </c>
      <c r="I30" s="1098">
        <v>0.84309999999999996</v>
      </c>
      <c r="J30" s="1098">
        <v>0.28860000000000002</v>
      </c>
      <c r="K30" s="1098">
        <v>0.69120000000000004</v>
      </c>
      <c r="L30" s="1098">
        <v>4.6256000000000004</v>
      </c>
      <c r="M30" s="1098">
        <v>8.6959999999999997</v>
      </c>
      <c r="N30" s="1098">
        <v>83.109300000000005</v>
      </c>
      <c r="O30" s="1098">
        <v>100</v>
      </c>
    </row>
    <row r="31" spans="1:15">
      <c r="A31" s="1097" t="str">
        <f t="shared" si="0"/>
        <v>PUNTO 8: RELAVE SCAVENGER TURNO_NOCHE 01-09-25</v>
      </c>
      <c r="B31" s="1079" t="s">
        <v>222</v>
      </c>
      <c r="C31" s="1074" t="s">
        <v>1032</v>
      </c>
      <c r="D31" s="1074" t="s">
        <v>1130</v>
      </c>
      <c r="E31" s="1098">
        <v>1.2123999999999999</v>
      </c>
      <c r="F31" s="1098">
        <v>5.6623000000000001</v>
      </c>
      <c r="G31" s="1098">
        <v>0.85170000000000001</v>
      </c>
      <c r="H31" s="1098">
        <v>0.64459999999999995</v>
      </c>
      <c r="I31" s="1098">
        <v>1.4963</v>
      </c>
      <c r="J31" s="1098">
        <v>1.6728000000000001</v>
      </c>
      <c r="K31" s="1098">
        <v>3.5981000000000001</v>
      </c>
      <c r="L31" s="1098">
        <v>7.4661999999999997</v>
      </c>
      <c r="M31" s="1098">
        <v>2.8468</v>
      </c>
      <c r="N31" s="1098">
        <v>74.548900000000003</v>
      </c>
      <c r="O31" s="1098">
        <v>100</v>
      </c>
    </row>
    <row r="32" spans="1:15">
      <c r="A32" s="1097" t="str">
        <f t="shared" si="0"/>
        <v>PUNTO 1: ALIMENTACION 1° CLEANER TURNO_DIA 22-09-25</v>
      </c>
      <c r="B32" s="1079" t="s">
        <v>222</v>
      </c>
      <c r="C32" s="1074" t="s">
        <v>1027</v>
      </c>
      <c r="D32" s="1074" t="s">
        <v>1131</v>
      </c>
      <c r="E32" s="1098">
        <v>4.2023000000000001</v>
      </c>
      <c r="F32" s="1098">
        <v>5.0209999999999999</v>
      </c>
      <c r="G32" s="1098">
        <v>1.4224000000000001</v>
      </c>
      <c r="H32" s="1098">
        <v>2.5291999999999999</v>
      </c>
      <c r="I32" s="1098">
        <v>0</v>
      </c>
      <c r="J32" s="1098">
        <v>0.1176</v>
      </c>
      <c r="K32" s="1098">
        <v>4.5397999999999996</v>
      </c>
      <c r="L32" s="1098">
        <v>4.8315999999999999</v>
      </c>
      <c r="M32" s="1098">
        <v>4.4688999999999997</v>
      </c>
      <c r="N32" s="1098">
        <v>72.867199999999997</v>
      </c>
      <c r="O32" s="1098">
        <v>100</v>
      </c>
    </row>
    <row r="33" spans="1:15">
      <c r="A33" s="1097" t="str">
        <f t="shared" si="0"/>
        <v>PUNTO 2: CONCENTRADO 1° CLEANER TURNO_DIA 22-09-25</v>
      </c>
      <c r="B33" s="1079" t="s">
        <v>222</v>
      </c>
      <c r="C33" s="1074" t="s">
        <v>1027</v>
      </c>
      <c r="D33" s="1074" t="s">
        <v>994</v>
      </c>
      <c r="E33" s="1098">
        <v>0.10390000000000001</v>
      </c>
      <c r="F33" s="1098">
        <v>0.2467</v>
      </c>
      <c r="G33" s="1098">
        <v>0.68820000000000003</v>
      </c>
      <c r="H33" s="1098">
        <v>9.0899999999999995E-2</v>
      </c>
      <c r="I33" s="1098">
        <v>2.6358000000000001</v>
      </c>
      <c r="J33" s="1098">
        <v>2.1812999999999998</v>
      </c>
      <c r="K33" s="1098">
        <v>1.1816</v>
      </c>
      <c r="L33" s="1098">
        <v>5.1677</v>
      </c>
      <c r="M33" s="1098">
        <v>8.6062999999999992</v>
      </c>
      <c r="N33" s="1098">
        <v>79.0976</v>
      </c>
      <c r="O33" s="1098">
        <v>100</v>
      </c>
    </row>
    <row r="34" spans="1:15">
      <c r="A34" s="1097" t="str">
        <f t="shared" si="0"/>
        <v>PUNTO 1: ALIMENTACION 1° CLEANER TURNO_NOCHE 01-09-25</v>
      </c>
      <c r="B34" s="1079" t="s">
        <v>3</v>
      </c>
      <c r="C34" s="1074" t="s">
        <v>1027</v>
      </c>
      <c r="D34" s="1074" t="s">
        <v>1130</v>
      </c>
      <c r="E34" s="1098">
        <v>100</v>
      </c>
      <c r="F34" s="1098">
        <v>0</v>
      </c>
      <c r="G34" s="1098">
        <v>0</v>
      </c>
      <c r="H34" s="1098">
        <v>0</v>
      </c>
      <c r="I34" s="1098">
        <v>0</v>
      </c>
      <c r="J34" s="1098">
        <v>0</v>
      </c>
      <c r="K34" s="1098">
        <v>0</v>
      </c>
      <c r="L34" s="1098">
        <v>0</v>
      </c>
      <c r="M34" s="1098">
        <v>0</v>
      </c>
      <c r="N34" s="1098">
        <v>0</v>
      </c>
      <c r="O34" s="1098">
        <v>100</v>
      </c>
    </row>
    <row r="35" spans="1:15">
      <c r="A35" s="1097" t="str">
        <f t="shared" si="0"/>
        <v>PUNTO 2: CONCENTRADO 1° CLEANER TURNO_NOCHE 01-09-25</v>
      </c>
      <c r="B35" s="1079" t="s">
        <v>3</v>
      </c>
      <c r="C35" s="1074" t="s">
        <v>1027</v>
      </c>
      <c r="D35" s="1074" t="s">
        <v>1131</v>
      </c>
      <c r="E35" s="1098">
        <v>19.634699999999999</v>
      </c>
      <c r="F35" s="1098">
        <v>0</v>
      </c>
      <c r="G35" s="1098">
        <v>0</v>
      </c>
      <c r="H35" s="1098">
        <v>80.365300000000005</v>
      </c>
      <c r="I35" s="1098">
        <v>0</v>
      </c>
      <c r="J35" s="1098">
        <v>0</v>
      </c>
      <c r="K35" s="1098">
        <v>0</v>
      </c>
      <c r="L35" s="1098">
        <v>0</v>
      </c>
      <c r="M35" s="1098">
        <v>0</v>
      </c>
      <c r="N35" s="1098">
        <v>0</v>
      </c>
      <c r="O35" s="1098">
        <v>100</v>
      </c>
    </row>
    <row r="36" spans="1:15">
      <c r="A36" s="1097" t="str">
        <f t="shared" si="0"/>
        <v>PUNTO 5: CONCENTRADO CLNR SCV TURNO_NOCHE 01-09-25</v>
      </c>
      <c r="B36" s="1079" t="s">
        <v>3</v>
      </c>
      <c r="C36" s="1074" t="s">
        <v>1100</v>
      </c>
      <c r="D36" s="1074" t="s">
        <v>994</v>
      </c>
      <c r="E36" s="1098">
        <v>0</v>
      </c>
      <c r="F36" s="1098">
        <v>0</v>
      </c>
      <c r="G36" s="1098">
        <v>0</v>
      </c>
      <c r="H36" s="1098">
        <v>0</v>
      </c>
      <c r="I36" s="1098">
        <v>0</v>
      </c>
      <c r="J36" s="1098">
        <v>0</v>
      </c>
      <c r="K36" s="1098">
        <v>0</v>
      </c>
      <c r="L36" s="1098">
        <v>0</v>
      </c>
      <c r="M36" s="1098">
        <v>0</v>
      </c>
      <c r="N36" s="1098">
        <v>100</v>
      </c>
      <c r="O36" s="1098">
        <v>100</v>
      </c>
    </row>
    <row r="37" spans="1:15">
      <c r="A37" s="1097" t="str">
        <f t="shared" si="0"/>
        <v>PUNTO 8: RELAVE SCAVENGER TURNO_NOCHE 01-09-25</v>
      </c>
      <c r="B37" s="1079" t="s">
        <v>3</v>
      </c>
      <c r="C37" s="1074" t="s">
        <v>1032</v>
      </c>
      <c r="D37" s="1074" t="s">
        <v>1130</v>
      </c>
      <c r="E37" s="1098">
        <v>38.8889</v>
      </c>
      <c r="F37" s="1098">
        <v>0</v>
      </c>
      <c r="G37" s="1098">
        <v>0</v>
      </c>
      <c r="H37" s="1098">
        <v>0</v>
      </c>
      <c r="I37" s="1098">
        <v>0</v>
      </c>
      <c r="J37" s="1098">
        <v>0</v>
      </c>
      <c r="K37" s="1098">
        <v>0</v>
      </c>
      <c r="L37" s="1098">
        <v>0</v>
      </c>
      <c r="M37" s="1098">
        <v>0</v>
      </c>
      <c r="N37" s="1098">
        <v>61.1111</v>
      </c>
      <c r="O37" s="1098">
        <v>100</v>
      </c>
    </row>
    <row r="38" spans="1:15">
      <c r="A38" s="1097" t="str">
        <f t="shared" si="0"/>
        <v>PUNTO 1: ALIMENTACION 1° CLEANER TURNO_DIA 22-09-25</v>
      </c>
      <c r="B38" s="1079" t="s">
        <v>3</v>
      </c>
      <c r="C38" s="1074" t="s">
        <v>1027</v>
      </c>
      <c r="D38" s="1074" t="s">
        <v>1131</v>
      </c>
      <c r="E38" s="1098">
        <v>70.700599999999994</v>
      </c>
      <c r="F38" s="1098">
        <v>29.299399999999999</v>
      </c>
      <c r="G38" s="1098">
        <v>0</v>
      </c>
      <c r="H38" s="1098">
        <v>0</v>
      </c>
      <c r="I38" s="1098">
        <v>0</v>
      </c>
      <c r="J38" s="1098">
        <v>0</v>
      </c>
      <c r="K38" s="1098">
        <v>0</v>
      </c>
      <c r="L38" s="1098">
        <v>0</v>
      </c>
      <c r="M38" s="1098">
        <v>0</v>
      </c>
      <c r="N38" s="1098">
        <v>0</v>
      </c>
      <c r="O38" s="1098">
        <v>100</v>
      </c>
    </row>
    <row r="39" spans="1:15">
      <c r="A39" s="1097" t="str">
        <f t="shared" si="0"/>
        <v>PUNTO 2: CONCENTRADO 1° CLEANER TURNO_DIA 22-09-25</v>
      </c>
      <c r="B39" s="1079" t="s">
        <v>3</v>
      </c>
      <c r="C39" s="1074" t="s">
        <v>1027</v>
      </c>
      <c r="D39" s="1074" t="s">
        <v>994</v>
      </c>
      <c r="E39" s="1098">
        <v>0</v>
      </c>
      <c r="F39" s="1098">
        <v>0</v>
      </c>
      <c r="G39" s="1098">
        <v>0</v>
      </c>
      <c r="H39" s="1098">
        <v>0</v>
      </c>
      <c r="I39" s="1098">
        <v>0</v>
      </c>
      <c r="J39" s="1098">
        <v>0</v>
      </c>
      <c r="K39" s="1098">
        <v>0</v>
      </c>
      <c r="L39" s="1098">
        <v>0</v>
      </c>
      <c r="M39" s="1098">
        <v>0</v>
      </c>
      <c r="N39" s="1098">
        <v>100</v>
      </c>
      <c r="O39" s="1098">
        <v>100</v>
      </c>
    </row>
    <row r="40" spans="1:15">
      <c r="B40" s="652"/>
      <c r="E40" s="652"/>
      <c r="F40" s="652"/>
      <c r="G40" s="652"/>
      <c r="H40" s="652"/>
      <c r="I40" s="652"/>
      <c r="J40" s="652"/>
      <c r="K40" s="652"/>
      <c r="L40" s="652"/>
      <c r="M40" s="652"/>
      <c r="N40" s="652"/>
    </row>
  </sheetData>
  <mergeCells count="2">
    <mergeCell ref="B1:B2"/>
    <mergeCell ref="E1:O2"/>
  </mergeCells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CF957-049B-421F-B788-26B99352E505}">
  <dimension ref="A1:AO145"/>
  <sheetViews>
    <sheetView workbookViewId="0"/>
  </sheetViews>
  <sheetFormatPr baseColWidth="10" defaultRowHeight="14.5"/>
  <sheetData>
    <row r="1" spans="1:41">
      <c r="A1" s="1099" t="s">
        <v>248</v>
      </c>
      <c r="B1" s="1097" t="s">
        <v>233</v>
      </c>
      <c r="C1" s="1097" t="s">
        <v>220</v>
      </c>
      <c r="D1" s="1097" t="s">
        <v>223</v>
      </c>
      <c r="E1" s="1097" t="s">
        <v>249</v>
      </c>
      <c r="F1" s="1097" t="s">
        <v>221</v>
      </c>
      <c r="G1" s="1097" t="s">
        <v>234</v>
      </c>
      <c r="H1" s="1097" t="s">
        <v>242</v>
      </c>
      <c r="I1" s="1097" t="s">
        <v>225</v>
      </c>
      <c r="J1" s="1097" t="s">
        <v>12</v>
      </c>
      <c r="K1" s="1097" t="s">
        <v>236</v>
      </c>
      <c r="L1" s="1097" t="s">
        <v>227</v>
      </c>
      <c r="M1" s="1097" t="s">
        <v>2</v>
      </c>
      <c r="N1" s="1097" t="s">
        <v>232</v>
      </c>
      <c r="O1" s="1097" t="s">
        <v>230</v>
      </c>
      <c r="P1" s="1097" t="s">
        <v>238</v>
      </c>
      <c r="Q1" s="1097" t="s">
        <v>226</v>
      </c>
      <c r="R1" s="1097" t="s">
        <v>3</v>
      </c>
      <c r="S1" s="1097" t="s">
        <v>235</v>
      </c>
      <c r="T1" s="1097" t="s">
        <v>250</v>
      </c>
      <c r="U1" s="1097" t="s">
        <v>228</v>
      </c>
      <c r="V1" s="1097" t="s">
        <v>224</v>
      </c>
      <c r="W1" s="1097" t="s">
        <v>219</v>
      </c>
      <c r="X1" s="1097" t="s">
        <v>229</v>
      </c>
      <c r="Y1" s="1097" t="s">
        <v>222</v>
      </c>
      <c r="Z1" s="1097" t="s">
        <v>1018</v>
      </c>
      <c r="AA1" s="1097" t="s">
        <v>231</v>
      </c>
      <c r="AC1" s="1099" t="s">
        <v>248</v>
      </c>
      <c r="AD1" s="1097" t="s">
        <v>232</v>
      </c>
      <c r="AE1" s="1097" t="s">
        <v>230</v>
      </c>
      <c r="AF1" s="1097" t="s">
        <v>224</v>
      </c>
      <c r="AG1" s="1097" t="s">
        <v>222</v>
      </c>
      <c r="AH1" s="1097" t="s">
        <v>231</v>
      </c>
      <c r="AJ1" s="1099" t="s">
        <v>248</v>
      </c>
      <c r="AK1" s="1097" t="s">
        <v>232</v>
      </c>
      <c r="AL1" s="1097" t="s">
        <v>230</v>
      </c>
      <c r="AM1" s="1097" t="s">
        <v>224</v>
      </c>
      <c r="AN1" s="1097" t="s">
        <v>222</v>
      </c>
      <c r="AO1" s="1097" t="s">
        <v>231</v>
      </c>
    </row>
    <row r="2" spans="1:41">
      <c r="A2" s="1100" t="s">
        <v>1124</v>
      </c>
      <c r="B2" s="1112"/>
      <c r="C2" s="1112"/>
      <c r="D2" s="1112"/>
      <c r="E2" s="1112"/>
      <c r="F2" s="1112"/>
      <c r="G2" s="1112"/>
      <c r="H2" s="1112"/>
      <c r="I2" s="1112"/>
      <c r="J2" s="1112"/>
      <c r="K2" s="1112"/>
      <c r="L2" s="1112"/>
      <c r="M2" s="1112"/>
      <c r="N2" s="1112"/>
      <c r="O2" s="1112"/>
      <c r="P2" s="1112"/>
      <c r="Q2" s="1112"/>
      <c r="R2" s="1112"/>
      <c r="S2" s="1112"/>
      <c r="T2" s="1112"/>
      <c r="U2" s="1112"/>
      <c r="V2" s="1112"/>
      <c r="W2" s="1112"/>
      <c r="X2" s="1112"/>
      <c r="Y2" s="1112"/>
      <c r="Z2" s="1112"/>
      <c r="AA2" s="1079"/>
      <c r="AC2" s="1100" t="s">
        <v>1124</v>
      </c>
      <c r="AD2" s="1112"/>
      <c r="AE2" s="1112"/>
      <c r="AF2" s="1112"/>
      <c r="AG2" s="1112"/>
      <c r="AH2" s="1079"/>
      <c r="AJ2" s="1113" t="s">
        <v>251</v>
      </c>
      <c r="AK2" s="1114">
        <v>29.5</v>
      </c>
      <c r="AL2" s="1114">
        <v>27.67</v>
      </c>
      <c r="AM2" s="1114">
        <v>26.37</v>
      </c>
      <c r="AN2" s="1114">
        <v>57.71</v>
      </c>
      <c r="AO2" s="1114">
        <v>21.9</v>
      </c>
    </row>
    <row r="3" spans="1:41">
      <c r="A3" s="1113" t="s">
        <v>251</v>
      </c>
      <c r="B3" s="1114">
        <v>16.850000000000001</v>
      </c>
      <c r="C3" s="1114">
        <v>27.3</v>
      </c>
      <c r="D3" s="1114">
        <v>16.600000000000001</v>
      </c>
      <c r="E3" s="1114">
        <v>70.59</v>
      </c>
      <c r="F3" s="1114">
        <v>16.75</v>
      </c>
      <c r="G3" s="1114">
        <v>17.39</v>
      </c>
      <c r="H3" s="1114">
        <v>0</v>
      </c>
      <c r="I3" s="1114">
        <v>25.42</v>
      </c>
      <c r="J3" s="1114">
        <v>0</v>
      </c>
      <c r="K3" s="1114">
        <v>32.46</v>
      </c>
      <c r="L3" s="1114">
        <v>13.5</v>
      </c>
      <c r="M3" s="1114">
        <v>11.13</v>
      </c>
      <c r="N3" s="1114">
        <v>29.5</v>
      </c>
      <c r="O3" s="1114">
        <v>27.67</v>
      </c>
      <c r="P3" s="1114">
        <v>30.9</v>
      </c>
      <c r="Q3" s="1114">
        <v>35.270000000000003</v>
      </c>
      <c r="R3" s="1114">
        <v>0</v>
      </c>
      <c r="S3" s="1114">
        <v>23.58</v>
      </c>
      <c r="T3" s="1114">
        <v>0</v>
      </c>
      <c r="U3" s="1114">
        <v>4.4400000000000004</v>
      </c>
      <c r="V3" s="1114">
        <v>26.37</v>
      </c>
      <c r="W3" s="1114">
        <v>26.96</v>
      </c>
      <c r="X3" s="1114">
        <v>26.32</v>
      </c>
      <c r="Y3" s="1114">
        <v>57.71</v>
      </c>
      <c r="Z3" s="1114">
        <v>9.68</v>
      </c>
      <c r="AA3" s="1114">
        <v>21.9</v>
      </c>
      <c r="AC3" s="1113" t="s">
        <v>251</v>
      </c>
      <c r="AD3" s="1114">
        <v>29.5</v>
      </c>
      <c r="AE3" s="1114">
        <v>27.67</v>
      </c>
      <c r="AF3" s="1114">
        <v>26.37</v>
      </c>
      <c r="AG3" s="1114">
        <v>57.71</v>
      </c>
      <c r="AH3" s="1114">
        <v>21.9</v>
      </c>
      <c r="AJ3" s="1113" t="s">
        <v>1116</v>
      </c>
      <c r="AK3" s="1114">
        <v>0</v>
      </c>
      <c r="AL3" s="1114">
        <v>4.3</v>
      </c>
      <c r="AM3" s="1114">
        <v>27.31</v>
      </c>
      <c r="AN3" s="1114">
        <v>26.05</v>
      </c>
      <c r="AO3" s="1114">
        <v>20.440000000000001</v>
      </c>
    </row>
    <row r="4" spans="1:41">
      <c r="A4" s="1113" t="s">
        <v>1116</v>
      </c>
      <c r="B4" s="1114">
        <v>25.81</v>
      </c>
      <c r="C4" s="1114">
        <v>44.66</v>
      </c>
      <c r="D4" s="1114">
        <v>27.27</v>
      </c>
      <c r="E4" s="1114">
        <v>0</v>
      </c>
      <c r="F4" s="1114">
        <v>13.93</v>
      </c>
      <c r="G4" s="1114">
        <v>4.21</v>
      </c>
      <c r="H4" s="1114">
        <v>0</v>
      </c>
      <c r="I4" s="1114">
        <v>20.09</v>
      </c>
      <c r="J4" s="1114">
        <v>0</v>
      </c>
      <c r="K4" s="1114">
        <v>11.08</v>
      </c>
      <c r="L4" s="1114">
        <v>8.0500000000000007</v>
      </c>
      <c r="M4" s="1114">
        <v>8.49</v>
      </c>
      <c r="N4" s="1114">
        <v>0</v>
      </c>
      <c r="O4" s="1114">
        <v>4.3</v>
      </c>
      <c r="P4" s="1114">
        <v>3.04</v>
      </c>
      <c r="Q4" s="1114">
        <v>3.92</v>
      </c>
      <c r="R4" s="1114">
        <v>0</v>
      </c>
      <c r="S4" s="1114">
        <v>0.78</v>
      </c>
      <c r="T4" s="1114">
        <v>0</v>
      </c>
      <c r="U4" s="1114">
        <v>9.92</v>
      </c>
      <c r="V4" s="1114">
        <v>27.31</v>
      </c>
      <c r="W4" s="1114">
        <v>52.86</v>
      </c>
      <c r="X4" s="1114">
        <v>19.34</v>
      </c>
      <c r="Y4" s="1114">
        <v>26.05</v>
      </c>
      <c r="Z4" s="1114">
        <v>0</v>
      </c>
      <c r="AA4" s="1114">
        <v>20.440000000000001</v>
      </c>
      <c r="AC4" s="1113" t="s">
        <v>1116</v>
      </c>
      <c r="AD4" s="1114">
        <v>0</v>
      </c>
      <c r="AE4" s="1114">
        <v>4.3</v>
      </c>
      <c r="AF4" s="1114">
        <v>27.31</v>
      </c>
      <c r="AG4" s="1114">
        <v>26.05</v>
      </c>
      <c r="AH4" s="1114">
        <v>20.440000000000001</v>
      </c>
      <c r="AJ4" s="1113" t="s">
        <v>253</v>
      </c>
      <c r="AK4" s="1114">
        <v>70.5</v>
      </c>
      <c r="AL4" s="1114">
        <v>68.03</v>
      </c>
      <c r="AM4" s="1114">
        <v>46.33</v>
      </c>
      <c r="AN4" s="1114">
        <v>16.239999999999998</v>
      </c>
      <c r="AO4" s="1114">
        <v>57.66</v>
      </c>
    </row>
    <row r="5" spans="1:41">
      <c r="A5" s="1115" t="s">
        <v>233</v>
      </c>
      <c r="B5" s="1112"/>
      <c r="C5" s="1112">
        <v>0.01</v>
      </c>
      <c r="D5" s="1112">
        <v>0</v>
      </c>
      <c r="E5" s="1112">
        <v>0</v>
      </c>
      <c r="F5" s="1112">
        <v>0</v>
      </c>
      <c r="G5" s="1112">
        <v>0</v>
      </c>
      <c r="H5" s="1112">
        <v>0</v>
      </c>
      <c r="I5" s="1112">
        <v>0</v>
      </c>
      <c r="J5" s="1112">
        <v>0</v>
      </c>
      <c r="K5" s="1112">
        <v>0</v>
      </c>
      <c r="L5" s="1112">
        <v>0</v>
      </c>
      <c r="M5" s="1112">
        <v>0</v>
      </c>
      <c r="N5" s="1112">
        <v>0</v>
      </c>
      <c r="O5" s="1112">
        <v>0</v>
      </c>
      <c r="P5" s="1112">
        <v>0</v>
      </c>
      <c r="Q5" s="1112">
        <v>0</v>
      </c>
      <c r="R5" s="1112">
        <v>0</v>
      </c>
      <c r="S5" s="1112">
        <v>0</v>
      </c>
      <c r="T5" s="1112">
        <v>0</v>
      </c>
      <c r="U5" s="1112">
        <v>0</v>
      </c>
      <c r="V5" s="1112">
        <v>0</v>
      </c>
      <c r="W5" s="1112">
        <v>0.03</v>
      </c>
      <c r="X5" s="1112">
        <v>0</v>
      </c>
      <c r="Y5" s="1112">
        <v>0</v>
      </c>
      <c r="Z5" s="1112">
        <v>0</v>
      </c>
      <c r="AA5" s="1079">
        <v>0</v>
      </c>
      <c r="AC5" s="1115" t="s">
        <v>233</v>
      </c>
      <c r="AD5" s="1112">
        <v>0</v>
      </c>
      <c r="AE5" s="1112">
        <v>0</v>
      </c>
      <c r="AF5" s="1112">
        <v>0</v>
      </c>
      <c r="AG5" s="1112">
        <v>0</v>
      </c>
      <c r="AH5" s="1079">
        <v>0</v>
      </c>
    </row>
    <row r="6" spans="1:41">
      <c r="A6" s="1115" t="s">
        <v>220</v>
      </c>
      <c r="B6" s="1112">
        <v>19.350000000000001</v>
      </c>
      <c r="C6" s="1112"/>
      <c r="D6" s="1112">
        <v>21.74</v>
      </c>
      <c r="E6" s="1112">
        <v>0</v>
      </c>
      <c r="F6" s="1112">
        <v>10.64</v>
      </c>
      <c r="G6" s="1112">
        <v>0</v>
      </c>
      <c r="H6" s="1112">
        <v>0</v>
      </c>
      <c r="I6" s="1112">
        <v>0.8</v>
      </c>
      <c r="J6" s="1112">
        <v>0</v>
      </c>
      <c r="K6" s="1112">
        <v>0</v>
      </c>
      <c r="L6" s="1112">
        <v>2.5099999999999998</v>
      </c>
      <c r="M6" s="1112">
        <v>2.99</v>
      </c>
      <c r="N6" s="1112">
        <v>0</v>
      </c>
      <c r="O6" s="1112">
        <v>2.23</v>
      </c>
      <c r="P6" s="1112">
        <v>1.52</v>
      </c>
      <c r="Q6" s="1112">
        <v>0.39</v>
      </c>
      <c r="R6" s="1112">
        <v>0</v>
      </c>
      <c r="S6" s="1112">
        <v>0</v>
      </c>
      <c r="T6" s="1112">
        <v>0</v>
      </c>
      <c r="U6" s="1112">
        <v>1.57</v>
      </c>
      <c r="V6" s="1112">
        <v>17.45</v>
      </c>
      <c r="W6" s="1112">
        <v>51.53</v>
      </c>
      <c r="X6" s="1112">
        <v>13.1</v>
      </c>
      <c r="Y6" s="1112">
        <v>17.72</v>
      </c>
      <c r="Z6" s="1112">
        <v>0</v>
      </c>
      <c r="AA6" s="1079">
        <v>3.65</v>
      </c>
      <c r="AC6" s="1115" t="s">
        <v>220</v>
      </c>
      <c r="AD6" s="1112">
        <v>0</v>
      </c>
      <c r="AE6" s="1112">
        <v>2.23</v>
      </c>
      <c r="AF6" s="1112">
        <v>17.45</v>
      </c>
      <c r="AG6" s="1112">
        <v>17.72</v>
      </c>
      <c r="AH6" s="1079">
        <v>3.65</v>
      </c>
      <c r="AJ6" s="1103" t="s">
        <v>220</v>
      </c>
      <c r="AK6" s="1079">
        <v>7.84</v>
      </c>
      <c r="AL6" s="1079">
        <v>4.2300000000000004</v>
      </c>
      <c r="AM6" s="1079">
        <v>10.33</v>
      </c>
      <c r="AN6" s="1079">
        <v>8.56</v>
      </c>
      <c r="AO6" s="1079">
        <v>8.77</v>
      </c>
    </row>
    <row r="7" spans="1:41">
      <c r="A7" s="1115" t="s">
        <v>223</v>
      </c>
      <c r="B7" s="1112">
        <v>0</v>
      </c>
      <c r="C7" s="1112">
        <v>1.85</v>
      </c>
      <c r="D7" s="1112"/>
      <c r="E7" s="1112">
        <v>0</v>
      </c>
      <c r="F7" s="1112">
        <v>0.26</v>
      </c>
      <c r="G7" s="1112">
        <v>0</v>
      </c>
      <c r="H7" s="1112">
        <v>0</v>
      </c>
      <c r="I7" s="1112">
        <v>0</v>
      </c>
      <c r="J7" s="1112">
        <v>0</v>
      </c>
      <c r="K7" s="1112">
        <v>0</v>
      </c>
      <c r="L7" s="1112">
        <v>0</v>
      </c>
      <c r="M7" s="1112">
        <v>0.25</v>
      </c>
      <c r="N7" s="1112">
        <v>0</v>
      </c>
      <c r="O7" s="1112">
        <v>0</v>
      </c>
      <c r="P7" s="1112">
        <v>0</v>
      </c>
      <c r="Q7" s="1112">
        <v>0.22</v>
      </c>
      <c r="R7" s="1112">
        <v>0</v>
      </c>
      <c r="S7" s="1112">
        <v>0</v>
      </c>
      <c r="T7" s="1112">
        <v>0</v>
      </c>
      <c r="U7" s="1112">
        <v>0</v>
      </c>
      <c r="V7" s="1112">
        <v>0</v>
      </c>
      <c r="W7" s="1112">
        <v>0.08</v>
      </c>
      <c r="X7" s="1112">
        <v>3.92</v>
      </c>
      <c r="Y7" s="1112">
        <v>0</v>
      </c>
      <c r="Z7" s="1112">
        <v>0</v>
      </c>
      <c r="AA7" s="1079">
        <v>0</v>
      </c>
      <c r="AC7" s="1115" t="s">
        <v>223</v>
      </c>
      <c r="AD7" s="1112">
        <v>0</v>
      </c>
      <c r="AE7" s="1112">
        <v>0</v>
      </c>
      <c r="AF7" s="1112">
        <v>0</v>
      </c>
      <c r="AG7" s="1112">
        <v>0</v>
      </c>
      <c r="AH7" s="1079">
        <v>0</v>
      </c>
      <c r="AJ7" s="1103" t="s">
        <v>219</v>
      </c>
      <c r="AK7" s="1079">
        <v>0</v>
      </c>
      <c r="AL7" s="1079">
        <v>5.71</v>
      </c>
      <c r="AM7" s="1079">
        <v>3.27</v>
      </c>
      <c r="AN7" s="1079">
        <v>0.98</v>
      </c>
      <c r="AO7" s="1079">
        <v>0</v>
      </c>
    </row>
    <row r="8" spans="1:41">
      <c r="A8" s="1115" t="s">
        <v>221</v>
      </c>
      <c r="B8" s="1112">
        <v>0</v>
      </c>
      <c r="C8" s="1112">
        <v>1.01</v>
      </c>
      <c r="D8" s="1112">
        <v>0.16</v>
      </c>
      <c r="E8" s="1112">
        <v>0</v>
      </c>
      <c r="F8" s="1112"/>
      <c r="G8" s="1112">
        <v>0</v>
      </c>
      <c r="H8" s="1112">
        <v>0</v>
      </c>
      <c r="I8" s="1112">
        <v>0</v>
      </c>
      <c r="J8" s="1112">
        <v>0</v>
      </c>
      <c r="K8" s="1112">
        <v>0</v>
      </c>
      <c r="L8" s="1112">
        <v>0</v>
      </c>
      <c r="M8" s="1112">
        <v>1.1599999999999999</v>
      </c>
      <c r="N8" s="1112">
        <v>0</v>
      </c>
      <c r="O8" s="1112">
        <v>0</v>
      </c>
      <c r="P8" s="1112">
        <v>0</v>
      </c>
      <c r="Q8" s="1112">
        <v>0</v>
      </c>
      <c r="R8" s="1112">
        <v>0</v>
      </c>
      <c r="S8" s="1112">
        <v>0</v>
      </c>
      <c r="T8" s="1112">
        <v>0</v>
      </c>
      <c r="U8" s="1112">
        <v>0</v>
      </c>
      <c r="V8" s="1112">
        <v>0.3</v>
      </c>
      <c r="W8" s="1112">
        <v>0.19</v>
      </c>
      <c r="X8" s="1112">
        <v>0.61</v>
      </c>
      <c r="Y8" s="1112">
        <v>0.01</v>
      </c>
      <c r="Z8" s="1112">
        <v>0</v>
      </c>
      <c r="AA8" s="1079">
        <v>0</v>
      </c>
      <c r="AC8" s="1115" t="s">
        <v>221</v>
      </c>
      <c r="AD8" s="1112">
        <v>0</v>
      </c>
      <c r="AE8" s="1112">
        <v>0</v>
      </c>
      <c r="AF8" s="1112">
        <v>0.3</v>
      </c>
      <c r="AG8" s="1112">
        <v>0.01</v>
      </c>
      <c r="AH8" s="1079">
        <v>0</v>
      </c>
      <c r="AJ8" s="1103" t="s">
        <v>230</v>
      </c>
      <c r="AK8" s="1079">
        <v>0.65</v>
      </c>
      <c r="AL8" s="1079"/>
      <c r="AM8" s="1079">
        <v>0</v>
      </c>
      <c r="AN8" s="1079">
        <v>0</v>
      </c>
      <c r="AO8" s="1079">
        <v>12.09</v>
      </c>
    </row>
    <row r="9" spans="1:41">
      <c r="A9" s="1115" t="s">
        <v>234</v>
      </c>
      <c r="B9" s="1112">
        <v>0</v>
      </c>
      <c r="C9" s="1112">
        <v>0</v>
      </c>
      <c r="D9" s="1112">
        <v>0</v>
      </c>
      <c r="E9" s="1112">
        <v>0</v>
      </c>
      <c r="F9" s="1112">
        <v>0</v>
      </c>
      <c r="G9" s="1112"/>
      <c r="H9" s="1112">
        <v>0</v>
      </c>
      <c r="I9" s="1112">
        <v>0</v>
      </c>
      <c r="J9" s="1112">
        <v>0</v>
      </c>
      <c r="K9" s="1112">
        <v>0</v>
      </c>
      <c r="L9" s="1112">
        <v>0</v>
      </c>
      <c r="M9" s="1112">
        <v>0</v>
      </c>
      <c r="N9" s="1112">
        <v>0</v>
      </c>
      <c r="O9" s="1112">
        <v>0</v>
      </c>
      <c r="P9" s="1112">
        <v>0</v>
      </c>
      <c r="Q9" s="1112">
        <v>0</v>
      </c>
      <c r="R9" s="1112">
        <v>0</v>
      </c>
      <c r="S9" s="1112">
        <v>0</v>
      </c>
      <c r="T9" s="1112">
        <v>0</v>
      </c>
      <c r="U9" s="1112">
        <v>0</v>
      </c>
      <c r="V9" s="1112">
        <v>0</v>
      </c>
      <c r="W9" s="1112">
        <v>0.01</v>
      </c>
      <c r="X9" s="1112">
        <v>0</v>
      </c>
      <c r="Y9" s="1112">
        <v>0</v>
      </c>
      <c r="Z9" s="1112">
        <v>0</v>
      </c>
      <c r="AA9" s="1079">
        <v>0</v>
      </c>
      <c r="AC9" s="1115" t="s">
        <v>234</v>
      </c>
      <c r="AD9" s="1112">
        <v>0</v>
      </c>
      <c r="AE9" s="1112">
        <v>0</v>
      </c>
      <c r="AF9" s="1112">
        <v>0</v>
      </c>
      <c r="AG9" s="1112">
        <v>0</v>
      </c>
      <c r="AH9" s="1079">
        <v>0</v>
      </c>
      <c r="AJ9" s="1103" t="s">
        <v>224</v>
      </c>
      <c r="AK9" s="1079">
        <v>2.83</v>
      </c>
      <c r="AL9" s="1079">
        <v>0</v>
      </c>
      <c r="AM9" s="1079"/>
      <c r="AN9" s="1079">
        <v>10.77</v>
      </c>
      <c r="AO9" s="1079">
        <v>2.13</v>
      </c>
    </row>
    <row r="10" spans="1:41">
      <c r="A10" s="1115" t="s">
        <v>225</v>
      </c>
      <c r="B10" s="1112">
        <v>0</v>
      </c>
      <c r="C10" s="1112">
        <v>0.01</v>
      </c>
      <c r="D10" s="1112">
        <v>0</v>
      </c>
      <c r="E10" s="1112">
        <v>0</v>
      </c>
      <c r="F10" s="1112">
        <v>0</v>
      </c>
      <c r="G10" s="1112">
        <v>0</v>
      </c>
      <c r="H10" s="1112">
        <v>0</v>
      </c>
      <c r="I10" s="1112"/>
      <c r="J10" s="1112">
        <v>0</v>
      </c>
      <c r="K10" s="1112">
        <v>0</v>
      </c>
      <c r="L10" s="1112">
        <v>0</v>
      </c>
      <c r="M10" s="1112">
        <v>0.81</v>
      </c>
      <c r="N10" s="1112">
        <v>0</v>
      </c>
      <c r="O10" s="1112">
        <v>0</v>
      </c>
      <c r="P10" s="1112">
        <v>0</v>
      </c>
      <c r="Q10" s="1112">
        <v>0</v>
      </c>
      <c r="R10" s="1112">
        <v>0</v>
      </c>
      <c r="S10" s="1112">
        <v>0</v>
      </c>
      <c r="T10" s="1112">
        <v>0</v>
      </c>
      <c r="U10" s="1112">
        <v>2.87</v>
      </c>
      <c r="V10" s="1112">
        <v>0</v>
      </c>
      <c r="W10" s="1112">
        <v>0</v>
      </c>
      <c r="X10" s="1112">
        <v>0</v>
      </c>
      <c r="Y10" s="1112">
        <v>0</v>
      </c>
      <c r="Z10" s="1112">
        <v>0</v>
      </c>
      <c r="AA10" s="1079">
        <v>0</v>
      </c>
      <c r="AC10" s="1115" t="s">
        <v>225</v>
      </c>
      <c r="AD10" s="1112">
        <v>0</v>
      </c>
      <c r="AE10" s="1112">
        <v>0</v>
      </c>
      <c r="AF10" s="1112">
        <v>0</v>
      </c>
      <c r="AG10" s="1112">
        <v>0</v>
      </c>
      <c r="AH10" s="1079">
        <v>0</v>
      </c>
      <c r="AJ10" s="1103" t="s">
        <v>231</v>
      </c>
      <c r="AK10" s="1079">
        <v>6.54</v>
      </c>
      <c r="AL10" s="1079">
        <v>1.1399999999999999</v>
      </c>
      <c r="AM10" s="1079">
        <v>0.4</v>
      </c>
      <c r="AN10" s="1079">
        <v>0</v>
      </c>
      <c r="AO10" s="1079"/>
    </row>
    <row r="11" spans="1:41">
      <c r="A11" s="1115" t="s">
        <v>236</v>
      </c>
      <c r="B11" s="1112">
        <v>0</v>
      </c>
      <c r="C11" s="1112">
        <v>0</v>
      </c>
      <c r="D11" s="1112">
        <v>0</v>
      </c>
      <c r="E11" s="1112">
        <v>0</v>
      </c>
      <c r="F11" s="1112">
        <v>0</v>
      </c>
      <c r="G11" s="1112">
        <v>0</v>
      </c>
      <c r="H11" s="1112">
        <v>0</v>
      </c>
      <c r="I11" s="1112">
        <v>0</v>
      </c>
      <c r="J11" s="1112">
        <v>0</v>
      </c>
      <c r="K11" s="1112"/>
      <c r="L11" s="1112">
        <v>0</v>
      </c>
      <c r="M11" s="1112">
        <v>0</v>
      </c>
      <c r="N11" s="1112">
        <v>0</v>
      </c>
      <c r="O11" s="1112">
        <v>0</v>
      </c>
      <c r="P11" s="1112">
        <v>0</v>
      </c>
      <c r="Q11" s="1112">
        <v>0</v>
      </c>
      <c r="R11" s="1112">
        <v>0</v>
      </c>
      <c r="S11" s="1112">
        <v>0</v>
      </c>
      <c r="T11" s="1112">
        <v>0</v>
      </c>
      <c r="U11" s="1112">
        <v>0</v>
      </c>
      <c r="V11" s="1112">
        <v>0</v>
      </c>
      <c r="W11" s="1112">
        <v>0.1</v>
      </c>
      <c r="X11" s="1112">
        <v>0</v>
      </c>
      <c r="Y11" s="1112">
        <v>0</v>
      </c>
      <c r="Z11" s="1112">
        <v>0</v>
      </c>
      <c r="AA11" s="1079">
        <v>0</v>
      </c>
      <c r="AC11" s="1115" t="s">
        <v>236</v>
      </c>
      <c r="AD11" s="1112">
        <v>0</v>
      </c>
      <c r="AE11" s="1112">
        <v>0</v>
      </c>
      <c r="AF11" s="1112">
        <v>0</v>
      </c>
      <c r="AG11" s="1112">
        <v>0</v>
      </c>
      <c r="AH11" s="1079">
        <v>0</v>
      </c>
    </row>
    <row r="12" spans="1:41">
      <c r="A12" s="1115" t="s">
        <v>227</v>
      </c>
      <c r="B12" s="1112">
        <v>0</v>
      </c>
      <c r="C12" s="1112">
        <v>0.05</v>
      </c>
      <c r="D12" s="1112">
        <v>0</v>
      </c>
      <c r="E12" s="1112">
        <v>0</v>
      </c>
      <c r="F12" s="1112">
        <v>0</v>
      </c>
      <c r="G12" s="1112">
        <v>0</v>
      </c>
      <c r="H12" s="1112">
        <v>0</v>
      </c>
      <c r="I12" s="1112">
        <v>0</v>
      </c>
      <c r="J12" s="1112">
        <v>0</v>
      </c>
      <c r="K12" s="1112">
        <v>0</v>
      </c>
      <c r="L12" s="1112"/>
      <c r="M12" s="1112">
        <v>0.78</v>
      </c>
      <c r="N12" s="1112">
        <v>0</v>
      </c>
      <c r="O12" s="1112">
        <v>0</v>
      </c>
      <c r="P12" s="1112">
        <v>0</v>
      </c>
      <c r="Q12" s="1112">
        <v>0</v>
      </c>
      <c r="R12" s="1112">
        <v>0</v>
      </c>
      <c r="S12" s="1112">
        <v>0</v>
      </c>
      <c r="T12" s="1112">
        <v>0</v>
      </c>
      <c r="U12" s="1112">
        <v>0</v>
      </c>
      <c r="V12" s="1112">
        <v>0.05</v>
      </c>
      <c r="W12" s="1112">
        <v>0.01</v>
      </c>
      <c r="X12" s="1112">
        <v>0</v>
      </c>
      <c r="Y12" s="1112">
        <v>0</v>
      </c>
      <c r="Z12" s="1112">
        <v>0</v>
      </c>
      <c r="AA12" s="1079">
        <v>0</v>
      </c>
      <c r="AC12" s="1115" t="s">
        <v>227</v>
      </c>
      <c r="AD12" s="1112">
        <v>0</v>
      </c>
      <c r="AE12" s="1112">
        <v>0</v>
      </c>
      <c r="AF12" s="1112">
        <v>0.05</v>
      </c>
      <c r="AG12" s="1112">
        <v>0</v>
      </c>
      <c r="AH12" s="1079">
        <v>0</v>
      </c>
    </row>
    <row r="13" spans="1:41">
      <c r="A13" s="1115" t="s">
        <v>2</v>
      </c>
      <c r="B13" s="1112">
        <v>0</v>
      </c>
      <c r="C13" s="1112">
        <v>0.46</v>
      </c>
      <c r="D13" s="1112">
        <v>2.15</v>
      </c>
      <c r="E13" s="1112">
        <v>0</v>
      </c>
      <c r="F13" s="1112">
        <v>1.2</v>
      </c>
      <c r="G13" s="1112">
        <v>0</v>
      </c>
      <c r="H13" s="1112">
        <v>0</v>
      </c>
      <c r="I13" s="1112">
        <v>4.21</v>
      </c>
      <c r="J13" s="1112">
        <v>0</v>
      </c>
      <c r="K13" s="1112">
        <v>0</v>
      </c>
      <c r="L13" s="1112">
        <v>4.1900000000000004</v>
      </c>
      <c r="M13" s="1112"/>
      <c r="N13" s="1112">
        <v>0</v>
      </c>
      <c r="O13" s="1112">
        <v>0</v>
      </c>
      <c r="P13" s="1112">
        <v>0</v>
      </c>
      <c r="Q13" s="1112">
        <v>0</v>
      </c>
      <c r="R13" s="1112">
        <v>0</v>
      </c>
      <c r="S13" s="1112">
        <v>0</v>
      </c>
      <c r="T13" s="1112">
        <v>0</v>
      </c>
      <c r="U13" s="1112">
        <v>5.48</v>
      </c>
      <c r="V13" s="1112">
        <v>0</v>
      </c>
      <c r="W13" s="1112">
        <v>0.21</v>
      </c>
      <c r="X13" s="1112">
        <v>0.37</v>
      </c>
      <c r="Y13" s="1112">
        <v>0.06</v>
      </c>
      <c r="Z13" s="1112">
        <v>0</v>
      </c>
      <c r="AA13" s="1079">
        <v>0</v>
      </c>
      <c r="AC13" s="1115" t="s">
        <v>2</v>
      </c>
      <c r="AD13" s="1112">
        <v>0</v>
      </c>
      <c r="AE13" s="1112">
        <v>0</v>
      </c>
      <c r="AF13" s="1112">
        <v>0</v>
      </c>
      <c r="AG13" s="1112">
        <v>0.06</v>
      </c>
      <c r="AH13" s="1079">
        <v>0</v>
      </c>
    </row>
    <row r="14" spans="1:41">
      <c r="A14" s="1115" t="s">
        <v>230</v>
      </c>
      <c r="B14" s="1112">
        <v>0</v>
      </c>
      <c r="C14" s="1112">
        <v>7.0000000000000007E-2</v>
      </c>
      <c r="D14" s="1112">
        <v>0</v>
      </c>
      <c r="E14" s="1112">
        <v>0</v>
      </c>
      <c r="F14" s="1112">
        <v>0</v>
      </c>
      <c r="G14" s="1112">
        <v>0</v>
      </c>
      <c r="H14" s="1112">
        <v>0</v>
      </c>
      <c r="I14" s="1112">
        <v>0</v>
      </c>
      <c r="J14" s="1112">
        <v>0</v>
      </c>
      <c r="K14" s="1112">
        <v>0</v>
      </c>
      <c r="L14" s="1112">
        <v>0</v>
      </c>
      <c r="M14" s="1112">
        <v>0</v>
      </c>
      <c r="N14" s="1112">
        <v>0</v>
      </c>
      <c r="O14" s="1112"/>
      <c r="P14" s="1112">
        <v>1.52</v>
      </c>
      <c r="Q14" s="1112">
        <v>0</v>
      </c>
      <c r="R14" s="1112">
        <v>0</v>
      </c>
      <c r="S14" s="1112">
        <v>0</v>
      </c>
      <c r="T14" s="1112">
        <v>0</v>
      </c>
      <c r="U14" s="1112">
        <v>0</v>
      </c>
      <c r="V14" s="1112">
        <v>0</v>
      </c>
      <c r="W14" s="1112">
        <v>0</v>
      </c>
      <c r="X14" s="1112">
        <v>0</v>
      </c>
      <c r="Y14" s="1112">
        <v>0</v>
      </c>
      <c r="Z14" s="1112">
        <v>0</v>
      </c>
      <c r="AA14" s="1079">
        <v>16.79</v>
      </c>
      <c r="AC14" s="1115" t="s">
        <v>230</v>
      </c>
      <c r="AD14" s="1112">
        <v>0</v>
      </c>
      <c r="AE14" s="1112"/>
      <c r="AF14" s="1112">
        <v>0</v>
      </c>
      <c r="AG14" s="1112">
        <v>0</v>
      </c>
      <c r="AH14" s="1079">
        <v>16.79</v>
      </c>
    </row>
    <row r="15" spans="1:41">
      <c r="A15" s="1115" t="s">
        <v>238</v>
      </c>
      <c r="B15" s="1112">
        <v>0</v>
      </c>
      <c r="C15" s="1112">
        <v>0</v>
      </c>
      <c r="D15" s="1112">
        <v>0</v>
      </c>
      <c r="E15" s="1112">
        <v>0</v>
      </c>
      <c r="F15" s="1112">
        <v>0</v>
      </c>
      <c r="G15" s="1112">
        <v>0</v>
      </c>
      <c r="H15" s="1112">
        <v>0</v>
      </c>
      <c r="I15" s="1112">
        <v>0</v>
      </c>
      <c r="J15" s="1112">
        <v>0</v>
      </c>
      <c r="K15" s="1112">
        <v>0</v>
      </c>
      <c r="L15" s="1112">
        <v>0</v>
      </c>
      <c r="M15" s="1112">
        <v>0</v>
      </c>
      <c r="N15" s="1112">
        <v>0</v>
      </c>
      <c r="O15" s="1112">
        <v>0.69</v>
      </c>
      <c r="P15" s="1112"/>
      <c r="Q15" s="1112">
        <v>0</v>
      </c>
      <c r="R15" s="1112">
        <v>0</v>
      </c>
      <c r="S15" s="1112">
        <v>0</v>
      </c>
      <c r="T15" s="1112">
        <v>0</v>
      </c>
      <c r="U15" s="1112">
        <v>0</v>
      </c>
      <c r="V15" s="1112">
        <v>0</v>
      </c>
      <c r="W15" s="1112">
        <v>0</v>
      </c>
      <c r="X15" s="1112">
        <v>0</v>
      </c>
      <c r="Y15" s="1112">
        <v>0</v>
      </c>
      <c r="Z15" s="1112">
        <v>0</v>
      </c>
      <c r="AA15" s="1079">
        <v>0</v>
      </c>
      <c r="AC15" s="1115" t="s">
        <v>238</v>
      </c>
      <c r="AD15" s="1112">
        <v>0</v>
      </c>
      <c r="AE15" s="1112">
        <v>0.69</v>
      </c>
      <c r="AF15" s="1112">
        <v>0</v>
      </c>
      <c r="AG15" s="1112">
        <v>0</v>
      </c>
      <c r="AH15" s="1079">
        <v>0</v>
      </c>
    </row>
    <row r="16" spans="1:41">
      <c r="A16" s="1115" t="s">
        <v>226</v>
      </c>
      <c r="B16" s="1112">
        <v>0</v>
      </c>
      <c r="C16" s="1112">
        <v>0</v>
      </c>
      <c r="D16" s="1112">
        <v>0.03</v>
      </c>
      <c r="E16" s="1112">
        <v>0</v>
      </c>
      <c r="F16" s="1112">
        <v>0</v>
      </c>
      <c r="G16" s="1112">
        <v>0</v>
      </c>
      <c r="H16" s="1112">
        <v>0</v>
      </c>
      <c r="I16" s="1112">
        <v>0</v>
      </c>
      <c r="J16" s="1112">
        <v>0</v>
      </c>
      <c r="K16" s="1112">
        <v>0</v>
      </c>
      <c r="L16" s="1112">
        <v>0</v>
      </c>
      <c r="M16" s="1112">
        <v>0</v>
      </c>
      <c r="N16" s="1112">
        <v>0</v>
      </c>
      <c r="O16" s="1112">
        <v>0</v>
      </c>
      <c r="P16" s="1112">
        <v>0</v>
      </c>
      <c r="Q16" s="1112"/>
      <c r="R16" s="1112">
        <v>0</v>
      </c>
      <c r="S16" s="1112">
        <v>0</v>
      </c>
      <c r="T16" s="1112">
        <v>0</v>
      </c>
      <c r="U16" s="1112">
        <v>0</v>
      </c>
      <c r="V16" s="1112">
        <v>0</v>
      </c>
      <c r="W16" s="1112">
        <v>0.12</v>
      </c>
      <c r="X16" s="1112">
        <v>0</v>
      </c>
      <c r="Y16" s="1112">
        <v>0</v>
      </c>
      <c r="Z16" s="1112">
        <v>0</v>
      </c>
      <c r="AA16" s="1079">
        <v>0</v>
      </c>
      <c r="AC16" s="1115" t="s">
        <v>226</v>
      </c>
      <c r="AD16" s="1112">
        <v>0</v>
      </c>
      <c r="AE16" s="1112">
        <v>0</v>
      </c>
      <c r="AF16" s="1112">
        <v>0</v>
      </c>
      <c r="AG16" s="1112">
        <v>0</v>
      </c>
      <c r="AH16" s="1079">
        <v>0</v>
      </c>
    </row>
    <row r="17" spans="1:41">
      <c r="A17" s="1115" t="s">
        <v>228</v>
      </c>
      <c r="B17" s="1112">
        <v>0</v>
      </c>
      <c r="C17" s="1112">
        <v>0</v>
      </c>
      <c r="D17" s="1112">
        <v>0</v>
      </c>
      <c r="E17" s="1112">
        <v>0</v>
      </c>
      <c r="F17" s="1112">
        <v>0</v>
      </c>
      <c r="G17" s="1112">
        <v>0</v>
      </c>
      <c r="H17" s="1112">
        <v>0</v>
      </c>
      <c r="I17" s="1112">
        <v>14.54</v>
      </c>
      <c r="J17" s="1112">
        <v>0</v>
      </c>
      <c r="K17" s="1112">
        <v>0</v>
      </c>
      <c r="L17" s="1112">
        <v>0</v>
      </c>
      <c r="M17" s="1112">
        <v>0.28999999999999998</v>
      </c>
      <c r="N17" s="1112">
        <v>0</v>
      </c>
      <c r="O17" s="1112">
        <v>0</v>
      </c>
      <c r="P17" s="1112">
        <v>0</v>
      </c>
      <c r="Q17" s="1112">
        <v>0</v>
      </c>
      <c r="R17" s="1112">
        <v>0</v>
      </c>
      <c r="S17" s="1112">
        <v>0</v>
      </c>
      <c r="T17" s="1112">
        <v>0</v>
      </c>
      <c r="U17" s="1112"/>
      <c r="V17" s="1112">
        <v>0</v>
      </c>
      <c r="W17" s="1112">
        <v>0</v>
      </c>
      <c r="X17" s="1112">
        <v>0</v>
      </c>
      <c r="Y17" s="1112">
        <v>0</v>
      </c>
      <c r="Z17" s="1112">
        <v>0</v>
      </c>
      <c r="AA17" s="1079">
        <v>0</v>
      </c>
      <c r="AC17" s="1115" t="s">
        <v>228</v>
      </c>
      <c r="AD17" s="1112">
        <v>0</v>
      </c>
      <c r="AE17" s="1112">
        <v>0</v>
      </c>
      <c r="AF17" s="1112">
        <v>0</v>
      </c>
      <c r="AG17" s="1112">
        <v>0</v>
      </c>
      <c r="AH17" s="1079">
        <v>0</v>
      </c>
    </row>
    <row r="18" spans="1:41">
      <c r="A18" s="1115" t="s">
        <v>224</v>
      </c>
      <c r="B18" s="1112">
        <v>0</v>
      </c>
      <c r="C18" s="1112">
        <v>0.46</v>
      </c>
      <c r="D18" s="1112">
        <v>0</v>
      </c>
      <c r="E18" s="1112">
        <v>0</v>
      </c>
      <c r="F18" s="1112">
        <v>0.05</v>
      </c>
      <c r="G18" s="1112">
        <v>0</v>
      </c>
      <c r="H18" s="1112">
        <v>0</v>
      </c>
      <c r="I18" s="1112">
        <v>0</v>
      </c>
      <c r="J18" s="1112">
        <v>0</v>
      </c>
      <c r="K18" s="1112">
        <v>0</v>
      </c>
      <c r="L18" s="1112">
        <v>0.17</v>
      </c>
      <c r="M18" s="1112">
        <v>0</v>
      </c>
      <c r="N18" s="1112">
        <v>0</v>
      </c>
      <c r="O18" s="1112">
        <v>0</v>
      </c>
      <c r="P18" s="1112">
        <v>0</v>
      </c>
      <c r="Q18" s="1112">
        <v>0</v>
      </c>
      <c r="R18" s="1112">
        <v>0</v>
      </c>
      <c r="S18" s="1112">
        <v>0</v>
      </c>
      <c r="T18" s="1112">
        <v>0</v>
      </c>
      <c r="U18" s="1112">
        <v>0</v>
      </c>
      <c r="V18" s="1112"/>
      <c r="W18" s="1112">
        <v>0.36</v>
      </c>
      <c r="X18" s="1112">
        <v>0.49</v>
      </c>
      <c r="Y18" s="1112">
        <v>1.86</v>
      </c>
      <c r="Z18" s="1112">
        <v>0</v>
      </c>
      <c r="AA18" s="1079">
        <v>0</v>
      </c>
      <c r="AC18" s="1115" t="s">
        <v>224</v>
      </c>
      <c r="AD18" s="1112">
        <v>0</v>
      </c>
      <c r="AE18" s="1112">
        <v>0</v>
      </c>
      <c r="AF18" s="1112"/>
      <c r="AG18" s="1112">
        <v>1.86</v>
      </c>
      <c r="AH18" s="1079">
        <v>0</v>
      </c>
    </row>
    <row r="19" spans="1:41">
      <c r="A19" s="1115" t="s">
        <v>219</v>
      </c>
      <c r="B19" s="1112">
        <v>6.45</v>
      </c>
      <c r="C19" s="1112">
        <v>39.700000000000003</v>
      </c>
      <c r="D19" s="1112">
        <v>3.16</v>
      </c>
      <c r="E19" s="1112">
        <v>0</v>
      </c>
      <c r="F19" s="1112">
        <v>1.75</v>
      </c>
      <c r="G19" s="1112">
        <v>4.21</v>
      </c>
      <c r="H19" s="1112">
        <v>0</v>
      </c>
      <c r="I19" s="1112">
        <v>0.09</v>
      </c>
      <c r="J19" s="1112">
        <v>0</v>
      </c>
      <c r="K19" s="1112">
        <v>11.08</v>
      </c>
      <c r="L19" s="1112">
        <v>1.17</v>
      </c>
      <c r="M19" s="1112">
        <v>1.82</v>
      </c>
      <c r="N19" s="1112">
        <v>0</v>
      </c>
      <c r="O19" s="1112">
        <v>0</v>
      </c>
      <c r="P19" s="1112">
        <v>0</v>
      </c>
      <c r="Q19" s="1112">
        <v>3.31</v>
      </c>
      <c r="R19" s="1112">
        <v>0</v>
      </c>
      <c r="S19" s="1112">
        <v>0.78</v>
      </c>
      <c r="T19" s="1112">
        <v>0</v>
      </c>
      <c r="U19" s="1112">
        <v>0</v>
      </c>
      <c r="V19" s="1112">
        <v>8.15</v>
      </c>
      <c r="W19" s="1112"/>
      <c r="X19" s="1112">
        <v>0.86</v>
      </c>
      <c r="Y19" s="1112">
        <v>6.4</v>
      </c>
      <c r="Z19" s="1112">
        <v>0</v>
      </c>
      <c r="AA19" s="1079">
        <v>0</v>
      </c>
      <c r="AC19" s="1115" t="s">
        <v>219</v>
      </c>
      <c r="AD19" s="1112">
        <v>0</v>
      </c>
      <c r="AE19" s="1112">
        <v>0</v>
      </c>
      <c r="AF19" s="1112">
        <v>8.15</v>
      </c>
      <c r="AG19" s="1112">
        <v>6.4</v>
      </c>
      <c r="AH19" s="1079">
        <v>0</v>
      </c>
    </row>
    <row r="20" spans="1:41">
      <c r="A20" s="1115" t="s">
        <v>229</v>
      </c>
      <c r="B20" s="1112">
        <v>0</v>
      </c>
      <c r="C20" s="1112">
        <v>0.69</v>
      </c>
      <c r="D20" s="1112">
        <v>0.04</v>
      </c>
      <c r="E20" s="1112">
        <v>0</v>
      </c>
      <c r="F20" s="1112">
        <v>0.03</v>
      </c>
      <c r="G20" s="1112">
        <v>0</v>
      </c>
      <c r="H20" s="1112">
        <v>0</v>
      </c>
      <c r="I20" s="1112">
        <v>0</v>
      </c>
      <c r="J20" s="1112">
        <v>0</v>
      </c>
      <c r="K20" s="1112">
        <v>0</v>
      </c>
      <c r="L20" s="1112">
        <v>0</v>
      </c>
      <c r="M20" s="1112">
        <v>0.35</v>
      </c>
      <c r="N20" s="1112">
        <v>0</v>
      </c>
      <c r="O20" s="1112">
        <v>0</v>
      </c>
      <c r="P20" s="1112">
        <v>0</v>
      </c>
      <c r="Q20" s="1112">
        <v>0</v>
      </c>
      <c r="R20" s="1112">
        <v>0</v>
      </c>
      <c r="S20" s="1112">
        <v>0</v>
      </c>
      <c r="T20" s="1112">
        <v>0</v>
      </c>
      <c r="U20" s="1112">
        <v>0</v>
      </c>
      <c r="V20" s="1112">
        <v>0.12</v>
      </c>
      <c r="W20" s="1112">
        <v>0.03</v>
      </c>
      <c r="X20" s="1112"/>
      <c r="Y20" s="1112">
        <v>0</v>
      </c>
      <c r="Z20" s="1112">
        <v>0</v>
      </c>
      <c r="AA20" s="1079">
        <v>0</v>
      </c>
      <c r="AC20" s="1115" t="s">
        <v>229</v>
      </c>
      <c r="AD20" s="1112">
        <v>0</v>
      </c>
      <c r="AE20" s="1112">
        <v>0</v>
      </c>
      <c r="AF20" s="1112">
        <v>0.12</v>
      </c>
      <c r="AG20" s="1112">
        <v>0</v>
      </c>
      <c r="AH20" s="1079">
        <v>0</v>
      </c>
    </row>
    <row r="21" spans="1:41">
      <c r="A21" s="1115" t="s">
        <v>222</v>
      </c>
      <c r="B21" s="1112">
        <v>0</v>
      </c>
      <c r="C21" s="1112">
        <v>0.32</v>
      </c>
      <c r="D21" s="1112">
        <v>0</v>
      </c>
      <c r="E21" s="1112">
        <v>0</v>
      </c>
      <c r="F21" s="1112">
        <v>0.01</v>
      </c>
      <c r="G21" s="1112">
        <v>0</v>
      </c>
      <c r="H21" s="1112">
        <v>0</v>
      </c>
      <c r="I21" s="1112">
        <v>0</v>
      </c>
      <c r="J21" s="1112">
        <v>0</v>
      </c>
      <c r="K21" s="1112">
        <v>0</v>
      </c>
      <c r="L21" s="1112">
        <v>0</v>
      </c>
      <c r="M21" s="1112">
        <v>0.05</v>
      </c>
      <c r="N21" s="1112">
        <v>0</v>
      </c>
      <c r="O21" s="1112">
        <v>0</v>
      </c>
      <c r="P21" s="1112">
        <v>0</v>
      </c>
      <c r="Q21" s="1112">
        <v>0</v>
      </c>
      <c r="R21" s="1112">
        <v>0</v>
      </c>
      <c r="S21" s="1112">
        <v>0</v>
      </c>
      <c r="T21" s="1112">
        <v>0</v>
      </c>
      <c r="U21" s="1112">
        <v>0</v>
      </c>
      <c r="V21" s="1112">
        <v>1.23</v>
      </c>
      <c r="W21" s="1112">
        <v>0.02</v>
      </c>
      <c r="X21" s="1112">
        <v>0</v>
      </c>
      <c r="Y21" s="1112"/>
      <c r="Z21" s="1112">
        <v>0</v>
      </c>
      <c r="AA21" s="1079">
        <v>0</v>
      </c>
      <c r="AC21" s="1115" t="s">
        <v>222</v>
      </c>
      <c r="AD21" s="1112">
        <v>0</v>
      </c>
      <c r="AE21" s="1112">
        <v>0</v>
      </c>
      <c r="AF21" s="1112">
        <v>1.23</v>
      </c>
      <c r="AG21" s="1112"/>
      <c r="AH21" s="1079">
        <v>0</v>
      </c>
    </row>
    <row r="22" spans="1:41">
      <c r="A22" s="1115" t="s">
        <v>231</v>
      </c>
      <c r="B22" s="1112">
        <v>0</v>
      </c>
      <c r="C22" s="1112">
        <v>0</v>
      </c>
      <c r="D22" s="1112">
        <v>0</v>
      </c>
      <c r="E22" s="1112">
        <v>0</v>
      </c>
      <c r="F22" s="1112">
        <v>0</v>
      </c>
      <c r="G22" s="1112">
        <v>0</v>
      </c>
      <c r="H22" s="1112">
        <v>0</v>
      </c>
      <c r="I22" s="1112">
        <v>0</v>
      </c>
      <c r="J22" s="1112">
        <v>0</v>
      </c>
      <c r="K22" s="1112">
        <v>0</v>
      </c>
      <c r="L22" s="1112">
        <v>0</v>
      </c>
      <c r="M22" s="1112">
        <v>0</v>
      </c>
      <c r="N22" s="1112">
        <v>0</v>
      </c>
      <c r="O22" s="1112">
        <v>1.38</v>
      </c>
      <c r="P22" s="1112">
        <v>0</v>
      </c>
      <c r="Q22" s="1112">
        <v>0</v>
      </c>
      <c r="R22" s="1112">
        <v>0</v>
      </c>
      <c r="S22" s="1112">
        <v>0</v>
      </c>
      <c r="T22" s="1112">
        <v>0</v>
      </c>
      <c r="U22" s="1112">
        <v>0</v>
      </c>
      <c r="V22" s="1112">
        <v>0</v>
      </c>
      <c r="W22" s="1112">
        <v>0</v>
      </c>
      <c r="X22" s="1112">
        <v>0</v>
      </c>
      <c r="Y22" s="1112">
        <v>0</v>
      </c>
      <c r="Z22" s="1112">
        <v>0</v>
      </c>
      <c r="AA22" s="1079"/>
      <c r="AC22" s="1115" t="s">
        <v>231</v>
      </c>
      <c r="AD22" s="1112">
        <v>0</v>
      </c>
      <c r="AE22" s="1112">
        <v>1.38</v>
      </c>
      <c r="AF22" s="1112">
        <v>0</v>
      </c>
      <c r="AG22" s="1112">
        <v>0</v>
      </c>
      <c r="AH22" s="1079"/>
    </row>
    <row r="23" spans="1:41">
      <c r="A23" s="1115" t="s">
        <v>244</v>
      </c>
      <c r="B23" s="1112">
        <v>0.01</v>
      </c>
      <c r="C23" s="1112">
        <v>0.03</v>
      </c>
      <c r="D23" s="1112">
        <v>0</v>
      </c>
      <c r="E23" s="1112">
        <v>0</v>
      </c>
      <c r="F23" s="1112">
        <v>0</v>
      </c>
      <c r="G23" s="1112">
        <v>0</v>
      </c>
      <c r="H23" s="1112">
        <v>0</v>
      </c>
      <c r="I23" s="1112">
        <v>0.45</v>
      </c>
      <c r="J23" s="1112">
        <v>0</v>
      </c>
      <c r="K23" s="1112">
        <v>0</v>
      </c>
      <c r="L23" s="1112">
        <v>0.01</v>
      </c>
      <c r="M23" s="1112">
        <v>0</v>
      </c>
      <c r="N23" s="1112">
        <v>0</v>
      </c>
      <c r="O23" s="1112">
        <v>0</v>
      </c>
      <c r="P23" s="1112">
        <v>0</v>
      </c>
      <c r="Q23" s="1112">
        <v>0</v>
      </c>
      <c r="R23" s="1112">
        <v>0</v>
      </c>
      <c r="S23" s="1112">
        <v>0</v>
      </c>
      <c r="T23" s="1112">
        <v>0</v>
      </c>
      <c r="U23" s="1112">
        <v>0</v>
      </c>
      <c r="V23" s="1112">
        <v>0.01</v>
      </c>
      <c r="W23" s="1112">
        <v>0.17</v>
      </c>
      <c r="X23" s="1112">
        <v>0</v>
      </c>
      <c r="Y23" s="1112">
        <v>0</v>
      </c>
      <c r="Z23" s="1112">
        <v>0</v>
      </c>
      <c r="AA23" s="1112">
        <v>0</v>
      </c>
      <c r="AC23" s="1115" t="s">
        <v>244</v>
      </c>
      <c r="AD23" s="1112">
        <v>0</v>
      </c>
      <c r="AE23" s="1112">
        <v>0</v>
      </c>
      <c r="AF23" s="1112">
        <v>0.01</v>
      </c>
      <c r="AG23" s="1112">
        <v>0</v>
      </c>
      <c r="AH23" s="1112">
        <v>0</v>
      </c>
    </row>
    <row r="24" spans="1:41">
      <c r="A24" s="1113" t="s">
        <v>253</v>
      </c>
      <c r="B24" s="1114">
        <v>57.35</v>
      </c>
      <c r="C24" s="1114">
        <v>28.04</v>
      </c>
      <c r="D24" s="1114">
        <v>56.13</v>
      </c>
      <c r="E24" s="1114">
        <v>29.41</v>
      </c>
      <c r="F24" s="1114">
        <v>69.31</v>
      </c>
      <c r="G24" s="1114">
        <v>78.400000000000006</v>
      </c>
      <c r="H24" s="1114">
        <v>0</v>
      </c>
      <c r="I24" s="1114">
        <v>54.49</v>
      </c>
      <c r="J24" s="1114">
        <v>0</v>
      </c>
      <c r="K24" s="1114">
        <v>56.47</v>
      </c>
      <c r="L24" s="1114">
        <v>78.459999999999994</v>
      </c>
      <c r="M24" s="1114">
        <v>80.38</v>
      </c>
      <c r="N24" s="1114">
        <v>70.5</v>
      </c>
      <c r="O24" s="1114">
        <v>68.03</v>
      </c>
      <c r="P24" s="1114">
        <v>66.06</v>
      </c>
      <c r="Q24" s="1114">
        <v>60.81</v>
      </c>
      <c r="R24" s="1114">
        <v>100</v>
      </c>
      <c r="S24" s="1114">
        <v>75.650000000000006</v>
      </c>
      <c r="T24" s="1114">
        <v>0</v>
      </c>
      <c r="U24" s="1114">
        <v>85.64</v>
      </c>
      <c r="V24" s="1114">
        <v>46.33</v>
      </c>
      <c r="W24" s="1114">
        <v>20.190000000000001</v>
      </c>
      <c r="X24" s="1114">
        <v>54.35</v>
      </c>
      <c r="Y24" s="1114">
        <v>16.239999999999998</v>
      </c>
      <c r="Z24" s="1114">
        <v>90.32</v>
      </c>
      <c r="AA24" s="1114">
        <v>57.66</v>
      </c>
      <c r="AC24" s="1113" t="s">
        <v>253</v>
      </c>
      <c r="AD24" s="1114">
        <v>70.5</v>
      </c>
      <c r="AE24" s="1114">
        <v>68.03</v>
      </c>
      <c r="AF24" s="1114">
        <v>46.33</v>
      </c>
      <c r="AG24" s="1114">
        <v>16.239999999999998</v>
      </c>
      <c r="AH24" s="1114">
        <v>57.66</v>
      </c>
      <c r="AJ24" s="1099" t="s">
        <v>248</v>
      </c>
      <c r="AK24" s="1097" t="s">
        <v>232</v>
      </c>
      <c r="AL24" s="1097" t="s">
        <v>230</v>
      </c>
      <c r="AM24" s="1097" t="s">
        <v>224</v>
      </c>
      <c r="AN24" s="1097" t="s">
        <v>222</v>
      </c>
      <c r="AO24" s="1097" t="s">
        <v>231</v>
      </c>
    </row>
    <row r="25" spans="1:41">
      <c r="A25" s="1113" t="s">
        <v>30</v>
      </c>
      <c r="B25" s="1114">
        <v>100</v>
      </c>
      <c r="C25" s="1114">
        <v>100</v>
      </c>
      <c r="D25" s="1114">
        <v>100</v>
      </c>
      <c r="E25" s="1114">
        <v>100</v>
      </c>
      <c r="F25" s="1114">
        <v>100</v>
      </c>
      <c r="G25" s="1114">
        <v>100</v>
      </c>
      <c r="H25" s="1114">
        <v>0</v>
      </c>
      <c r="I25" s="1114">
        <v>100</v>
      </c>
      <c r="J25" s="1114">
        <v>0</v>
      </c>
      <c r="K25" s="1114">
        <v>100</v>
      </c>
      <c r="L25" s="1114">
        <v>100</v>
      </c>
      <c r="M25" s="1114">
        <v>100</v>
      </c>
      <c r="N25" s="1114">
        <v>100</v>
      </c>
      <c r="O25" s="1114">
        <v>100</v>
      </c>
      <c r="P25" s="1114">
        <v>100</v>
      </c>
      <c r="Q25" s="1114">
        <v>100</v>
      </c>
      <c r="R25" s="1114">
        <v>100</v>
      </c>
      <c r="S25" s="1114">
        <v>100</v>
      </c>
      <c r="T25" s="1114">
        <v>0</v>
      </c>
      <c r="U25" s="1114">
        <v>100</v>
      </c>
      <c r="V25" s="1114">
        <v>100</v>
      </c>
      <c r="W25" s="1114">
        <v>100</v>
      </c>
      <c r="X25" s="1114">
        <v>100</v>
      </c>
      <c r="Y25" s="1114">
        <v>100</v>
      </c>
      <c r="Z25" s="1114">
        <v>100</v>
      </c>
      <c r="AA25" s="1114">
        <v>100</v>
      </c>
      <c r="AC25" s="1113" t="s">
        <v>30</v>
      </c>
      <c r="AD25" s="1114">
        <v>100</v>
      </c>
      <c r="AE25" s="1114">
        <v>100</v>
      </c>
      <c r="AF25" s="1114">
        <v>100</v>
      </c>
      <c r="AG25" s="1114">
        <v>100</v>
      </c>
      <c r="AH25" s="1114">
        <v>100</v>
      </c>
      <c r="AJ25" s="1113" t="s">
        <v>251</v>
      </c>
      <c r="AK25" s="1114">
        <v>0.55000000000000004</v>
      </c>
      <c r="AL25" s="1114">
        <v>0</v>
      </c>
      <c r="AM25" s="1114">
        <v>1.49</v>
      </c>
      <c r="AN25" s="1114">
        <v>26.68</v>
      </c>
      <c r="AO25" s="1114">
        <v>38.46</v>
      </c>
    </row>
    <row r="26" spans="1:41">
      <c r="A26" s="1099" t="s">
        <v>248</v>
      </c>
      <c r="B26" s="1097" t="s">
        <v>233</v>
      </c>
      <c r="C26" s="1097" t="s">
        <v>220</v>
      </c>
      <c r="D26" s="1097" t="s">
        <v>223</v>
      </c>
      <c r="E26" s="1097" t="s">
        <v>249</v>
      </c>
      <c r="F26" s="1097" t="s">
        <v>221</v>
      </c>
      <c r="G26" s="1097" t="s">
        <v>234</v>
      </c>
      <c r="H26" s="1097" t="s">
        <v>242</v>
      </c>
      <c r="I26" s="1097" t="s">
        <v>225</v>
      </c>
      <c r="J26" s="1097" t="s">
        <v>12</v>
      </c>
      <c r="K26" s="1097" t="s">
        <v>236</v>
      </c>
      <c r="L26" s="1097" t="s">
        <v>227</v>
      </c>
      <c r="M26" s="1097" t="s">
        <v>2</v>
      </c>
      <c r="N26" s="1097" t="s">
        <v>232</v>
      </c>
      <c r="O26" s="1097" t="s">
        <v>230</v>
      </c>
      <c r="P26" s="1097" t="s">
        <v>238</v>
      </c>
      <c r="Q26" s="1097" t="s">
        <v>226</v>
      </c>
      <c r="R26" s="1097" t="s">
        <v>3</v>
      </c>
      <c r="S26" s="1097" t="s">
        <v>235</v>
      </c>
      <c r="T26" s="1097" t="s">
        <v>250</v>
      </c>
      <c r="U26" s="1097" t="s">
        <v>228</v>
      </c>
      <c r="V26" s="1097" t="s">
        <v>224</v>
      </c>
      <c r="W26" s="1097" t="s">
        <v>219</v>
      </c>
      <c r="X26" s="1097" t="s">
        <v>229</v>
      </c>
      <c r="Y26" s="1097" t="s">
        <v>222</v>
      </c>
      <c r="Z26" s="1097" t="s">
        <v>1018</v>
      </c>
      <c r="AA26" s="1097" t="s">
        <v>231</v>
      </c>
      <c r="AC26" s="1099" t="s">
        <v>248</v>
      </c>
      <c r="AD26" s="1097" t="s">
        <v>232</v>
      </c>
      <c r="AE26" s="1097" t="s">
        <v>230</v>
      </c>
      <c r="AF26" s="1097" t="s">
        <v>224</v>
      </c>
      <c r="AG26" s="1097" t="s">
        <v>222</v>
      </c>
      <c r="AH26" s="1097" t="s">
        <v>231</v>
      </c>
      <c r="AJ26" s="1113" t="s">
        <v>1116</v>
      </c>
      <c r="AK26" s="1114">
        <v>0</v>
      </c>
      <c r="AL26" s="1114">
        <v>0</v>
      </c>
      <c r="AM26" s="1114">
        <v>9.4600000000000009</v>
      </c>
      <c r="AN26" s="1114">
        <v>30.4</v>
      </c>
      <c r="AO26" s="1114">
        <v>55.77</v>
      </c>
    </row>
    <row r="27" spans="1:41">
      <c r="A27" s="1100" t="s">
        <v>1125</v>
      </c>
      <c r="B27" s="1112"/>
      <c r="C27" s="1112"/>
      <c r="D27" s="1112"/>
      <c r="E27" s="1112"/>
      <c r="F27" s="1112"/>
      <c r="G27" s="1112"/>
      <c r="H27" s="1112"/>
      <c r="I27" s="1112"/>
      <c r="J27" s="1112"/>
      <c r="K27" s="1112"/>
      <c r="L27" s="1112"/>
      <c r="M27" s="1112"/>
      <c r="N27" s="1112"/>
      <c r="O27" s="1112"/>
      <c r="P27" s="1112"/>
      <c r="Q27" s="1112"/>
      <c r="R27" s="1112"/>
      <c r="S27" s="1112"/>
      <c r="T27" s="1112"/>
      <c r="U27" s="1112"/>
      <c r="V27" s="1112"/>
      <c r="W27" s="1112"/>
      <c r="X27" s="1112"/>
      <c r="Y27" s="1112"/>
      <c r="Z27" s="1112"/>
      <c r="AA27" s="1079"/>
      <c r="AC27" s="1100" t="s">
        <v>1125</v>
      </c>
      <c r="AD27" s="1112"/>
      <c r="AE27" s="1112"/>
      <c r="AF27" s="1112"/>
      <c r="AG27" s="1112"/>
      <c r="AH27" s="1079"/>
      <c r="AJ27" s="1113" t="s">
        <v>253</v>
      </c>
      <c r="AK27" s="1114">
        <v>99.45</v>
      </c>
      <c r="AL27" s="1114">
        <v>100</v>
      </c>
      <c r="AM27" s="1114">
        <v>89.05</v>
      </c>
      <c r="AN27" s="1114">
        <v>42.93</v>
      </c>
      <c r="AO27" s="1114">
        <v>5.77</v>
      </c>
    </row>
    <row r="28" spans="1:41">
      <c r="A28" s="1113" t="s">
        <v>251</v>
      </c>
      <c r="B28" s="1114">
        <v>0.46</v>
      </c>
      <c r="C28" s="1114">
        <v>22.72</v>
      </c>
      <c r="D28" s="1114">
        <v>12.12</v>
      </c>
      <c r="E28" s="1114">
        <v>82.76</v>
      </c>
      <c r="F28" s="1114">
        <v>10.73</v>
      </c>
      <c r="G28" s="1114">
        <v>6.18</v>
      </c>
      <c r="H28" s="1114">
        <v>0</v>
      </c>
      <c r="I28" s="1114">
        <v>8.27</v>
      </c>
      <c r="J28" s="1114">
        <v>0</v>
      </c>
      <c r="K28" s="1114">
        <v>1.75</v>
      </c>
      <c r="L28" s="1114">
        <v>5.6</v>
      </c>
      <c r="M28" s="1114">
        <v>8.6</v>
      </c>
      <c r="N28" s="1114">
        <v>0.55000000000000004</v>
      </c>
      <c r="O28" s="1114">
        <v>0</v>
      </c>
      <c r="P28" s="1114">
        <v>23.53</v>
      </c>
      <c r="Q28" s="1114">
        <v>20.440000000000001</v>
      </c>
      <c r="R28" s="1114">
        <v>0</v>
      </c>
      <c r="S28" s="1114">
        <v>16.88</v>
      </c>
      <c r="T28" s="1114">
        <v>0</v>
      </c>
      <c r="U28" s="1114">
        <v>3.56</v>
      </c>
      <c r="V28" s="1114">
        <v>1.49</v>
      </c>
      <c r="W28" s="1114">
        <v>22.89</v>
      </c>
      <c r="X28" s="1114">
        <v>16.29</v>
      </c>
      <c r="Y28" s="1114">
        <v>26.68</v>
      </c>
      <c r="Z28" s="1114">
        <v>0</v>
      </c>
      <c r="AA28" s="1114">
        <v>38.46</v>
      </c>
      <c r="AC28" s="1113" t="s">
        <v>251</v>
      </c>
      <c r="AD28" s="1114">
        <v>0.55000000000000004</v>
      </c>
      <c r="AE28" s="1114">
        <v>0</v>
      </c>
      <c r="AF28" s="1114">
        <v>1.49</v>
      </c>
      <c r="AG28" s="1114">
        <v>26.68</v>
      </c>
      <c r="AH28" s="1114">
        <v>38.46</v>
      </c>
    </row>
    <row r="29" spans="1:41">
      <c r="A29" s="1113" t="s">
        <v>1116</v>
      </c>
      <c r="B29" s="1114">
        <v>3.01</v>
      </c>
      <c r="C29" s="1114">
        <v>45.92</v>
      </c>
      <c r="D29" s="1114">
        <v>16.170000000000002</v>
      </c>
      <c r="E29" s="1114">
        <v>0</v>
      </c>
      <c r="F29" s="1114">
        <v>8.94</v>
      </c>
      <c r="G29" s="1114">
        <v>14.87</v>
      </c>
      <c r="H29" s="1114">
        <v>0</v>
      </c>
      <c r="I29" s="1114">
        <v>8.1999999999999993</v>
      </c>
      <c r="J29" s="1114">
        <v>0</v>
      </c>
      <c r="K29" s="1114">
        <v>4.12</v>
      </c>
      <c r="L29" s="1114">
        <v>11.97</v>
      </c>
      <c r="M29" s="1114">
        <v>6.47</v>
      </c>
      <c r="N29" s="1114">
        <v>0</v>
      </c>
      <c r="O29" s="1114">
        <v>0</v>
      </c>
      <c r="P29" s="1114">
        <v>0</v>
      </c>
      <c r="Q29" s="1114">
        <v>15.9</v>
      </c>
      <c r="R29" s="1114">
        <v>0</v>
      </c>
      <c r="S29" s="1114">
        <v>0</v>
      </c>
      <c r="T29" s="1114">
        <v>0</v>
      </c>
      <c r="U29" s="1114">
        <v>4.96</v>
      </c>
      <c r="V29" s="1114">
        <v>9.4600000000000009</v>
      </c>
      <c r="W29" s="1114">
        <v>54.78</v>
      </c>
      <c r="X29" s="1114">
        <v>19.05</v>
      </c>
      <c r="Y29" s="1114">
        <v>30.4</v>
      </c>
      <c r="Z29" s="1114">
        <v>0</v>
      </c>
      <c r="AA29" s="1114">
        <v>55.77</v>
      </c>
      <c r="AC29" s="1113" t="s">
        <v>1116</v>
      </c>
      <c r="AD29" s="1114">
        <v>0</v>
      </c>
      <c r="AE29" s="1114">
        <v>0</v>
      </c>
      <c r="AF29" s="1114">
        <v>9.4600000000000009</v>
      </c>
      <c r="AG29" s="1114">
        <v>30.4</v>
      </c>
      <c r="AH29" s="1114">
        <v>55.77</v>
      </c>
      <c r="AJ29" s="1103" t="s">
        <v>220</v>
      </c>
      <c r="AK29" s="1079">
        <v>0.54</v>
      </c>
      <c r="AL29" s="1079">
        <v>23.99</v>
      </c>
      <c r="AM29" s="1079">
        <v>25.03</v>
      </c>
      <c r="AN29" s="1079">
        <v>7.41</v>
      </c>
      <c r="AO29" s="1079">
        <v>0.5</v>
      </c>
    </row>
    <row r="30" spans="1:41">
      <c r="A30" s="1115" t="s">
        <v>233</v>
      </c>
      <c r="B30" s="1112"/>
      <c r="C30" s="1112">
        <v>0</v>
      </c>
      <c r="D30" s="1112">
        <v>0</v>
      </c>
      <c r="E30" s="1112">
        <v>0</v>
      </c>
      <c r="F30" s="1112">
        <v>0</v>
      </c>
      <c r="G30" s="1112">
        <v>0</v>
      </c>
      <c r="H30" s="1112">
        <v>0</v>
      </c>
      <c r="I30" s="1112">
        <v>0</v>
      </c>
      <c r="J30" s="1112">
        <v>0</v>
      </c>
      <c r="K30" s="1112">
        <v>0</v>
      </c>
      <c r="L30" s="1112">
        <v>0</v>
      </c>
      <c r="M30" s="1112">
        <v>0</v>
      </c>
      <c r="N30" s="1112">
        <v>0</v>
      </c>
      <c r="O30" s="1112">
        <v>0</v>
      </c>
      <c r="P30" s="1112">
        <v>0</v>
      </c>
      <c r="Q30" s="1112">
        <v>0</v>
      </c>
      <c r="R30" s="1112">
        <v>0</v>
      </c>
      <c r="S30" s="1112">
        <v>0</v>
      </c>
      <c r="T30" s="1112">
        <v>0</v>
      </c>
      <c r="U30" s="1112">
        <v>0</v>
      </c>
      <c r="V30" s="1112">
        <v>0</v>
      </c>
      <c r="W30" s="1112">
        <v>0.22</v>
      </c>
      <c r="X30" s="1112">
        <v>0</v>
      </c>
      <c r="Y30" s="1112">
        <v>0</v>
      </c>
      <c r="Z30" s="1112">
        <v>0</v>
      </c>
      <c r="AA30" s="1079">
        <v>0</v>
      </c>
      <c r="AC30" s="1115" t="s">
        <v>233</v>
      </c>
      <c r="AD30" s="1112">
        <v>0</v>
      </c>
      <c r="AE30" s="1112">
        <v>0</v>
      </c>
      <c r="AF30" s="1112">
        <v>0</v>
      </c>
      <c r="AG30" s="1112">
        <v>0</v>
      </c>
      <c r="AH30" s="1079">
        <v>0</v>
      </c>
      <c r="AJ30" s="1103" t="s">
        <v>232</v>
      </c>
      <c r="AK30" s="1079"/>
      <c r="AL30" s="1079">
        <v>0.04</v>
      </c>
      <c r="AM30" s="1079">
        <v>0.86</v>
      </c>
      <c r="AN30" s="1079">
        <v>2.65</v>
      </c>
      <c r="AO30" s="1079">
        <v>0</v>
      </c>
    </row>
    <row r="31" spans="1:41">
      <c r="A31" s="1115" t="s">
        <v>220</v>
      </c>
      <c r="B31" s="1112">
        <v>2.39</v>
      </c>
      <c r="C31" s="1112"/>
      <c r="D31" s="1112">
        <v>6.67</v>
      </c>
      <c r="E31" s="1112">
        <v>0</v>
      </c>
      <c r="F31" s="1112">
        <v>6.81</v>
      </c>
      <c r="G31" s="1112">
        <v>11.12</v>
      </c>
      <c r="H31" s="1112">
        <v>0</v>
      </c>
      <c r="I31" s="1112">
        <v>1.92</v>
      </c>
      <c r="J31" s="1112">
        <v>0</v>
      </c>
      <c r="K31" s="1112">
        <v>0</v>
      </c>
      <c r="L31" s="1112">
        <v>2.6</v>
      </c>
      <c r="M31" s="1112">
        <v>1.82</v>
      </c>
      <c r="N31" s="1112">
        <v>0</v>
      </c>
      <c r="O31" s="1112">
        <v>0</v>
      </c>
      <c r="P31" s="1112">
        <v>0</v>
      </c>
      <c r="Q31" s="1112">
        <v>10.39</v>
      </c>
      <c r="R31" s="1112">
        <v>0</v>
      </c>
      <c r="S31" s="1112">
        <v>0</v>
      </c>
      <c r="T31" s="1112">
        <v>0</v>
      </c>
      <c r="U31" s="1112">
        <v>0</v>
      </c>
      <c r="V31" s="1112">
        <v>7.58</v>
      </c>
      <c r="W31" s="1112">
        <v>52.6</v>
      </c>
      <c r="X31" s="1112">
        <v>4.29</v>
      </c>
      <c r="Y31" s="1112">
        <v>12.22</v>
      </c>
      <c r="Z31" s="1112">
        <v>0</v>
      </c>
      <c r="AA31" s="1079">
        <v>55.77</v>
      </c>
      <c r="AC31" s="1115" t="s">
        <v>220</v>
      </c>
      <c r="AD31" s="1112">
        <v>0</v>
      </c>
      <c r="AE31" s="1112">
        <v>0</v>
      </c>
      <c r="AF31" s="1112">
        <v>7.58</v>
      </c>
      <c r="AG31" s="1112">
        <v>12.22</v>
      </c>
      <c r="AH31" s="1079">
        <v>55.77</v>
      </c>
      <c r="AJ31" s="1103" t="s">
        <v>230</v>
      </c>
      <c r="AK31" s="1079">
        <v>0.11</v>
      </c>
      <c r="AL31" s="1079"/>
      <c r="AM31" s="1079">
        <v>0.05</v>
      </c>
      <c r="AN31" s="1079">
        <v>0.8</v>
      </c>
      <c r="AO31" s="1079">
        <v>6.57</v>
      </c>
    </row>
    <row r="32" spans="1:41">
      <c r="A32" s="1115" t="s">
        <v>223</v>
      </c>
      <c r="B32" s="1112">
        <v>0</v>
      </c>
      <c r="C32" s="1112">
        <v>1.19</v>
      </c>
      <c r="D32" s="1112"/>
      <c r="E32" s="1112">
        <v>0</v>
      </c>
      <c r="F32" s="1112">
        <v>0.26</v>
      </c>
      <c r="G32" s="1112">
        <v>2.06</v>
      </c>
      <c r="H32" s="1112">
        <v>0</v>
      </c>
      <c r="I32" s="1112">
        <v>0</v>
      </c>
      <c r="J32" s="1112">
        <v>0</v>
      </c>
      <c r="K32" s="1112">
        <v>0</v>
      </c>
      <c r="L32" s="1112">
        <v>0</v>
      </c>
      <c r="M32" s="1112">
        <v>0.35</v>
      </c>
      <c r="N32" s="1112">
        <v>0</v>
      </c>
      <c r="O32" s="1112">
        <v>0</v>
      </c>
      <c r="P32" s="1112">
        <v>0</v>
      </c>
      <c r="Q32" s="1112">
        <v>0</v>
      </c>
      <c r="R32" s="1112">
        <v>0</v>
      </c>
      <c r="S32" s="1112">
        <v>0</v>
      </c>
      <c r="T32" s="1112">
        <v>0</v>
      </c>
      <c r="U32" s="1112">
        <v>0</v>
      </c>
      <c r="V32" s="1112">
        <v>0</v>
      </c>
      <c r="W32" s="1112">
        <v>0.31</v>
      </c>
      <c r="X32" s="1112">
        <v>5.75</v>
      </c>
      <c r="Y32" s="1112">
        <v>0</v>
      </c>
      <c r="Z32" s="1112">
        <v>0</v>
      </c>
      <c r="AA32" s="1079">
        <v>0</v>
      </c>
      <c r="AC32" s="1115" t="s">
        <v>223</v>
      </c>
      <c r="AD32" s="1112">
        <v>0</v>
      </c>
      <c r="AE32" s="1112">
        <v>0</v>
      </c>
      <c r="AF32" s="1112">
        <v>0</v>
      </c>
      <c r="AG32" s="1112">
        <v>0</v>
      </c>
      <c r="AH32" s="1079">
        <v>0</v>
      </c>
      <c r="AJ32" s="1103" t="s">
        <v>224</v>
      </c>
      <c r="AK32" s="1079">
        <v>10.74</v>
      </c>
      <c r="AL32" s="1079">
        <v>0.36</v>
      </c>
      <c r="AM32" s="1079"/>
      <c r="AN32" s="1079">
        <v>11.5</v>
      </c>
      <c r="AO32" s="1079">
        <v>0.75</v>
      </c>
    </row>
    <row r="33" spans="1:41">
      <c r="A33" s="1115" t="s">
        <v>221</v>
      </c>
      <c r="B33" s="1112">
        <v>0</v>
      </c>
      <c r="C33" s="1112">
        <v>0.77</v>
      </c>
      <c r="D33" s="1112">
        <v>2.36</v>
      </c>
      <c r="E33" s="1112">
        <v>0</v>
      </c>
      <c r="F33" s="1112"/>
      <c r="G33" s="1112">
        <v>0</v>
      </c>
      <c r="H33" s="1112">
        <v>0</v>
      </c>
      <c r="I33" s="1112">
        <v>0.27</v>
      </c>
      <c r="J33" s="1112">
        <v>0</v>
      </c>
      <c r="K33" s="1112">
        <v>0</v>
      </c>
      <c r="L33" s="1112">
        <v>7.0000000000000007E-2</v>
      </c>
      <c r="M33" s="1112">
        <v>1</v>
      </c>
      <c r="N33" s="1112">
        <v>0</v>
      </c>
      <c r="O33" s="1112">
        <v>0</v>
      </c>
      <c r="P33" s="1112">
        <v>0</v>
      </c>
      <c r="Q33" s="1112">
        <v>0</v>
      </c>
      <c r="R33" s="1112">
        <v>0</v>
      </c>
      <c r="S33" s="1112">
        <v>0</v>
      </c>
      <c r="T33" s="1112">
        <v>0</v>
      </c>
      <c r="U33" s="1112">
        <v>0.43</v>
      </c>
      <c r="V33" s="1112">
        <v>0</v>
      </c>
      <c r="W33" s="1112">
        <v>0.41</v>
      </c>
      <c r="X33" s="1112">
        <v>0</v>
      </c>
      <c r="Y33" s="1112">
        <v>0</v>
      </c>
      <c r="Z33" s="1112">
        <v>0</v>
      </c>
      <c r="AA33" s="1079">
        <v>0</v>
      </c>
      <c r="AC33" s="1115" t="s">
        <v>221</v>
      </c>
      <c r="AD33" s="1112">
        <v>0</v>
      </c>
      <c r="AE33" s="1112">
        <v>0</v>
      </c>
      <c r="AF33" s="1112">
        <v>0</v>
      </c>
      <c r="AG33" s="1112">
        <v>0</v>
      </c>
      <c r="AH33" s="1079">
        <v>0</v>
      </c>
      <c r="AJ33" s="1103" t="s">
        <v>219</v>
      </c>
      <c r="AK33" s="1079">
        <v>0.27</v>
      </c>
      <c r="AL33" s="1079">
        <v>0.28000000000000003</v>
      </c>
      <c r="AM33" s="1079">
        <v>2.0699999999999998</v>
      </c>
      <c r="AN33" s="1079">
        <v>2.97</v>
      </c>
      <c r="AO33" s="1079">
        <v>2.66</v>
      </c>
    </row>
    <row r="34" spans="1:41">
      <c r="A34" s="1115" t="s">
        <v>234</v>
      </c>
      <c r="B34" s="1112">
        <v>0</v>
      </c>
      <c r="C34" s="1112">
        <v>0.01</v>
      </c>
      <c r="D34" s="1112">
        <v>0.37</v>
      </c>
      <c r="E34" s="1112">
        <v>0</v>
      </c>
      <c r="F34" s="1112">
        <v>0</v>
      </c>
      <c r="G34" s="1112"/>
      <c r="H34" s="1112">
        <v>0</v>
      </c>
      <c r="I34" s="1112">
        <v>0</v>
      </c>
      <c r="J34" s="1112">
        <v>0</v>
      </c>
      <c r="K34" s="1112">
        <v>0</v>
      </c>
      <c r="L34" s="1112">
        <v>0</v>
      </c>
      <c r="M34" s="1112">
        <v>0</v>
      </c>
      <c r="N34" s="1112">
        <v>0</v>
      </c>
      <c r="O34" s="1112">
        <v>0</v>
      </c>
      <c r="P34" s="1112">
        <v>0</v>
      </c>
      <c r="Q34" s="1112">
        <v>0</v>
      </c>
      <c r="R34" s="1112">
        <v>0</v>
      </c>
      <c r="S34" s="1112">
        <v>0</v>
      </c>
      <c r="T34" s="1112">
        <v>0</v>
      </c>
      <c r="U34" s="1112">
        <v>0</v>
      </c>
      <c r="V34" s="1112">
        <v>0</v>
      </c>
      <c r="W34" s="1112">
        <v>0.01</v>
      </c>
      <c r="X34" s="1112">
        <v>0</v>
      </c>
      <c r="Y34" s="1112">
        <v>0</v>
      </c>
      <c r="Z34" s="1112">
        <v>0</v>
      </c>
      <c r="AA34" s="1079">
        <v>0</v>
      </c>
      <c r="AC34" s="1115" t="s">
        <v>234</v>
      </c>
      <c r="AD34" s="1112">
        <v>0</v>
      </c>
      <c r="AE34" s="1112">
        <v>0</v>
      </c>
      <c r="AF34" s="1112">
        <v>0</v>
      </c>
      <c r="AG34" s="1112">
        <v>0</v>
      </c>
      <c r="AH34" s="1079">
        <v>0</v>
      </c>
      <c r="AJ34" s="1103" t="s">
        <v>231</v>
      </c>
      <c r="AK34" s="1079">
        <v>0</v>
      </c>
      <c r="AL34" s="1079">
        <v>12.35</v>
      </c>
      <c r="AM34" s="1079">
        <v>0.03</v>
      </c>
      <c r="AN34" s="1079">
        <v>0.13</v>
      </c>
      <c r="AO34" s="1079"/>
    </row>
    <row r="35" spans="1:41">
      <c r="A35" s="1115" t="s">
        <v>225</v>
      </c>
      <c r="B35" s="1112">
        <v>0</v>
      </c>
      <c r="C35" s="1112">
        <v>0.01</v>
      </c>
      <c r="D35" s="1112">
        <v>0</v>
      </c>
      <c r="E35" s="1112">
        <v>0</v>
      </c>
      <c r="F35" s="1112">
        <v>7.0000000000000007E-2</v>
      </c>
      <c r="G35" s="1112">
        <v>0</v>
      </c>
      <c r="H35" s="1112">
        <v>0</v>
      </c>
      <c r="I35" s="1112"/>
      <c r="J35" s="1112">
        <v>0</v>
      </c>
      <c r="K35" s="1112">
        <v>0</v>
      </c>
      <c r="L35" s="1112">
        <v>6.6</v>
      </c>
      <c r="M35" s="1112">
        <v>0</v>
      </c>
      <c r="N35" s="1112">
        <v>0</v>
      </c>
      <c r="O35" s="1112">
        <v>0</v>
      </c>
      <c r="P35" s="1112">
        <v>0</v>
      </c>
      <c r="Q35" s="1112">
        <v>0</v>
      </c>
      <c r="R35" s="1112">
        <v>0</v>
      </c>
      <c r="S35" s="1112">
        <v>0</v>
      </c>
      <c r="T35" s="1112">
        <v>0</v>
      </c>
      <c r="U35" s="1112">
        <v>0</v>
      </c>
      <c r="V35" s="1112">
        <v>0</v>
      </c>
      <c r="W35" s="1112">
        <v>0.03</v>
      </c>
      <c r="X35" s="1112">
        <v>0</v>
      </c>
      <c r="Y35" s="1112">
        <v>0</v>
      </c>
      <c r="Z35" s="1112">
        <v>0</v>
      </c>
      <c r="AA35" s="1079">
        <v>0</v>
      </c>
      <c r="AC35" s="1115" t="s">
        <v>225</v>
      </c>
      <c r="AD35" s="1112">
        <v>0</v>
      </c>
      <c r="AE35" s="1112">
        <v>0</v>
      </c>
      <c r="AF35" s="1112">
        <v>0</v>
      </c>
      <c r="AG35" s="1112">
        <v>0</v>
      </c>
      <c r="AH35" s="1079">
        <v>0</v>
      </c>
    </row>
    <row r="36" spans="1:41">
      <c r="A36" s="1115" t="s">
        <v>236</v>
      </c>
      <c r="B36" s="1112">
        <v>0</v>
      </c>
      <c r="C36" s="1112">
        <v>0</v>
      </c>
      <c r="D36" s="1112">
        <v>0</v>
      </c>
      <c r="E36" s="1112">
        <v>0</v>
      </c>
      <c r="F36" s="1112">
        <v>0</v>
      </c>
      <c r="G36" s="1112">
        <v>0</v>
      </c>
      <c r="H36" s="1112">
        <v>0</v>
      </c>
      <c r="I36" s="1112">
        <v>0</v>
      </c>
      <c r="J36" s="1112">
        <v>0</v>
      </c>
      <c r="K36" s="1112"/>
      <c r="L36" s="1112">
        <v>0</v>
      </c>
      <c r="M36" s="1112">
        <v>0</v>
      </c>
      <c r="N36" s="1112">
        <v>0</v>
      </c>
      <c r="O36" s="1112">
        <v>0</v>
      </c>
      <c r="P36" s="1112">
        <v>0</v>
      </c>
      <c r="Q36" s="1112">
        <v>0</v>
      </c>
      <c r="R36" s="1112">
        <v>0</v>
      </c>
      <c r="S36" s="1112">
        <v>0</v>
      </c>
      <c r="T36" s="1112">
        <v>0</v>
      </c>
      <c r="U36" s="1112">
        <v>0</v>
      </c>
      <c r="V36" s="1112">
        <v>0</v>
      </c>
      <c r="W36" s="1112">
        <v>0.14000000000000001</v>
      </c>
      <c r="X36" s="1112">
        <v>0</v>
      </c>
      <c r="Y36" s="1112">
        <v>0</v>
      </c>
      <c r="Z36" s="1112">
        <v>0</v>
      </c>
      <c r="AA36" s="1079">
        <v>0</v>
      </c>
      <c r="AC36" s="1115" t="s">
        <v>236</v>
      </c>
      <c r="AD36" s="1112">
        <v>0</v>
      </c>
      <c r="AE36" s="1112">
        <v>0</v>
      </c>
      <c r="AF36" s="1112">
        <v>0</v>
      </c>
      <c r="AG36" s="1112">
        <v>0</v>
      </c>
      <c r="AH36" s="1079">
        <v>0</v>
      </c>
    </row>
    <row r="37" spans="1:41">
      <c r="A37" s="1115" t="s">
        <v>227</v>
      </c>
      <c r="B37" s="1112">
        <v>0</v>
      </c>
      <c r="C37" s="1112">
        <v>0.03</v>
      </c>
      <c r="D37" s="1112">
        <v>0</v>
      </c>
      <c r="E37" s="1112">
        <v>0</v>
      </c>
      <c r="F37" s="1112">
        <v>0.05</v>
      </c>
      <c r="G37" s="1112">
        <v>0</v>
      </c>
      <c r="H37" s="1112">
        <v>0</v>
      </c>
      <c r="I37" s="1112">
        <v>0.77</v>
      </c>
      <c r="J37" s="1112">
        <v>0</v>
      </c>
      <c r="K37" s="1112">
        <v>0</v>
      </c>
      <c r="L37" s="1112"/>
      <c r="M37" s="1112">
        <v>0.21</v>
      </c>
      <c r="N37" s="1112">
        <v>0</v>
      </c>
      <c r="O37" s="1112">
        <v>0</v>
      </c>
      <c r="P37" s="1112">
        <v>0</v>
      </c>
      <c r="Q37" s="1112">
        <v>0</v>
      </c>
      <c r="R37" s="1112">
        <v>0</v>
      </c>
      <c r="S37" s="1112">
        <v>0</v>
      </c>
      <c r="T37" s="1112">
        <v>0</v>
      </c>
      <c r="U37" s="1112">
        <v>0</v>
      </c>
      <c r="V37" s="1112">
        <v>0</v>
      </c>
      <c r="W37" s="1112">
        <v>0.05</v>
      </c>
      <c r="X37" s="1112">
        <v>0</v>
      </c>
      <c r="Y37" s="1112">
        <v>0</v>
      </c>
      <c r="Z37" s="1112">
        <v>0</v>
      </c>
      <c r="AA37" s="1079">
        <v>0</v>
      </c>
      <c r="AC37" s="1115" t="s">
        <v>227</v>
      </c>
      <c r="AD37" s="1112">
        <v>0</v>
      </c>
      <c r="AE37" s="1112">
        <v>0</v>
      </c>
      <c r="AF37" s="1112">
        <v>0</v>
      </c>
      <c r="AG37" s="1112">
        <v>0</v>
      </c>
      <c r="AH37" s="1079">
        <v>0</v>
      </c>
    </row>
    <row r="38" spans="1:41">
      <c r="A38" s="1115" t="s">
        <v>2</v>
      </c>
      <c r="B38" s="1112">
        <v>0</v>
      </c>
      <c r="C38" s="1112">
        <v>0.5</v>
      </c>
      <c r="D38" s="1112">
        <v>0.11</v>
      </c>
      <c r="E38" s="1112">
        <v>0</v>
      </c>
      <c r="F38" s="1112">
        <v>0.66</v>
      </c>
      <c r="G38" s="1112">
        <v>0</v>
      </c>
      <c r="H38" s="1112">
        <v>0</v>
      </c>
      <c r="I38" s="1112">
        <v>0</v>
      </c>
      <c r="J38" s="1112">
        <v>0</v>
      </c>
      <c r="K38" s="1112">
        <v>0</v>
      </c>
      <c r="L38" s="1112">
        <v>0.85</v>
      </c>
      <c r="M38" s="1112"/>
      <c r="N38" s="1112">
        <v>0</v>
      </c>
      <c r="O38" s="1112">
        <v>0</v>
      </c>
      <c r="P38" s="1112">
        <v>0</v>
      </c>
      <c r="Q38" s="1112">
        <v>0</v>
      </c>
      <c r="R38" s="1112">
        <v>0</v>
      </c>
      <c r="S38" s="1112">
        <v>0</v>
      </c>
      <c r="T38" s="1112">
        <v>0</v>
      </c>
      <c r="U38" s="1112">
        <v>4.3099999999999996</v>
      </c>
      <c r="V38" s="1112">
        <v>0</v>
      </c>
      <c r="W38" s="1112">
        <v>0.31</v>
      </c>
      <c r="X38" s="1112">
        <v>0.44</v>
      </c>
      <c r="Y38" s="1112">
        <v>0</v>
      </c>
      <c r="Z38" s="1112">
        <v>0</v>
      </c>
      <c r="AA38" s="1079">
        <v>0</v>
      </c>
      <c r="AC38" s="1115" t="s">
        <v>2</v>
      </c>
      <c r="AD38" s="1112">
        <v>0</v>
      </c>
      <c r="AE38" s="1112">
        <v>0</v>
      </c>
      <c r="AF38" s="1112">
        <v>0</v>
      </c>
      <c r="AG38" s="1112">
        <v>0</v>
      </c>
      <c r="AH38" s="1079">
        <v>0</v>
      </c>
    </row>
    <row r="39" spans="1:41">
      <c r="A39" s="1115" t="s">
        <v>226</v>
      </c>
      <c r="B39" s="1112">
        <v>0</v>
      </c>
      <c r="C39" s="1112">
        <v>0.01</v>
      </c>
      <c r="D39" s="1112">
        <v>0</v>
      </c>
      <c r="E39" s="1112">
        <v>0</v>
      </c>
      <c r="F39" s="1112">
        <v>0</v>
      </c>
      <c r="G39" s="1112">
        <v>0</v>
      </c>
      <c r="H39" s="1112">
        <v>0</v>
      </c>
      <c r="I39" s="1112">
        <v>0</v>
      </c>
      <c r="J39" s="1112">
        <v>0</v>
      </c>
      <c r="K39" s="1112">
        <v>0</v>
      </c>
      <c r="L39" s="1112">
        <v>0</v>
      </c>
      <c r="M39" s="1112">
        <v>0</v>
      </c>
      <c r="N39" s="1112">
        <v>0</v>
      </c>
      <c r="O39" s="1112">
        <v>0</v>
      </c>
      <c r="P39" s="1112">
        <v>0</v>
      </c>
      <c r="Q39" s="1112"/>
      <c r="R39" s="1112">
        <v>0</v>
      </c>
      <c r="S39" s="1112">
        <v>0</v>
      </c>
      <c r="T39" s="1112">
        <v>0</v>
      </c>
      <c r="U39" s="1112">
        <v>0</v>
      </c>
      <c r="V39" s="1112">
        <v>0</v>
      </c>
      <c r="W39" s="1112">
        <v>0.17</v>
      </c>
      <c r="X39" s="1112">
        <v>0</v>
      </c>
      <c r="Y39" s="1112">
        <v>0</v>
      </c>
      <c r="Z39" s="1112">
        <v>0</v>
      </c>
      <c r="AA39" s="1079">
        <v>0</v>
      </c>
      <c r="AC39" s="1115" t="s">
        <v>226</v>
      </c>
      <c r="AD39" s="1112">
        <v>0</v>
      </c>
      <c r="AE39" s="1112">
        <v>0</v>
      </c>
      <c r="AF39" s="1112">
        <v>0</v>
      </c>
      <c r="AG39" s="1112">
        <v>0</v>
      </c>
      <c r="AH39" s="1079">
        <v>0</v>
      </c>
    </row>
    <row r="40" spans="1:41">
      <c r="A40" s="1115" t="s">
        <v>228</v>
      </c>
      <c r="B40" s="1112">
        <v>0</v>
      </c>
      <c r="C40" s="1112">
        <v>0</v>
      </c>
      <c r="D40" s="1112">
        <v>0</v>
      </c>
      <c r="E40" s="1112">
        <v>0</v>
      </c>
      <c r="F40" s="1112">
        <v>0.09</v>
      </c>
      <c r="G40" s="1112">
        <v>0</v>
      </c>
      <c r="H40" s="1112">
        <v>0</v>
      </c>
      <c r="I40" s="1112">
        <v>0</v>
      </c>
      <c r="J40" s="1112">
        <v>0</v>
      </c>
      <c r="K40" s="1112">
        <v>0</v>
      </c>
      <c r="L40" s="1112">
        <v>0</v>
      </c>
      <c r="M40" s="1112">
        <v>0.04</v>
      </c>
      <c r="N40" s="1112">
        <v>0</v>
      </c>
      <c r="O40" s="1112">
        <v>0</v>
      </c>
      <c r="P40" s="1112">
        <v>0</v>
      </c>
      <c r="Q40" s="1112">
        <v>0</v>
      </c>
      <c r="R40" s="1112">
        <v>0</v>
      </c>
      <c r="S40" s="1112">
        <v>0</v>
      </c>
      <c r="T40" s="1112">
        <v>0</v>
      </c>
      <c r="U40" s="1112"/>
      <c r="V40" s="1112">
        <v>0</v>
      </c>
      <c r="W40" s="1112">
        <v>0</v>
      </c>
      <c r="X40" s="1112">
        <v>0</v>
      </c>
      <c r="Y40" s="1112">
        <v>0</v>
      </c>
      <c r="Z40" s="1112">
        <v>0</v>
      </c>
      <c r="AA40" s="1079">
        <v>0</v>
      </c>
      <c r="AC40" s="1115" t="s">
        <v>228</v>
      </c>
      <c r="AD40" s="1112">
        <v>0</v>
      </c>
      <c r="AE40" s="1112">
        <v>0</v>
      </c>
      <c r="AF40" s="1112">
        <v>0</v>
      </c>
      <c r="AG40" s="1112">
        <v>0</v>
      </c>
      <c r="AH40" s="1079">
        <v>0</v>
      </c>
    </row>
    <row r="41" spans="1:41">
      <c r="A41" s="1115" t="s">
        <v>224</v>
      </c>
      <c r="B41" s="1112">
        <v>0</v>
      </c>
      <c r="C41" s="1112">
        <v>0.1</v>
      </c>
      <c r="D41" s="1112">
        <v>0</v>
      </c>
      <c r="E41" s="1112">
        <v>0</v>
      </c>
      <c r="F41" s="1112">
        <v>0</v>
      </c>
      <c r="G41" s="1112">
        <v>0</v>
      </c>
      <c r="H41" s="1112">
        <v>0</v>
      </c>
      <c r="I41" s="1112">
        <v>0</v>
      </c>
      <c r="J41" s="1112">
        <v>0</v>
      </c>
      <c r="K41" s="1112">
        <v>0</v>
      </c>
      <c r="L41" s="1112">
        <v>0</v>
      </c>
      <c r="M41" s="1112">
        <v>0</v>
      </c>
      <c r="N41" s="1112">
        <v>0</v>
      </c>
      <c r="O41" s="1112">
        <v>0</v>
      </c>
      <c r="P41" s="1112">
        <v>0</v>
      </c>
      <c r="Q41" s="1112">
        <v>0</v>
      </c>
      <c r="R41" s="1112">
        <v>0</v>
      </c>
      <c r="S41" s="1112">
        <v>0</v>
      </c>
      <c r="T41" s="1112">
        <v>0</v>
      </c>
      <c r="U41" s="1112">
        <v>0</v>
      </c>
      <c r="V41" s="1112"/>
      <c r="W41" s="1112">
        <v>0.23</v>
      </c>
      <c r="X41" s="1112">
        <v>0</v>
      </c>
      <c r="Y41" s="1112">
        <v>0.2</v>
      </c>
      <c r="Z41" s="1112">
        <v>0</v>
      </c>
      <c r="AA41" s="1079">
        <v>0</v>
      </c>
      <c r="AC41" s="1115" t="s">
        <v>224</v>
      </c>
      <c r="AD41" s="1112">
        <v>0</v>
      </c>
      <c r="AE41" s="1112">
        <v>0</v>
      </c>
      <c r="AF41" s="1112"/>
      <c r="AG41" s="1112">
        <v>0.2</v>
      </c>
      <c r="AH41" s="1079">
        <v>0</v>
      </c>
    </row>
    <row r="42" spans="1:41">
      <c r="A42" s="1115" t="s">
        <v>219</v>
      </c>
      <c r="B42" s="1112">
        <v>0.62</v>
      </c>
      <c r="C42" s="1112">
        <v>42.04</v>
      </c>
      <c r="D42" s="1112">
        <v>6.64</v>
      </c>
      <c r="E42" s="1112">
        <v>0</v>
      </c>
      <c r="F42" s="1112">
        <v>1</v>
      </c>
      <c r="G42" s="1112">
        <v>1.69</v>
      </c>
      <c r="H42" s="1112">
        <v>0</v>
      </c>
      <c r="I42" s="1112">
        <v>5.23</v>
      </c>
      <c r="J42" s="1112">
        <v>0</v>
      </c>
      <c r="K42" s="1112">
        <v>4.12</v>
      </c>
      <c r="L42" s="1112">
        <v>1.85</v>
      </c>
      <c r="M42" s="1112">
        <v>3.05</v>
      </c>
      <c r="N42" s="1112">
        <v>0</v>
      </c>
      <c r="O42" s="1112">
        <v>0</v>
      </c>
      <c r="P42" s="1112">
        <v>0</v>
      </c>
      <c r="Q42" s="1112">
        <v>5.51</v>
      </c>
      <c r="R42" s="1112">
        <v>0</v>
      </c>
      <c r="S42" s="1112">
        <v>0</v>
      </c>
      <c r="T42" s="1112">
        <v>0</v>
      </c>
      <c r="U42" s="1112">
        <v>0.22</v>
      </c>
      <c r="V42" s="1112">
        <v>1.75</v>
      </c>
      <c r="W42" s="1112"/>
      <c r="X42" s="1112">
        <v>8.58</v>
      </c>
      <c r="Y42" s="1112">
        <v>17.98</v>
      </c>
      <c r="Z42" s="1112">
        <v>0</v>
      </c>
      <c r="AA42" s="1079">
        <v>0</v>
      </c>
      <c r="AC42" s="1115" t="s">
        <v>219</v>
      </c>
      <c r="AD42" s="1112">
        <v>0</v>
      </c>
      <c r="AE42" s="1112">
        <v>0</v>
      </c>
      <c r="AF42" s="1112">
        <v>1.75</v>
      </c>
      <c r="AG42" s="1112">
        <v>17.98</v>
      </c>
      <c r="AH42" s="1079">
        <v>0</v>
      </c>
    </row>
    <row r="43" spans="1:41">
      <c r="A43" s="1115" t="s">
        <v>229</v>
      </c>
      <c r="B43" s="1112">
        <v>0</v>
      </c>
      <c r="C43" s="1112">
        <v>0.72</v>
      </c>
      <c r="D43" s="1112">
        <v>0.02</v>
      </c>
      <c r="E43" s="1112">
        <v>0</v>
      </c>
      <c r="F43" s="1112">
        <v>0</v>
      </c>
      <c r="G43" s="1112">
        <v>0</v>
      </c>
      <c r="H43" s="1112">
        <v>0</v>
      </c>
      <c r="I43" s="1112">
        <v>0</v>
      </c>
      <c r="J43" s="1112">
        <v>0</v>
      </c>
      <c r="K43" s="1112">
        <v>0</v>
      </c>
      <c r="L43" s="1112">
        <v>0</v>
      </c>
      <c r="M43" s="1112">
        <v>0</v>
      </c>
      <c r="N43" s="1112">
        <v>0</v>
      </c>
      <c r="O43" s="1112">
        <v>0</v>
      </c>
      <c r="P43" s="1112">
        <v>0</v>
      </c>
      <c r="Q43" s="1112">
        <v>0</v>
      </c>
      <c r="R43" s="1112">
        <v>0</v>
      </c>
      <c r="S43" s="1112">
        <v>0</v>
      </c>
      <c r="T43" s="1112">
        <v>0</v>
      </c>
      <c r="U43" s="1112">
        <v>0</v>
      </c>
      <c r="V43" s="1112">
        <v>0</v>
      </c>
      <c r="W43" s="1112">
        <v>0.2</v>
      </c>
      <c r="X43" s="1112"/>
      <c r="Y43" s="1112">
        <v>0</v>
      </c>
      <c r="Z43" s="1112">
        <v>0</v>
      </c>
      <c r="AA43" s="1079">
        <v>0</v>
      </c>
      <c r="AC43" s="1115" t="s">
        <v>229</v>
      </c>
      <c r="AD43" s="1112">
        <v>0</v>
      </c>
      <c r="AE43" s="1112">
        <v>0</v>
      </c>
      <c r="AF43" s="1112">
        <v>0</v>
      </c>
      <c r="AG43" s="1112">
        <v>0</v>
      </c>
      <c r="AH43" s="1079">
        <v>0</v>
      </c>
    </row>
    <row r="44" spans="1:41">
      <c r="A44" s="1115" t="s">
        <v>222</v>
      </c>
      <c r="B44" s="1112">
        <v>0</v>
      </c>
      <c r="C44" s="1112">
        <v>0.22</v>
      </c>
      <c r="D44" s="1112">
        <v>0</v>
      </c>
      <c r="E44" s="1112">
        <v>0</v>
      </c>
      <c r="F44" s="1112">
        <v>0</v>
      </c>
      <c r="G44" s="1112">
        <v>0</v>
      </c>
      <c r="H44" s="1112">
        <v>0</v>
      </c>
      <c r="I44" s="1112">
        <v>0</v>
      </c>
      <c r="J44" s="1112">
        <v>0</v>
      </c>
      <c r="K44" s="1112">
        <v>0</v>
      </c>
      <c r="L44" s="1112">
        <v>0</v>
      </c>
      <c r="M44" s="1112">
        <v>0</v>
      </c>
      <c r="N44" s="1112">
        <v>0</v>
      </c>
      <c r="O44" s="1112">
        <v>0</v>
      </c>
      <c r="P44" s="1112">
        <v>0</v>
      </c>
      <c r="Q44" s="1112">
        <v>0</v>
      </c>
      <c r="R44" s="1112">
        <v>0</v>
      </c>
      <c r="S44" s="1112">
        <v>0</v>
      </c>
      <c r="T44" s="1112">
        <v>0</v>
      </c>
      <c r="U44" s="1112">
        <v>0</v>
      </c>
      <c r="V44" s="1112">
        <v>0.13</v>
      </c>
      <c r="W44" s="1112">
        <v>0.1</v>
      </c>
      <c r="X44" s="1112">
        <v>0</v>
      </c>
      <c r="Y44" s="1112"/>
      <c r="Z44" s="1112">
        <v>0</v>
      </c>
      <c r="AA44" s="1079">
        <v>0</v>
      </c>
      <c r="AC44" s="1115" t="s">
        <v>222</v>
      </c>
      <c r="AD44" s="1112">
        <v>0</v>
      </c>
      <c r="AE44" s="1112">
        <v>0</v>
      </c>
      <c r="AF44" s="1112">
        <v>0.13</v>
      </c>
      <c r="AG44" s="1112"/>
      <c r="AH44" s="1079">
        <v>0</v>
      </c>
    </row>
    <row r="45" spans="1:41">
      <c r="A45" s="1115" t="s">
        <v>231</v>
      </c>
      <c r="B45" s="1112">
        <v>0</v>
      </c>
      <c r="C45" s="1112">
        <v>0.2</v>
      </c>
      <c r="D45" s="1112">
        <v>0</v>
      </c>
      <c r="E45" s="1112">
        <v>0</v>
      </c>
      <c r="F45" s="1112">
        <v>0</v>
      </c>
      <c r="G45" s="1112">
        <v>0</v>
      </c>
      <c r="H45" s="1112">
        <v>0</v>
      </c>
      <c r="I45" s="1112">
        <v>0</v>
      </c>
      <c r="J45" s="1112">
        <v>0</v>
      </c>
      <c r="K45" s="1112">
        <v>0</v>
      </c>
      <c r="L45" s="1112">
        <v>0</v>
      </c>
      <c r="M45" s="1112">
        <v>0</v>
      </c>
      <c r="N45" s="1112">
        <v>0</v>
      </c>
      <c r="O45" s="1112">
        <v>0</v>
      </c>
      <c r="P45" s="1112">
        <v>0</v>
      </c>
      <c r="Q45" s="1112">
        <v>0</v>
      </c>
      <c r="R45" s="1112">
        <v>0</v>
      </c>
      <c r="S45" s="1112">
        <v>0</v>
      </c>
      <c r="T45" s="1112">
        <v>0</v>
      </c>
      <c r="U45" s="1112">
        <v>0</v>
      </c>
      <c r="V45" s="1112">
        <v>0</v>
      </c>
      <c r="W45" s="1112">
        <v>0</v>
      </c>
      <c r="X45" s="1112">
        <v>0</v>
      </c>
      <c r="Y45" s="1112">
        <v>0</v>
      </c>
      <c r="Z45" s="1112">
        <v>0</v>
      </c>
      <c r="AA45" s="1079"/>
      <c r="AC45" s="1115" t="s">
        <v>231</v>
      </c>
      <c r="AD45" s="1112">
        <v>0</v>
      </c>
      <c r="AE45" s="1112">
        <v>0</v>
      </c>
      <c r="AF45" s="1112">
        <v>0</v>
      </c>
      <c r="AG45" s="1112">
        <v>0</v>
      </c>
      <c r="AH45" s="1079"/>
    </row>
    <row r="46" spans="1:41">
      <c r="A46" s="1115" t="s">
        <v>244</v>
      </c>
      <c r="B46" s="1112">
        <v>0</v>
      </c>
      <c r="C46" s="1112">
        <v>0.12</v>
      </c>
      <c r="D46" s="1112">
        <v>0</v>
      </c>
      <c r="E46" s="1112">
        <v>0</v>
      </c>
      <c r="F46" s="1112">
        <v>0</v>
      </c>
      <c r="G46" s="1112">
        <v>0</v>
      </c>
      <c r="H46" s="1112">
        <v>0</v>
      </c>
      <c r="I46" s="1112">
        <v>0.01</v>
      </c>
      <c r="J46" s="1112">
        <v>0</v>
      </c>
      <c r="K46" s="1112">
        <v>0</v>
      </c>
      <c r="L46" s="1112">
        <v>0</v>
      </c>
      <c r="M46" s="1112">
        <v>0</v>
      </c>
      <c r="N46" s="1112">
        <v>0</v>
      </c>
      <c r="O46" s="1112">
        <v>0</v>
      </c>
      <c r="P46" s="1112">
        <v>0</v>
      </c>
      <c r="Q46" s="1112">
        <v>0</v>
      </c>
      <c r="R46" s="1112">
        <v>0</v>
      </c>
      <c r="S46" s="1112">
        <v>0</v>
      </c>
      <c r="T46" s="1112">
        <v>0</v>
      </c>
      <c r="U46" s="1112">
        <v>0</v>
      </c>
      <c r="V46" s="1112">
        <v>0</v>
      </c>
      <c r="W46" s="1112">
        <v>0</v>
      </c>
      <c r="X46" s="1112">
        <v>0</v>
      </c>
      <c r="Y46" s="1112">
        <v>0</v>
      </c>
      <c r="Z46" s="1112">
        <v>0</v>
      </c>
      <c r="AA46" s="1112">
        <v>0</v>
      </c>
      <c r="AC46" s="1115" t="s">
        <v>244</v>
      </c>
      <c r="AD46" s="1112">
        <v>0</v>
      </c>
      <c r="AE46" s="1112">
        <v>0</v>
      </c>
      <c r="AF46" s="1112">
        <v>0</v>
      </c>
      <c r="AG46" s="1112">
        <v>0</v>
      </c>
      <c r="AH46" s="1112">
        <v>0</v>
      </c>
      <c r="AJ46" s="1099" t="s">
        <v>248</v>
      </c>
      <c r="AK46" s="1097" t="s">
        <v>232</v>
      </c>
      <c r="AL46" s="1097" t="s">
        <v>230</v>
      </c>
      <c r="AM46" s="1097" t="s">
        <v>224</v>
      </c>
      <c r="AN46" s="1097" t="s">
        <v>222</v>
      </c>
      <c r="AO46" s="1097" t="s">
        <v>231</v>
      </c>
    </row>
    <row r="47" spans="1:41">
      <c r="A47" s="1113" t="s">
        <v>253</v>
      </c>
      <c r="B47" s="1114">
        <v>96.53</v>
      </c>
      <c r="C47" s="1114">
        <v>31.36</v>
      </c>
      <c r="D47" s="1114">
        <v>71.72</v>
      </c>
      <c r="E47" s="1114">
        <v>17.239999999999998</v>
      </c>
      <c r="F47" s="1114">
        <v>80.33</v>
      </c>
      <c r="G47" s="1114">
        <v>78.95</v>
      </c>
      <c r="H47" s="1114">
        <v>0</v>
      </c>
      <c r="I47" s="1114">
        <v>83.53</v>
      </c>
      <c r="J47" s="1114">
        <v>0</v>
      </c>
      <c r="K47" s="1114">
        <v>94.14</v>
      </c>
      <c r="L47" s="1114">
        <v>82.43</v>
      </c>
      <c r="M47" s="1114">
        <v>84.94</v>
      </c>
      <c r="N47" s="1114">
        <v>99.45</v>
      </c>
      <c r="O47" s="1114">
        <v>100</v>
      </c>
      <c r="P47" s="1114">
        <v>76.47</v>
      </c>
      <c r="Q47" s="1114">
        <v>63.66</v>
      </c>
      <c r="R47" s="1114">
        <v>100</v>
      </c>
      <c r="S47" s="1114">
        <v>83.12</v>
      </c>
      <c r="T47" s="1114">
        <v>0</v>
      </c>
      <c r="U47" s="1114">
        <v>91.48</v>
      </c>
      <c r="V47" s="1114">
        <v>89.05</v>
      </c>
      <c r="W47" s="1114">
        <v>22.33</v>
      </c>
      <c r="X47" s="1114">
        <v>64.650000000000006</v>
      </c>
      <c r="Y47" s="1114">
        <v>42.93</v>
      </c>
      <c r="Z47" s="1114">
        <v>0</v>
      </c>
      <c r="AA47" s="1114">
        <v>5.77</v>
      </c>
      <c r="AC47" s="1113" t="s">
        <v>253</v>
      </c>
      <c r="AD47" s="1114">
        <v>99.45</v>
      </c>
      <c r="AE47" s="1114">
        <v>100</v>
      </c>
      <c r="AF47" s="1114">
        <v>89.05</v>
      </c>
      <c r="AG47" s="1114">
        <v>42.93</v>
      </c>
      <c r="AH47" s="1114">
        <v>5.77</v>
      </c>
      <c r="AJ47" s="1113" t="s">
        <v>251</v>
      </c>
      <c r="AK47" s="1114">
        <v>33.67</v>
      </c>
      <c r="AL47" s="1114">
        <v>38.9</v>
      </c>
      <c r="AM47" s="1114">
        <v>52.54</v>
      </c>
      <c r="AN47" s="1114">
        <v>65.69</v>
      </c>
      <c r="AO47" s="1114">
        <v>40.51</v>
      </c>
    </row>
    <row r="48" spans="1:41">
      <c r="A48" s="1113" t="s">
        <v>30</v>
      </c>
      <c r="B48" s="1114">
        <v>100</v>
      </c>
      <c r="C48" s="1114">
        <v>100</v>
      </c>
      <c r="D48" s="1114">
        <v>100</v>
      </c>
      <c r="E48" s="1114">
        <v>100</v>
      </c>
      <c r="F48" s="1114">
        <v>100</v>
      </c>
      <c r="G48" s="1114">
        <v>100</v>
      </c>
      <c r="H48" s="1114">
        <v>0</v>
      </c>
      <c r="I48" s="1114">
        <v>100</v>
      </c>
      <c r="J48" s="1114">
        <v>0</v>
      </c>
      <c r="K48" s="1114">
        <v>100</v>
      </c>
      <c r="L48" s="1114">
        <v>100</v>
      </c>
      <c r="M48" s="1114">
        <v>100</v>
      </c>
      <c r="N48" s="1114">
        <v>100</v>
      </c>
      <c r="O48" s="1114">
        <v>100</v>
      </c>
      <c r="P48" s="1114">
        <v>100</v>
      </c>
      <c r="Q48" s="1114">
        <v>100</v>
      </c>
      <c r="R48" s="1114">
        <v>100</v>
      </c>
      <c r="S48" s="1114">
        <v>100</v>
      </c>
      <c r="T48" s="1114">
        <v>0</v>
      </c>
      <c r="U48" s="1114">
        <v>100</v>
      </c>
      <c r="V48" s="1114">
        <v>100</v>
      </c>
      <c r="W48" s="1114">
        <v>100</v>
      </c>
      <c r="X48" s="1114">
        <v>100</v>
      </c>
      <c r="Y48" s="1114">
        <v>100</v>
      </c>
      <c r="Z48" s="1114">
        <v>0</v>
      </c>
      <c r="AA48" s="1114">
        <v>100</v>
      </c>
      <c r="AC48" s="1113" t="s">
        <v>30</v>
      </c>
      <c r="AD48" s="1114">
        <v>100</v>
      </c>
      <c r="AE48" s="1114">
        <v>100</v>
      </c>
      <c r="AF48" s="1114">
        <v>100</v>
      </c>
      <c r="AG48" s="1114">
        <v>100</v>
      </c>
      <c r="AH48" s="1114">
        <v>100</v>
      </c>
      <c r="AJ48" s="1113" t="s">
        <v>1116</v>
      </c>
      <c r="AK48" s="1114">
        <v>14.1</v>
      </c>
      <c r="AL48" s="1114">
        <v>30.36</v>
      </c>
      <c r="AM48" s="1114">
        <v>34.75</v>
      </c>
      <c r="AN48" s="1114">
        <v>16.78</v>
      </c>
      <c r="AO48" s="1114">
        <v>51.48</v>
      </c>
    </row>
    <row r="49" spans="1:41">
      <c r="A49" s="1099" t="s">
        <v>248</v>
      </c>
      <c r="B49" s="1097" t="s">
        <v>233</v>
      </c>
      <c r="C49" s="1097" t="s">
        <v>220</v>
      </c>
      <c r="D49" s="1097" t="s">
        <v>223</v>
      </c>
      <c r="E49" s="1097" t="s">
        <v>249</v>
      </c>
      <c r="F49" s="1097" t="s">
        <v>221</v>
      </c>
      <c r="G49" s="1097" t="s">
        <v>234</v>
      </c>
      <c r="H49" s="1097" t="s">
        <v>242</v>
      </c>
      <c r="I49" s="1097" t="s">
        <v>225</v>
      </c>
      <c r="J49" s="1097" t="s">
        <v>12</v>
      </c>
      <c r="K49" s="1097" t="s">
        <v>236</v>
      </c>
      <c r="L49" s="1097" t="s">
        <v>227</v>
      </c>
      <c r="M49" s="1097" t="s">
        <v>2</v>
      </c>
      <c r="N49" s="1097" t="s">
        <v>232</v>
      </c>
      <c r="O49" s="1097" t="s">
        <v>230</v>
      </c>
      <c r="P49" s="1097" t="s">
        <v>238</v>
      </c>
      <c r="Q49" s="1097" t="s">
        <v>226</v>
      </c>
      <c r="R49" s="1097" t="s">
        <v>3</v>
      </c>
      <c r="S49" s="1097" t="s">
        <v>235</v>
      </c>
      <c r="T49" s="1097" t="s">
        <v>250</v>
      </c>
      <c r="U49" s="1097" t="s">
        <v>228</v>
      </c>
      <c r="V49" s="1097" t="s">
        <v>224</v>
      </c>
      <c r="W49" s="1097" t="s">
        <v>219</v>
      </c>
      <c r="X49" s="1097" t="s">
        <v>229</v>
      </c>
      <c r="Y49" s="1097" t="s">
        <v>222</v>
      </c>
      <c r="Z49" s="1097" t="s">
        <v>1018</v>
      </c>
      <c r="AA49" s="1097" t="s">
        <v>231</v>
      </c>
      <c r="AC49" s="1099" t="s">
        <v>248</v>
      </c>
      <c r="AD49" s="1097" t="s">
        <v>232</v>
      </c>
      <c r="AE49" s="1097" t="s">
        <v>230</v>
      </c>
      <c r="AF49" s="1097" t="s">
        <v>224</v>
      </c>
      <c r="AG49" s="1097" t="s">
        <v>222</v>
      </c>
      <c r="AH49" s="1097" t="s">
        <v>231</v>
      </c>
      <c r="AJ49" s="1113" t="s">
        <v>253</v>
      </c>
      <c r="AK49" s="1114">
        <v>52.23</v>
      </c>
      <c r="AL49" s="1114">
        <v>30.74</v>
      </c>
      <c r="AM49" s="1114">
        <v>12.71</v>
      </c>
      <c r="AN49" s="1114">
        <v>17.53</v>
      </c>
      <c r="AO49" s="1114">
        <v>8.02</v>
      </c>
    </row>
    <row r="50" spans="1:41">
      <c r="A50" s="1100" t="s">
        <v>1126</v>
      </c>
      <c r="B50" s="1112"/>
      <c r="C50" s="1112"/>
      <c r="D50" s="1112"/>
      <c r="E50" s="1112"/>
      <c r="F50" s="1112"/>
      <c r="G50" s="1112"/>
      <c r="H50" s="1112"/>
      <c r="I50" s="1112"/>
      <c r="J50" s="1112"/>
      <c r="K50" s="1112"/>
      <c r="L50" s="1112"/>
      <c r="M50" s="1112"/>
      <c r="N50" s="1112"/>
      <c r="O50" s="1112"/>
      <c r="P50" s="1112"/>
      <c r="Q50" s="1112"/>
      <c r="R50" s="1112"/>
      <c r="S50" s="1112"/>
      <c r="T50" s="1112"/>
      <c r="U50" s="1112"/>
      <c r="V50" s="1112"/>
      <c r="W50" s="1112"/>
      <c r="X50" s="1112"/>
      <c r="Y50" s="1112"/>
      <c r="Z50" s="1112"/>
      <c r="AA50" s="1079"/>
      <c r="AC50" s="1100" t="s">
        <v>1126</v>
      </c>
      <c r="AD50" s="1112"/>
      <c r="AE50" s="1112"/>
      <c r="AF50" s="1112"/>
      <c r="AG50" s="1112"/>
      <c r="AH50" s="1079"/>
    </row>
    <row r="51" spans="1:41">
      <c r="A51" s="1113" t="s">
        <v>251</v>
      </c>
      <c r="B51" s="1114">
        <v>92.31</v>
      </c>
      <c r="C51" s="1114">
        <v>78.25</v>
      </c>
      <c r="D51" s="1114">
        <v>54.02</v>
      </c>
      <c r="E51" s="1114">
        <v>100</v>
      </c>
      <c r="F51" s="1114">
        <v>64.27</v>
      </c>
      <c r="G51" s="1114">
        <v>39.58</v>
      </c>
      <c r="H51" s="1114">
        <v>0</v>
      </c>
      <c r="I51" s="1114">
        <v>74.569999999999993</v>
      </c>
      <c r="J51" s="1114">
        <v>0</v>
      </c>
      <c r="K51" s="1114">
        <v>33.04</v>
      </c>
      <c r="L51" s="1114">
        <v>41.89</v>
      </c>
      <c r="M51" s="1114">
        <v>53.07</v>
      </c>
      <c r="N51" s="1114">
        <v>33.67</v>
      </c>
      <c r="O51" s="1114">
        <v>38.9</v>
      </c>
      <c r="P51" s="1114">
        <v>65.75</v>
      </c>
      <c r="Q51" s="1114">
        <v>90.45</v>
      </c>
      <c r="R51" s="1114">
        <v>0</v>
      </c>
      <c r="S51" s="1114">
        <v>56.64</v>
      </c>
      <c r="T51" s="1114">
        <v>0</v>
      </c>
      <c r="U51" s="1114">
        <v>13.3</v>
      </c>
      <c r="V51" s="1114">
        <v>52.54</v>
      </c>
      <c r="W51" s="1114">
        <v>66.14</v>
      </c>
      <c r="X51" s="1114">
        <v>73.89</v>
      </c>
      <c r="Y51" s="1114">
        <v>65.69</v>
      </c>
      <c r="Z51" s="1114">
        <v>0</v>
      </c>
      <c r="AA51" s="1114">
        <v>40.51</v>
      </c>
      <c r="AC51" s="1113" t="s">
        <v>251</v>
      </c>
      <c r="AD51" s="1114">
        <v>33.67</v>
      </c>
      <c r="AE51" s="1114">
        <v>38.9</v>
      </c>
      <c r="AF51" s="1114">
        <v>52.54</v>
      </c>
      <c r="AG51" s="1114">
        <v>65.69</v>
      </c>
      <c r="AH51" s="1114">
        <v>40.51</v>
      </c>
      <c r="AJ51" s="1103" t="s">
        <v>220</v>
      </c>
      <c r="AK51" s="1079">
        <v>5.81</v>
      </c>
      <c r="AL51" s="1079">
        <v>0.77</v>
      </c>
      <c r="AM51" s="1079">
        <v>13.91</v>
      </c>
      <c r="AN51" s="1079">
        <v>5.74</v>
      </c>
      <c r="AO51" s="1079">
        <v>1.23</v>
      </c>
    </row>
    <row r="52" spans="1:41">
      <c r="A52" s="1113" t="s">
        <v>1116</v>
      </c>
      <c r="B52" s="1114">
        <v>0</v>
      </c>
      <c r="C52" s="1114">
        <v>12.29</v>
      </c>
      <c r="D52" s="1114">
        <v>26.5</v>
      </c>
      <c r="E52" s="1114">
        <v>0</v>
      </c>
      <c r="F52" s="1114">
        <v>13.9</v>
      </c>
      <c r="G52" s="1114">
        <v>0</v>
      </c>
      <c r="H52" s="1114">
        <v>0</v>
      </c>
      <c r="I52" s="1114">
        <v>3.71</v>
      </c>
      <c r="J52" s="1114">
        <v>0</v>
      </c>
      <c r="K52" s="1114">
        <v>0</v>
      </c>
      <c r="L52" s="1114">
        <v>35.14</v>
      </c>
      <c r="M52" s="1114">
        <v>12.44</v>
      </c>
      <c r="N52" s="1114">
        <v>14.1</v>
      </c>
      <c r="O52" s="1114">
        <v>30.36</v>
      </c>
      <c r="P52" s="1114">
        <v>23.97</v>
      </c>
      <c r="Q52" s="1114">
        <v>5.45</v>
      </c>
      <c r="R52" s="1114">
        <v>100</v>
      </c>
      <c r="S52" s="1114">
        <v>8.85</v>
      </c>
      <c r="T52" s="1114">
        <v>0</v>
      </c>
      <c r="U52" s="1114">
        <v>2.13</v>
      </c>
      <c r="V52" s="1114">
        <v>34.75</v>
      </c>
      <c r="W52" s="1114">
        <v>25.79</v>
      </c>
      <c r="X52" s="1114">
        <v>6.67</v>
      </c>
      <c r="Y52" s="1114">
        <v>16.78</v>
      </c>
      <c r="Z52" s="1114">
        <v>0</v>
      </c>
      <c r="AA52" s="1114">
        <v>51.48</v>
      </c>
      <c r="AC52" s="1113" t="s">
        <v>1116</v>
      </c>
      <c r="AD52" s="1114">
        <v>14.1</v>
      </c>
      <c r="AE52" s="1114">
        <v>30.36</v>
      </c>
      <c r="AF52" s="1114">
        <v>34.75</v>
      </c>
      <c r="AG52" s="1114">
        <v>16.78</v>
      </c>
      <c r="AH52" s="1114">
        <v>51.48</v>
      </c>
      <c r="AJ52" s="1103" t="s">
        <v>232</v>
      </c>
      <c r="AK52" s="1079"/>
      <c r="AL52" s="1079">
        <v>0</v>
      </c>
      <c r="AM52" s="1079">
        <v>0.04</v>
      </c>
      <c r="AN52" s="1079">
        <v>0.28999999999999998</v>
      </c>
      <c r="AO52" s="1079">
        <v>5.62</v>
      </c>
    </row>
    <row r="53" spans="1:41">
      <c r="A53" s="1115" t="s">
        <v>220</v>
      </c>
      <c r="B53" s="1112">
        <v>0</v>
      </c>
      <c r="C53" s="1112"/>
      <c r="D53" s="1112">
        <v>20.91</v>
      </c>
      <c r="E53" s="1112">
        <v>0</v>
      </c>
      <c r="F53" s="1112">
        <v>7.6</v>
      </c>
      <c r="G53" s="1112">
        <v>0</v>
      </c>
      <c r="H53" s="1112">
        <v>0</v>
      </c>
      <c r="I53" s="1112">
        <v>3.71</v>
      </c>
      <c r="J53" s="1112">
        <v>0</v>
      </c>
      <c r="K53" s="1112">
        <v>0</v>
      </c>
      <c r="L53" s="1112">
        <v>8.11</v>
      </c>
      <c r="M53" s="1112">
        <v>4.4000000000000004</v>
      </c>
      <c r="N53" s="1112">
        <v>2.0099999999999998</v>
      </c>
      <c r="O53" s="1112">
        <v>26.51</v>
      </c>
      <c r="P53" s="1112">
        <v>10.59</v>
      </c>
      <c r="Q53" s="1112">
        <v>0.91</v>
      </c>
      <c r="R53" s="1112">
        <v>0</v>
      </c>
      <c r="S53" s="1112">
        <v>0</v>
      </c>
      <c r="T53" s="1112">
        <v>0</v>
      </c>
      <c r="U53" s="1112">
        <v>1.6</v>
      </c>
      <c r="V53" s="1112">
        <v>27.54</v>
      </c>
      <c r="W53" s="1112">
        <v>23.49</v>
      </c>
      <c r="X53" s="1112">
        <v>5.56</v>
      </c>
      <c r="Y53" s="1112">
        <v>6.8</v>
      </c>
      <c r="Z53" s="1112">
        <v>0</v>
      </c>
      <c r="AA53" s="1079">
        <v>22.78</v>
      </c>
      <c r="AC53" s="1115" t="s">
        <v>220</v>
      </c>
      <c r="AD53" s="1112">
        <v>2.0099999999999998</v>
      </c>
      <c r="AE53" s="1112">
        <v>26.51</v>
      </c>
      <c r="AF53" s="1112">
        <v>27.54</v>
      </c>
      <c r="AG53" s="1112">
        <v>6.8</v>
      </c>
      <c r="AH53" s="1079">
        <v>22.78</v>
      </c>
      <c r="AJ53" s="1103" t="s">
        <v>224</v>
      </c>
      <c r="AK53" s="1079">
        <v>1.32</v>
      </c>
      <c r="AL53" s="1079">
        <v>0.65</v>
      </c>
      <c r="AM53" s="1079"/>
      <c r="AN53" s="1079">
        <v>5.87</v>
      </c>
      <c r="AO53" s="1079">
        <v>1.23</v>
      </c>
    </row>
    <row r="54" spans="1:41">
      <c r="A54" s="1115" t="s">
        <v>223</v>
      </c>
      <c r="B54" s="1112">
        <v>0</v>
      </c>
      <c r="C54" s="1112">
        <v>0.47</v>
      </c>
      <c r="D54" s="1112"/>
      <c r="E54" s="1112">
        <v>0</v>
      </c>
      <c r="F54" s="1112">
        <v>0.38</v>
      </c>
      <c r="G54" s="1112">
        <v>0</v>
      </c>
      <c r="H54" s="1112">
        <v>0</v>
      </c>
      <c r="I54" s="1112">
        <v>0</v>
      </c>
      <c r="J54" s="1112">
        <v>0</v>
      </c>
      <c r="K54" s="1112">
        <v>0</v>
      </c>
      <c r="L54" s="1112">
        <v>0</v>
      </c>
      <c r="M54" s="1112">
        <v>0</v>
      </c>
      <c r="N54" s="1112">
        <v>0</v>
      </c>
      <c r="O54" s="1112">
        <v>0.86</v>
      </c>
      <c r="P54" s="1112">
        <v>0</v>
      </c>
      <c r="Q54" s="1112">
        <v>4.55</v>
      </c>
      <c r="R54" s="1112">
        <v>0</v>
      </c>
      <c r="S54" s="1112">
        <v>0</v>
      </c>
      <c r="T54" s="1112">
        <v>0</v>
      </c>
      <c r="U54" s="1112">
        <v>0</v>
      </c>
      <c r="V54" s="1112">
        <v>0</v>
      </c>
      <c r="W54" s="1112">
        <v>0.44</v>
      </c>
      <c r="X54" s="1112">
        <v>0</v>
      </c>
      <c r="Y54" s="1112">
        <v>0.57999999999999996</v>
      </c>
      <c r="Z54" s="1112">
        <v>0</v>
      </c>
      <c r="AA54" s="1079">
        <v>0</v>
      </c>
      <c r="AC54" s="1115" t="s">
        <v>223</v>
      </c>
      <c r="AD54" s="1112">
        <v>0</v>
      </c>
      <c r="AE54" s="1112">
        <v>0.86</v>
      </c>
      <c r="AF54" s="1112">
        <v>0</v>
      </c>
      <c r="AG54" s="1112">
        <v>0.57999999999999996</v>
      </c>
      <c r="AH54" s="1079">
        <v>0</v>
      </c>
      <c r="AJ54" s="1103" t="s">
        <v>219</v>
      </c>
      <c r="AK54" s="1079">
        <v>0.87</v>
      </c>
      <c r="AL54" s="1079">
        <v>1.72</v>
      </c>
      <c r="AM54" s="1079">
        <v>1.34</v>
      </c>
      <c r="AN54" s="1079">
        <v>2.58</v>
      </c>
      <c r="AO54" s="1079">
        <v>1.37</v>
      </c>
    </row>
    <row r="55" spans="1:41">
      <c r="A55" s="1115" t="s">
        <v>221</v>
      </c>
      <c r="B55" s="1112">
        <v>0</v>
      </c>
      <c r="C55" s="1112">
        <v>0.48</v>
      </c>
      <c r="D55" s="1112">
        <v>2.27</v>
      </c>
      <c r="E55" s="1112">
        <v>0</v>
      </c>
      <c r="F55" s="1112"/>
      <c r="G55" s="1112">
        <v>0</v>
      </c>
      <c r="H55" s="1112">
        <v>0</v>
      </c>
      <c r="I55" s="1112">
        <v>0</v>
      </c>
      <c r="J55" s="1112">
        <v>0</v>
      </c>
      <c r="K55" s="1112">
        <v>0</v>
      </c>
      <c r="L55" s="1112">
        <v>1.35</v>
      </c>
      <c r="M55" s="1112">
        <v>4.04</v>
      </c>
      <c r="N55" s="1112">
        <v>0</v>
      </c>
      <c r="O55" s="1112">
        <v>0</v>
      </c>
      <c r="P55" s="1112">
        <v>0</v>
      </c>
      <c r="Q55" s="1112">
        <v>0</v>
      </c>
      <c r="R55" s="1112">
        <v>0</v>
      </c>
      <c r="S55" s="1112">
        <v>0</v>
      </c>
      <c r="T55" s="1112">
        <v>0</v>
      </c>
      <c r="U55" s="1112">
        <v>0</v>
      </c>
      <c r="V55" s="1112">
        <v>0.19</v>
      </c>
      <c r="W55" s="1112">
        <v>0.95</v>
      </c>
      <c r="X55" s="1112">
        <v>0</v>
      </c>
      <c r="Y55" s="1112">
        <v>0.82</v>
      </c>
      <c r="Z55" s="1112">
        <v>0</v>
      </c>
      <c r="AA55" s="1079">
        <v>0</v>
      </c>
      <c r="AC55" s="1115" t="s">
        <v>221</v>
      </c>
      <c r="AD55" s="1112">
        <v>0</v>
      </c>
      <c r="AE55" s="1112">
        <v>0</v>
      </c>
      <c r="AF55" s="1112">
        <v>0.19</v>
      </c>
      <c r="AG55" s="1112">
        <v>0.82</v>
      </c>
      <c r="AH55" s="1079">
        <v>0</v>
      </c>
      <c r="AJ55" s="1103" t="s">
        <v>231</v>
      </c>
      <c r="AK55" s="1079">
        <v>2.09</v>
      </c>
      <c r="AL55" s="1079">
        <v>0.06</v>
      </c>
      <c r="AM55" s="1079">
        <v>0.1</v>
      </c>
      <c r="AN55" s="1079">
        <v>0.2</v>
      </c>
      <c r="AO55" s="1079"/>
    </row>
    <row r="56" spans="1:41">
      <c r="A56" s="1115" t="s">
        <v>227</v>
      </c>
      <c r="B56" s="1112">
        <v>0</v>
      </c>
      <c r="C56" s="1112">
        <v>0.02</v>
      </c>
      <c r="D56" s="1112">
        <v>0</v>
      </c>
      <c r="E56" s="1112">
        <v>0</v>
      </c>
      <c r="F56" s="1112">
        <v>0.31</v>
      </c>
      <c r="G56" s="1112">
        <v>0</v>
      </c>
      <c r="H56" s="1112">
        <v>0</v>
      </c>
      <c r="I56" s="1112">
        <v>0</v>
      </c>
      <c r="J56" s="1112">
        <v>0</v>
      </c>
      <c r="K56" s="1112">
        <v>0</v>
      </c>
      <c r="L56" s="1112"/>
      <c r="M56" s="1112">
        <v>1.28</v>
      </c>
      <c r="N56" s="1112">
        <v>0</v>
      </c>
      <c r="O56" s="1112">
        <v>0</v>
      </c>
      <c r="P56" s="1112">
        <v>0</v>
      </c>
      <c r="Q56" s="1112">
        <v>0</v>
      </c>
      <c r="R56" s="1112">
        <v>0</v>
      </c>
      <c r="S56" s="1112">
        <v>0</v>
      </c>
      <c r="T56" s="1112">
        <v>0</v>
      </c>
      <c r="U56" s="1112">
        <v>0</v>
      </c>
      <c r="V56" s="1112">
        <v>0</v>
      </c>
      <c r="W56" s="1112">
        <v>0.06</v>
      </c>
      <c r="X56" s="1112">
        <v>0</v>
      </c>
      <c r="Y56" s="1112">
        <v>0</v>
      </c>
      <c r="Z56" s="1112">
        <v>0</v>
      </c>
      <c r="AA56" s="1079">
        <v>0</v>
      </c>
      <c r="AC56" s="1115" t="s">
        <v>227</v>
      </c>
      <c r="AD56" s="1112">
        <v>0</v>
      </c>
      <c r="AE56" s="1112">
        <v>0</v>
      </c>
      <c r="AF56" s="1112">
        <v>0</v>
      </c>
      <c r="AG56" s="1112">
        <v>0</v>
      </c>
      <c r="AH56" s="1079">
        <v>0</v>
      </c>
    </row>
    <row r="57" spans="1:41">
      <c r="A57" s="1115" t="s">
        <v>2</v>
      </c>
      <c r="B57" s="1112">
        <v>0</v>
      </c>
      <c r="C57" s="1112">
        <v>0.5</v>
      </c>
      <c r="D57" s="1112">
        <v>0</v>
      </c>
      <c r="E57" s="1112">
        <v>0</v>
      </c>
      <c r="F57" s="1112">
        <v>0.93</v>
      </c>
      <c r="G57" s="1112">
        <v>0</v>
      </c>
      <c r="H57" s="1112">
        <v>0</v>
      </c>
      <c r="I57" s="1112">
        <v>0</v>
      </c>
      <c r="J57" s="1112">
        <v>0</v>
      </c>
      <c r="K57" s="1112">
        <v>0</v>
      </c>
      <c r="L57" s="1112">
        <v>15.54</v>
      </c>
      <c r="M57" s="1112"/>
      <c r="N57" s="1112">
        <v>0</v>
      </c>
      <c r="O57" s="1112">
        <v>0</v>
      </c>
      <c r="P57" s="1112">
        <v>0</v>
      </c>
      <c r="Q57" s="1112">
        <v>0</v>
      </c>
      <c r="R57" s="1112">
        <v>0</v>
      </c>
      <c r="S57" s="1112">
        <v>0</v>
      </c>
      <c r="T57" s="1112">
        <v>0</v>
      </c>
      <c r="U57" s="1112">
        <v>0</v>
      </c>
      <c r="V57" s="1112">
        <v>0.55000000000000004</v>
      </c>
      <c r="W57" s="1112">
        <v>0.39</v>
      </c>
      <c r="X57" s="1112">
        <v>0</v>
      </c>
      <c r="Y57" s="1112">
        <v>0</v>
      </c>
      <c r="Z57" s="1112">
        <v>0</v>
      </c>
      <c r="AA57" s="1079">
        <v>0</v>
      </c>
      <c r="AC57" s="1115" t="s">
        <v>2</v>
      </c>
      <c r="AD57" s="1112">
        <v>0</v>
      </c>
      <c r="AE57" s="1112">
        <v>0</v>
      </c>
      <c r="AF57" s="1112">
        <v>0.55000000000000004</v>
      </c>
      <c r="AG57" s="1112">
        <v>0</v>
      </c>
      <c r="AH57" s="1079">
        <v>0</v>
      </c>
    </row>
    <row r="58" spans="1:41">
      <c r="A58" s="1115" t="s">
        <v>232</v>
      </c>
      <c r="B58" s="1112">
        <v>0</v>
      </c>
      <c r="C58" s="1112">
        <v>0.15</v>
      </c>
      <c r="D58" s="1112">
        <v>0</v>
      </c>
      <c r="E58" s="1112">
        <v>0</v>
      </c>
      <c r="F58" s="1112">
        <v>0</v>
      </c>
      <c r="G58" s="1112">
        <v>0</v>
      </c>
      <c r="H58" s="1112">
        <v>0</v>
      </c>
      <c r="I58" s="1112">
        <v>0</v>
      </c>
      <c r="J58" s="1112">
        <v>0</v>
      </c>
      <c r="K58" s="1112">
        <v>0</v>
      </c>
      <c r="L58" s="1112">
        <v>0</v>
      </c>
      <c r="M58" s="1112">
        <v>0</v>
      </c>
      <c r="N58" s="1112"/>
      <c r="O58" s="1112">
        <v>0</v>
      </c>
      <c r="P58" s="1112">
        <v>6.85</v>
      </c>
      <c r="Q58" s="1112">
        <v>0</v>
      </c>
      <c r="R58" s="1112">
        <v>0</v>
      </c>
      <c r="S58" s="1112">
        <v>0</v>
      </c>
      <c r="T58" s="1112">
        <v>0</v>
      </c>
      <c r="U58" s="1112">
        <v>0</v>
      </c>
      <c r="V58" s="1112">
        <v>0.18</v>
      </c>
      <c r="W58" s="1112">
        <v>0.02</v>
      </c>
      <c r="X58" s="1112">
        <v>0</v>
      </c>
      <c r="Y58" s="1112">
        <v>0.11</v>
      </c>
      <c r="Z58" s="1112">
        <v>0</v>
      </c>
      <c r="AA58" s="1079">
        <v>17.72</v>
      </c>
      <c r="AC58" s="1115" t="s">
        <v>232</v>
      </c>
      <c r="AD58" s="1112"/>
      <c r="AE58" s="1112">
        <v>0</v>
      </c>
      <c r="AF58" s="1112">
        <v>0.18</v>
      </c>
      <c r="AG58" s="1112">
        <v>0.11</v>
      </c>
      <c r="AH58" s="1079">
        <v>17.72</v>
      </c>
    </row>
    <row r="59" spans="1:41">
      <c r="A59" s="1115" t="s">
        <v>230</v>
      </c>
      <c r="B59" s="1112">
        <v>0</v>
      </c>
      <c r="C59" s="1112">
        <v>0.19</v>
      </c>
      <c r="D59" s="1112">
        <v>0.1</v>
      </c>
      <c r="E59" s="1112">
        <v>0</v>
      </c>
      <c r="F59" s="1112">
        <v>0</v>
      </c>
      <c r="G59" s="1112">
        <v>0</v>
      </c>
      <c r="H59" s="1112">
        <v>0</v>
      </c>
      <c r="I59" s="1112">
        <v>0</v>
      </c>
      <c r="J59" s="1112">
        <v>0</v>
      </c>
      <c r="K59" s="1112">
        <v>0</v>
      </c>
      <c r="L59" s="1112">
        <v>0</v>
      </c>
      <c r="M59" s="1112">
        <v>0</v>
      </c>
      <c r="N59" s="1112">
        <v>0</v>
      </c>
      <c r="O59" s="1112"/>
      <c r="P59" s="1112">
        <v>0</v>
      </c>
      <c r="Q59" s="1112">
        <v>0</v>
      </c>
      <c r="R59" s="1112">
        <v>0</v>
      </c>
      <c r="S59" s="1112">
        <v>0</v>
      </c>
      <c r="T59" s="1112">
        <v>0</v>
      </c>
      <c r="U59" s="1112">
        <v>0</v>
      </c>
      <c r="V59" s="1112">
        <v>0</v>
      </c>
      <c r="W59" s="1112">
        <v>0</v>
      </c>
      <c r="X59" s="1112">
        <v>0</v>
      </c>
      <c r="Y59" s="1112">
        <v>0</v>
      </c>
      <c r="Z59" s="1112">
        <v>0</v>
      </c>
      <c r="AA59" s="1079">
        <v>4.22</v>
      </c>
      <c r="AC59" s="1115" t="s">
        <v>230</v>
      </c>
      <c r="AD59" s="1112">
        <v>0</v>
      </c>
      <c r="AE59" s="1112"/>
      <c r="AF59" s="1112">
        <v>0</v>
      </c>
      <c r="AG59" s="1112">
        <v>0</v>
      </c>
      <c r="AH59" s="1079">
        <v>4.22</v>
      </c>
    </row>
    <row r="60" spans="1:41">
      <c r="A60" s="1115" t="s">
        <v>238</v>
      </c>
      <c r="B60" s="1112">
        <v>0</v>
      </c>
      <c r="C60" s="1112">
        <v>0</v>
      </c>
      <c r="D60" s="1112">
        <v>0</v>
      </c>
      <c r="E60" s="1112">
        <v>0</v>
      </c>
      <c r="F60" s="1112">
        <v>0</v>
      </c>
      <c r="G60" s="1112">
        <v>0</v>
      </c>
      <c r="H60" s="1112">
        <v>0</v>
      </c>
      <c r="I60" s="1112">
        <v>0</v>
      </c>
      <c r="J60" s="1112">
        <v>0</v>
      </c>
      <c r="K60" s="1112">
        <v>0</v>
      </c>
      <c r="L60" s="1112">
        <v>0</v>
      </c>
      <c r="M60" s="1112">
        <v>0</v>
      </c>
      <c r="N60" s="1112">
        <v>4.03</v>
      </c>
      <c r="O60" s="1112">
        <v>0</v>
      </c>
      <c r="P60" s="1112"/>
      <c r="Q60" s="1112">
        <v>0</v>
      </c>
      <c r="R60" s="1112">
        <v>0</v>
      </c>
      <c r="S60" s="1112">
        <v>0</v>
      </c>
      <c r="T60" s="1112">
        <v>0</v>
      </c>
      <c r="U60" s="1112">
        <v>0</v>
      </c>
      <c r="V60" s="1112">
        <v>0.52</v>
      </c>
      <c r="W60" s="1112">
        <v>0</v>
      </c>
      <c r="X60" s="1112">
        <v>0</v>
      </c>
      <c r="Y60" s="1112">
        <v>0</v>
      </c>
      <c r="Z60" s="1112">
        <v>0</v>
      </c>
      <c r="AA60" s="1079">
        <v>1.69</v>
      </c>
      <c r="AC60" s="1115" t="s">
        <v>238</v>
      </c>
      <c r="AD60" s="1112">
        <v>4.03</v>
      </c>
      <c r="AE60" s="1112">
        <v>0</v>
      </c>
      <c r="AF60" s="1112">
        <v>0.52</v>
      </c>
      <c r="AG60" s="1112">
        <v>0</v>
      </c>
      <c r="AH60" s="1079">
        <v>1.69</v>
      </c>
    </row>
    <row r="61" spans="1:41">
      <c r="A61" s="1115" t="s">
        <v>226</v>
      </c>
      <c r="B61" s="1112">
        <v>0</v>
      </c>
      <c r="C61" s="1112">
        <v>0</v>
      </c>
      <c r="D61" s="1112">
        <v>0.18</v>
      </c>
      <c r="E61" s="1112">
        <v>0</v>
      </c>
      <c r="F61" s="1112">
        <v>0</v>
      </c>
      <c r="G61" s="1112">
        <v>0</v>
      </c>
      <c r="H61" s="1112">
        <v>0</v>
      </c>
      <c r="I61" s="1112">
        <v>0</v>
      </c>
      <c r="J61" s="1112">
        <v>0</v>
      </c>
      <c r="K61" s="1112">
        <v>0</v>
      </c>
      <c r="L61" s="1112">
        <v>0</v>
      </c>
      <c r="M61" s="1112">
        <v>0</v>
      </c>
      <c r="N61" s="1112">
        <v>0</v>
      </c>
      <c r="O61" s="1112">
        <v>0</v>
      </c>
      <c r="P61" s="1112">
        <v>0</v>
      </c>
      <c r="Q61" s="1112"/>
      <c r="R61" s="1112">
        <v>0</v>
      </c>
      <c r="S61" s="1112">
        <v>0</v>
      </c>
      <c r="T61" s="1112">
        <v>0</v>
      </c>
      <c r="U61" s="1112">
        <v>0</v>
      </c>
      <c r="V61" s="1112">
        <v>0</v>
      </c>
      <c r="W61" s="1112">
        <v>0</v>
      </c>
      <c r="X61" s="1112">
        <v>0</v>
      </c>
      <c r="Y61" s="1112">
        <v>0</v>
      </c>
      <c r="Z61" s="1112">
        <v>0</v>
      </c>
      <c r="AA61" s="1079">
        <v>0</v>
      </c>
      <c r="AC61" s="1115" t="s">
        <v>226</v>
      </c>
      <c r="AD61" s="1112">
        <v>0</v>
      </c>
      <c r="AE61" s="1112">
        <v>0</v>
      </c>
      <c r="AF61" s="1112">
        <v>0</v>
      </c>
      <c r="AG61" s="1112">
        <v>0</v>
      </c>
      <c r="AH61" s="1079">
        <v>0</v>
      </c>
    </row>
    <row r="62" spans="1:41">
      <c r="A62" s="1115" t="s">
        <v>235</v>
      </c>
      <c r="B62" s="1112">
        <v>0</v>
      </c>
      <c r="C62" s="1112">
        <v>0</v>
      </c>
      <c r="D62" s="1112">
        <v>0</v>
      </c>
      <c r="E62" s="1112">
        <v>0</v>
      </c>
      <c r="F62" s="1112">
        <v>0</v>
      </c>
      <c r="G62" s="1112">
        <v>0</v>
      </c>
      <c r="H62" s="1112">
        <v>0</v>
      </c>
      <c r="I62" s="1112">
        <v>0</v>
      </c>
      <c r="J62" s="1112">
        <v>0</v>
      </c>
      <c r="K62" s="1112">
        <v>0</v>
      </c>
      <c r="L62" s="1112">
        <v>0</v>
      </c>
      <c r="M62" s="1112">
        <v>0</v>
      </c>
      <c r="N62" s="1112">
        <v>0</v>
      </c>
      <c r="O62" s="1112">
        <v>0</v>
      </c>
      <c r="P62" s="1112">
        <v>0</v>
      </c>
      <c r="Q62" s="1112">
        <v>0</v>
      </c>
      <c r="R62" s="1112">
        <v>0</v>
      </c>
      <c r="S62" s="1112"/>
      <c r="T62" s="1112">
        <v>0</v>
      </c>
      <c r="U62" s="1112">
        <v>0</v>
      </c>
      <c r="V62" s="1112">
        <v>1.9</v>
      </c>
      <c r="W62" s="1112">
        <v>0.01</v>
      </c>
      <c r="X62" s="1112">
        <v>0</v>
      </c>
      <c r="Y62" s="1112">
        <v>0</v>
      </c>
      <c r="Z62" s="1112">
        <v>0</v>
      </c>
      <c r="AA62" s="1079">
        <v>0</v>
      </c>
      <c r="AC62" s="1115" t="s">
        <v>235</v>
      </c>
      <c r="AD62" s="1112">
        <v>0</v>
      </c>
      <c r="AE62" s="1112">
        <v>0</v>
      </c>
      <c r="AF62" s="1112">
        <v>1.9</v>
      </c>
      <c r="AG62" s="1112">
        <v>0</v>
      </c>
      <c r="AH62" s="1079">
        <v>0</v>
      </c>
    </row>
    <row r="63" spans="1:41">
      <c r="A63" s="1115" t="s">
        <v>228</v>
      </c>
      <c r="B63" s="1112">
        <v>0</v>
      </c>
      <c r="C63" s="1112">
        <v>0.03</v>
      </c>
      <c r="D63" s="1112">
        <v>0</v>
      </c>
      <c r="E63" s="1112">
        <v>0</v>
      </c>
      <c r="F63" s="1112">
        <v>0</v>
      </c>
      <c r="G63" s="1112">
        <v>0</v>
      </c>
      <c r="H63" s="1112">
        <v>0</v>
      </c>
      <c r="I63" s="1112">
        <v>0</v>
      </c>
      <c r="J63" s="1112">
        <v>0</v>
      </c>
      <c r="K63" s="1112">
        <v>0</v>
      </c>
      <c r="L63" s="1112">
        <v>0</v>
      </c>
      <c r="M63" s="1112">
        <v>0</v>
      </c>
      <c r="N63" s="1112">
        <v>0</v>
      </c>
      <c r="O63" s="1112">
        <v>0</v>
      </c>
      <c r="P63" s="1112">
        <v>0</v>
      </c>
      <c r="Q63" s="1112">
        <v>0</v>
      </c>
      <c r="R63" s="1112">
        <v>0</v>
      </c>
      <c r="S63" s="1112">
        <v>0</v>
      </c>
      <c r="T63" s="1112">
        <v>0</v>
      </c>
      <c r="U63" s="1112"/>
      <c r="V63" s="1112">
        <v>0</v>
      </c>
      <c r="W63" s="1112">
        <v>0.01</v>
      </c>
      <c r="X63" s="1112">
        <v>0</v>
      </c>
      <c r="Y63" s="1112">
        <v>0</v>
      </c>
      <c r="Z63" s="1112">
        <v>0</v>
      </c>
      <c r="AA63" s="1079">
        <v>0</v>
      </c>
      <c r="AC63" s="1115" t="s">
        <v>228</v>
      </c>
      <c r="AD63" s="1112">
        <v>0</v>
      </c>
      <c r="AE63" s="1112">
        <v>0</v>
      </c>
      <c r="AF63" s="1112">
        <v>0</v>
      </c>
      <c r="AG63" s="1112">
        <v>0</v>
      </c>
      <c r="AH63" s="1079">
        <v>0</v>
      </c>
    </row>
    <row r="64" spans="1:41">
      <c r="A64" s="1115" t="s">
        <v>224</v>
      </c>
      <c r="B64" s="1112">
        <v>0</v>
      </c>
      <c r="C64" s="1112">
        <v>2.12</v>
      </c>
      <c r="D64" s="1112">
        <v>0</v>
      </c>
      <c r="E64" s="1112">
        <v>0</v>
      </c>
      <c r="F64" s="1112">
        <v>0.56999999999999995</v>
      </c>
      <c r="G64" s="1112">
        <v>0</v>
      </c>
      <c r="H64" s="1112">
        <v>0</v>
      </c>
      <c r="I64" s="1112">
        <v>0</v>
      </c>
      <c r="J64" s="1112">
        <v>0</v>
      </c>
      <c r="K64" s="1112">
        <v>0</v>
      </c>
      <c r="L64" s="1112">
        <v>0</v>
      </c>
      <c r="M64" s="1112">
        <v>0.13</v>
      </c>
      <c r="N64" s="1112">
        <v>2.42</v>
      </c>
      <c r="O64" s="1112">
        <v>0</v>
      </c>
      <c r="P64" s="1112">
        <v>5.6</v>
      </c>
      <c r="Q64" s="1112">
        <v>0</v>
      </c>
      <c r="R64" s="1112">
        <v>0</v>
      </c>
      <c r="S64" s="1112">
        <v>7.08</v>
      </c>
      <c r="T64" s="1112">
        <v>0</v>
      </c>
      <c r="U64" s="1112">
        <v>0</v>
      </c>
      <c r="V64" s="1112"/>
      <c r="W64" s="1112">
        <v>0.17</v>
      </c>
      <c r="X64" s="1112">
        <v>0</v>
      </c>
      <c r="Y64" s="1112">
        <v>4.62</v>
      </c>
      <c r="Z64" s="1112">
        <v>0</v>
      </c>
      <c r="AA64" s="1079">
        <v>0</v>
      </c>
      <c r="AC64" s="1115" t="s">
        <v>224</v>
      </c>
      <c r="AD64" s="1112">
        <v>2.42</v>
      </c>
      <c r="AE64" s="1112">
        <v>0</v>
      </c>
      <c r="AF64" s="1112"/>
      <c r="AG64" s="1112">
        <v>4.62</v>
      </c>
      <c r="AH64" s="1079">
        <v>0</v>
      </c>
    </row>
    <row r="65" spans="1:41">
      <c r="A65" s="1115" t="s">
        <v>219</v>
      </c>
      <c r="B65" s="1112">
        <v>0</v>
      </c>
      <c r="C65" s="1112">
        <v>7.89</v>
      </c>
      <c r="D65" s="1112">
        <v>3.01</v>
      </c>
      <c r="E65" s="1112">
        <v>0</v>
      </c>
      <c r="F65" s="1112">
        <v>4.03</v>
      </c>
      <c r="G65" s="1112">
        <v>0</v>
      </c>
      <c r="H65" s="1112">
        <v>0</v>
      </c>
      <c r="I65" s="1112">
        <v>0</v>
      </c>
      <c r="J65" s="1112">
        <v>0</v>
      </c>
      <c r="K65" s="1112">
        <v>0</v>
      </c>
      <c r="L65" s="1112">
        <v>10.14</v>
      </c>
      <c r="M65" s="1112">
        <v>2.58</v>
      </c>
      <c r="N65" s="1112">
        <v>0.4</v>
      </c>
      <c r="O65" s="1112">
        <v>0.19</v>
      </c>
      <c r="P65" s="1112">
        <v>0</v>
      </c>
      <c r="Q65" s="1112">
        <v>0</v>
      </c>
      <c r="R65" s="1112">
        <v>100</v>
      </c>
      <c r="S65" s="1112">
        <v>1.77</v>
      </c>
      <c r="T65" s="1112">
        <v>0</v>
      </c>
      <c r="U65" s="1112">
        <v>0.53</v>
      </c>
      <c r="V65" s="1112">
        <v>1.74</v>
      </c>
      <c r="W65" s="1112"/>
      <c r="X65" s="1112">
        <v>1.1100000000000001</v>
      </c>
      <c r="Y65" s="1112">
        <v>3.7</v>
      </c>
      <c r="Z65" s="1112">
        <v>0</v>
      </c>
      <c r="AA65" s="1079">
        <v>5.0599999999999996</v>
      </c>
      <c r="AC65" s="1115" t="s">
        <v>219</v>
      </c>
      <c r="AD65" s="1112">
        <v>0.4</v>
      </c>
      <c r="AE65" s="1112">
        <v>0.19</v>
      </c>
      <c r="AF65" s="1112">
        <v>1.74</v>
      </c>
      <c r="AG65" s="1112">
        <v>3.7</v>
      </c>
      <c r="AH65" s="1079">
        <v>5.0599999999999996</v>
      </c>
    </row>
    <row r="66" spans="1:41">
      <c r="A66" s="1115" t="s">
        <v>229</v>
      </c>
      <c r="B66" s="1112">
        <v>0</v>
      </c>
      <c r="C66" s="1112">
        <v>0.16</v>
      </c>
      <c r="D66" s="1112">
        <v>0</v>
      </c>
      <c r="E66" s="1112">
        <v>0</v>
      </c>
      <c r="F66" s="1112">
        <v>0</v>
      </c>
      <c r="G66" s="1112">
        <v>0</v>
      </c>
      <c r="H66" s="1112">
        <v>0</v>
      </c>
      <c r="I66" s="1112">
        <v>0</v>
      </c>
      <c r="J66" s="1112">
        <v>0</v>
      </c>
      <c r="K66" s="1112">
        <v>0</v>
      </c>
      <c r="L66" s="1112">
        <v>0</v>
      </c>
      <c r="M66" s="1112">
        <v>0</v>
      </c>
      <c r="N66" s="1112">
        <v>0</v>
      </c>
      <c r="O66" s="1112">
        <v>0</v>
      </c>
      <c r="P66" s="1112">
        <v>0</v>
      </c>
      <c r="Q66" s="1112">
        <v>0</v>
      </c>
      <c r="R66" s="1112">
        <v>0</v>
      </c>
      <c r="S66" s="1112">
        <v>0</v>
      </c>
      <c r="T66" s="1112">
        <v>0</v>
      </c>
      <c r="U66" s="1112">
        <v>0</v>
      </c>
      <c r="V66" s="1112">
        <v>0</v>
      </c>
      <c r="W66" s="1112">
        <v>0</v>
      </c>
      <c r="X66" s="1112"/>
      <c r="Y66" s="1112">
        <v>0</v>
      </c>
      <c r="Z66" s="1112">
        <v>0</v>
      </c>
      <c r="AA66" s="1079">
        <v>0</v>
      </c>
      <c r="AC66" s="1115" t="s">
        <v>229</v>
      </c>
      <c r="AD66" s="1112">
        <v>0</v>
      </c>
      <c r="AE66" s="1112">
        <v>0</v>
      </c>
      <c r="AF66" s="1112">
        <v>0</v>
      </c>
      <c r="AG66" s="1112">
        <v>0</v>
      </c>
      <c r="AH66" s="1079">
        <v>0</v>
      </c>
    </row>
    <row r="67" spans="1:41">
      <c r="A67" s="1115" t="s">
        <v>222</v>
      </c>
      <c r="B67" s="1112">
        <v>0</v>
      </c>
      <c r="C67" s="1112">
        <v>0.2</v>
      </c>
      <c r="D67" s="1112">
        <v>0.04</v>
      </c>
      <c r="E67" s="1112">
        <v>0</v>
      </c>
      <c r="F67" s="1112">
        <v>0.08</v>
      </c>
      <c r="G67" s="1112">
        <v>0</v>
      </c>
      <c r="H67" s="1112">
        <v>0</v>
      </c>
      <c r="I67" s="1112">
        <v>0</v>
      </c>
      <c r="J67" s="1112">
        <v>0</v>
      </c>
      <c r="K67" s="1112">
        <v>0</v>
      </c>
      <c r="L67" s="1112">
        <v>0</v>
      </c>
      <c r="M67" s="1112">
        <v>0</v>
      </c>
      <c r="N67" s="1112">
        <v>0.81</v>
      </c>
      <c r="O67" s="1112">
        <v>0</v>
      </c>
      <c r="P67" s="1112">
        <v>0</v>
      </c>
      <c r="Q67" s="1112">
        <v>0</v>
      </c>
      <c r="R67" s="1112">
        <v>0</v>
      </c>
      <c r="S67" s="1112">
        <v>0</v>
      </c>
      <c r="T67" s="1112">
        <v>0</v>
      </c>
      <c r="U67" s="1112">
        <v>0</v>
      </c>
      <c r="V67" s="1112">
        <v>2.14</v>
      </c>
      <c r="W67" s="1112">
        <v>0.24</v>
      </c>
      <c r="X67" s="1112">
        <v>0</v>
      </c>
      <c r="Y67" s="1112"/>
      <c r="Z67" s="1112">
        <v>0</v>
      </c>
      <c r="AA67" s="1079">
        <v>0</v>
      </c>
      <c r="AC67" s="1115" t="s">
        <v>222</v>
      </c>
      <c r="AD67" s="1112">
        <v>0.81</v>
      </c>
      <c r="AE67" s="1112">
        <v>0</v>
      </c>
      <c r="AF67" s="1112">
        <v>2.14</v>
      </c>
      <c r="AG67" s="1112"/>
      <c r="AH67" s="1079">
        <v>0</v>
      </c>
    </row>
    <row r="68" spans="1:41">
      <c r="A68" s="1115" t="s">
        <v>231</v>
      </c>
      <c r="B68" s="1112">
        <v>0</v>
      </c>
      <c r="C68" s="1112">
        <v>0.02</v>
      </c>
      <c r="D68" s="1112">
        <v>0</v>
      </c>
      <c r="E68" s="1112">
        <v>0</v>
      </c>
      <c r="F68" s="1112">
        <v>0</v>
      </c>
      <c r="G68" s="1112">
        <v>0</v>
      </c>
      <c r="H68" s="1112">
        <v>0</v>
      </c>
      <c r="I68" s="1112">
        <v>0</v>
      </c>
      <c r="J68" s="1112">
        <v>0</v>
      </c>
      <c r="K68" s="1112">
        <v>0</v>
      </c>
      <c r="L68" s="1112">
        <v>0</v>
      </c>
      <c r="M68" s="1112">
        <v>0</v>
      </c>
      <c r="N68" s="1112">
        <v>4.43</v>
      </c>
      <c r="O68" s="1112">
        <v>2.79</v>
      </c>
      <c r="P68" s="1112">
        <v>0.93</v>
      </c>
      <c r="Q68" s="1112">
        <v>0</v>
      </c>
      <c r="R68" s="1112">
        <v>0</v>
      </c>
      <c r="S68" s="1112">
        <v>0</v>
      </c>
      <c r="T68" s="1112">
        <v>0</v>
      </c>
      <c r="U68" s="1112">
        <v>0</v>
      </c>
      <c r="V68" s="1112">
        <v>0</v>
      </c>
      <c r="W68" s="1112">
        <v>0</v>
      </c>
      <c r="X68" s="1112">
        <v>0</v>
      </c>
      <c r="Y68" s="1112">
        <v>0</v>
      </c>
      <c r="Z68" s="1112">
        <v>0</v>
      </c>
      <c r="AA68" s="1079"/>
      <c r="AC68" s="1115" t="s">
        <v>231</v>
      </c>
      <c r="AD68" s="1112">
        <v>4.43</v>
      </c>
      <c r="AE68" s="1112">
        <v>2.79</v>
      </c>
      <c r="AF68" s="1112">
        <v>0</v>
      </c>
      <c r="AG68" s="1112">
        <v>0</v>
      </c>
      <c r="AH68" s="1079"/>
    </row>
    <row r="69" spans="1:41">
      <c r="A69" s="1115" t="s">
        <v>244</v>
      </c>
      <c r="B69" s="1112">
        <v>0</v>
      </c>
      <c r="C69" s="1112">
        <v>0.06</v>
      </c>
      <c r="D69" s="1112">
        <v>0</v>
      </c>
      <c r="E69" s="1112">
        <v>0</v>
      </c>
      <c r="F69" s="1112">
        <v>0</v>
      </c>
      <c r="G69" s="1112">
        <v>0</v>
      </c>
      <c r="H69" s="1112">
        <v>0</v>
      </c>
      <c r="I69" s="1112">
        <v>0</v>
      </c>
      <c r="J69" s="1112">
        <v>0</v>
      </c>
      <c r="K69" s="1112">
        <v>0</v>
      </c>
      <c r="L69" s="1112">
        <v>0</v>
      </c>
      <c r="M69" s="1112">
        <v>0.01</v>
      </c>
      <c r="N69" s="1112">
        <v>0</v>
      </c>
      <c r="O69" s="1112">
        <v>0.01</v>
      </c>
      <c r="P69" s="1112">
        <v>0</v>
      </c>
      <c r="Q69" s="1112">
        <v>0</v>
      </c>
      <c r="R69" s="1112">
        <v>0</v>
      </c>
      <c r="S69" s="1112">
        <v>0</v>
      </c>
      <c r="T69" s="1112">
        <v>0</v>
      </c>
      <c r="U69" s="1112">
        <v>0</v>
      </c>
      <c r="V69" s="1112">
        <v>0</v>
      </c>
      <c r="W69" s="1112">
        <v>0.01</v>
      </c>
      <c r="X69" s="1112">
        <v>0</v>
      </c>
      <c r="Y69" s="1112">
        <v>0.15</v>
      </c>
      <c r="Z69" s="1112">
        <v>0</v>
      </c>
      <c r="AA69" s="1112">
        <v>0.01</v>
      </c>
      <c r="AC69" s="1115" t="s">
        <v>244</v>
      </c>
      <c r="AD69" s="1112">
        <v>0</v>
      </c>
      <c r="AE69" s="1112">
        <v>0.01</v>
      </c>
      <c r="AF69" s="1112">
        <v>0</v>
      </c>
      <c r="AG69" s="1112">
        <v>0.15</v>
      </c>
      <c r="AH69" s="1112">
        <v>0.01</v>
      </c>
    </row>
    <row r="70" spans="1:41">
      <c r="A70" s="1113" t="s">
        <v>253</v>
      </c>
      <c r="B70" s="1114">
        <v>7.69</v>
      </c>
      <c r="C70" s="1114">
        <v>9.4600000000000009</v>
      </c>
      <c r="D70" s="1114">
        <v>19.48</v>
      </c>
      <c r="E70" s="1114">
        <v>0</v>
      </c>
      <c r="F70" s="1114">
        <v>21.83</v>
      </c>
      <c r="G70" s="1114">
        <v>60.42</v>
      </c>
      <c r="H70" s="1114">
        <v>0</v>
      </c>
      <c r="I70" s="1114">
        <v>21.71</v>
      </c>
      <c r="J70" s="1114">
        <v>0</v>
      </c>
      <c r="K70" s="1114">
        <v>66.959999999999994</v>
      </c>
      <c r="L70" s="1114">
        <v>22.97</v>
      </c>
      <c r="M70" s="1114">
        <v>34.49</v>
      </c>
      <c r="N70" s="1114">
        <v>52.23</v>
      </c>
      <c r="O70" s="1114">
        <v>30.74</v>
      </c>
      <c r="P70" s="1114">
        <v>10.27</v>
      </c>
      <c r="Q70" s="1114">
        <v>4.09</v>
      </c>
      <c r="R70" s="1114">
        <v>0</v>
      </c>
      <c r="S70" s="1114">
        <v>34.51</v>
      </c>
      <c r="T70" s="1114">
        <v>0</v>
      </c>
      <c r="U70" s="1114">
        <v>84.57</v>
      </c>
      <c r="V70" s="1114">
        <v>12.71</v>
      </c>
      <c r="W70" s="1114">
        <v>8.07</v>
      </c>
      <c r="X70" s="1114">
        <v>19.440000000000001</v>
      </c>
      <c r="Y70" s="1114">
        <v>17.53</v>
      </c>
      <c r="Z70" s="1114">
        <v>0</v>
      </c>
      <c r="AA70" s="1114">
        <v>8.02</v>
      </c>
      <c r="AC70" s="1113" t="s">
        <v>253</v>
      </c>
      <c r="AD70" s="1114">
        <v>52.23</v>
      </c>
      <c r="AE70" s="1114">
        <v>30.74</v>
      </c>
      <c r="AF70" s="1114">
        <v>12.71</v>
      </c>
      <c r="AG70" s="1114">
        <v>17.53</v>
      </c>
      <c r="AH70" s="1114">
        <v>8.02</v>
      </c>
    </row>
    <row r="71" spans="1:41">
      <c r="A71" s="1113" t="s">
        <v>30</v>
      </c>
      <c r="B71" s="1114">
        <v>100</v>
      </c>
      <c r="C71" s="1114">
        <v>100</v>
      </c>
      <c r="D71" s="1114">
        <v>100</v>
      </c>
      <c r="E71" s="1114">
        <v>100</v>
      </c>
      <c r="F71" s="1114">
        <v>100</v>
      </c>
      <c r="G71" s="1114">
        <v>100</v>
      </c>
      <c r="H71" s="1114">
        <v>0</v>
      </c>
      <c r="I71" s="1114">
        <v>100</v>
      </c>
      <c r="J71" s="1114">
        <v>0</v>
      </c>
      <c r="K71" s="1114">
        <v>100</v>
      </c>
      <c r="L71" s="1114">
        <v>100</v>
      </c>
      <c r="M71" s="1114">
        <v>100</v>
      </c>
      <c r="N71" s="1114">
        <v>100</v>
      </c>
      <c r="O71" s="1114">
        <v>100</v>
      </c>
      <c r="P71" s="1114">
        <v>100</v>
      </c>
      <c r="Q71" s="1114">
        <v>100</v>
      </c>
      <c r="R71" s="1114">
        <v>100</v>
      </c>
      <c r="S71" s="1114">
        <v>100</v>
      </c>
      <c r="T71" s="1114">
        <v>0</v>
      </c>
      <c r="U71" s="1114">
        <v>100</v>
      </c>
      <c r="V71" s="1114">
        <v>100</v>
      </c>
      <c r="W71" s="1114">
        <v>100</v>
      </c>
      <c r="X71" s="1114">
        <v>100</v>
      </c>
      <c r="Y71" s="1114">
        <v>100</v>
      </c>
      <c r="Z71" s="1114">
        <v>0</v>
      </c>
      <c r="AA71" s="1114">
        <v>100</v>
      </c>
      <c r="AC71" s="1113" t="s">
        <v>30</v>
      </c>
      <c r="AD71" s="1114">
        <v>100</v>
      </c>
      <c r="AE71" s="1114">
        <v>100</v>
      </c>
      <c r="AF71" s="1114">
        <v>100</v>
      </c>
      <c r="AG71" s="1114">
        <v>100</v>
      </c>
      <c r="AH71" s="1114">
        <v>100</v>
      </c>
    </row>
    <row r="72" spans="1:41">
      <c r="A72" s="1099" t="s">
        <v>248</v>
      </c>
      <c r="B72" s="1097" t="s">
        <v>233</v>
      </c>
      <c r="C72" s="1097" t="s">
        <v>220</v>
      </c>
      <c r="D72" s="1097" t="s">
        <v>223</v>
      </c>
      <c r="E72" s="1097" t="s">
        <v>249</v>
      </c>
      <c r="F72" s="1097" t="s">
        <v>221</v>
      </c>
      <c r="G72" s="1097" t="s">
        <v>234</v>
      </c>
      <c r="H72" s="1097" t="s">
        <v>242</v>
      </c>
      <c r="I72" s="1097" t="s">
        <v>225</v>
      </c>
      <c r="J72" s="1097" t="s">
        <v>12</v>
      </c>
      <c r="K72" s="1097" t="s">
        <v>236</v>
      </c>
      <c r="L72" s="1097" t="s">
        <v>227</v>
      </c>
      <c r="M72" s="1097" t="s">
        <v>2</v>
      </c>
      <c r="N72" s="1097" t="s">
        <v>232</v>
      </c>
      <c r="O72" s="1097" t="s">
        <v>230</v>
      </c>
      <c r="P72" s="1097" t="s">
        <v>238</v>
      </c>
      <c r="Q72" s="1097" t="s">
        <v>226</v>
      </c>
      <c r="R72" s="1097" t="s">
        <v>3</v>
      </c>
      <c r="S72" s="1097" t="s">
        <v>235</v>
      </c>
      <c r="T72" s="1097" t="s">
        <v>250</v>
      </c>
      <c r="U72" s="1097" t="s">
        <v>228</v>
      </c>
      <c r="V72" s="1097" t="s">
        <v>224</v>
      </c>
      <c r="W72" s="1097" t="s">
        <v>219</v>
      </c>
      <c r="X72" s="1097" t="s">
        <v>229</v>
      </c>
      <c r="Y72" s="1097" t="s">
        <v>222</v>
      </c>
      <c r="Z72" s="1097" t="s">
        <v>1018</v>
      </c>
      <c r="AA72" s="1097" t="s">
        <v>231</v>
      </c>
      <c r="AC72" s="1099" t="s">
        <v>248</v>
      </c>
      <c r="AD72" s="1097" t="s">
        <v>232</v>
      </c>
      <c r="AE72" s="1097" t="s">
        <v>230</v>
      </c>
      <c r="AF72" s="1097" t="s">
        <v>224</v>
      </c>
      <c r="AG72" s="1097" t="s">
        <v>222</v>
      </c>
      <c r="AH72" s="1097" t="s">
        <v>231</v>
      </c>
      <c r="AJ72" s="1099" t="s">
        <v>248</v>
      </c>
      <c r="AK72" s="1097" t="s">
        <v>232</v>
      </c>
      <c r="AL72" s="1097" t="s">
        <v>230</v>
      </c>
      <c r="AM72" s="1097" t="s">
        <v>224</v>
      </c>
      <c r="AN72" s="1097" t="s">
        <v>222</v>
      </c>
      <c r="AO72" s="1097" t="s">
        <v>231</v>
      </c>
    </row>
    <row r="73" spans="1:41">
      <c r="A73" s="1100" t="s">
        <v>1127</v>
      </c>
      <c r="B73" s="1112"/>
      <c r="C73" s="1112"/>
      <c r="D73" s="1112"/>
      <c r="E73" s="1112"/>
      <c r="F73" s="1112"/>
      <c r="G73" s="1112"/>
      <c r="H73" s="1112"/>
      <c r="I73" s="1112"/>
      <c r="J73" s="1112"/>
      <c r="K73" s="1112"/>
      <c r="L73" s="1112"/>
      <c r="M73" s="1112"/>
      <c r="N73" s="1112"/>
      <c r="O73" s="1112"/>
      <c r="P73" s="1112"/>
      <c r="Q73" s="1112"/>
      <c r="R73" s="1112"/>
      <c r="S73" s="1112"/>
      <c r="T73" s="1112"/>
      <c r="U73" s="1112"/>
      <c r="V73" s="1112"/>
      <c r="W73" s="1112"/>
      <c r="X73" s="1112"/>
      <c r="Y73" s="1112"/>
      <c r="Z73" s="1112"/>
      <c r="AA73" s="1079"/>
      <c r="AC73" s="1100" t="s">
        <v>1127</v>
      </c>
      <c r="AD73" s="1112"/>
      <c r="AE73" s="1112"/>
      <c r="AF73" s="1112"/>
      <c r="AG73" s="1112"/>
      <c r="AH73" s="1079"/>
      <c r="AJ73" s="1113" t="s">
        <v>251</v>
      </c>
      <c r="AK73" s="1114">
        <v>4.83</v>
      </c>
      <c r="AL73" s="1114">
        <v>21.41</v>
      </c>
      <c r="AM73" s="1114">
        <v>36.11</v>
      </c>
      <c r="AN73" s="1114">
        <v>56.85</v>
      </c>
      <c r="AO73" s="1114">
        <v>14.06</v>
      </c>
    </row>
    <row r="74" spans="1:41">
      <c r="A74" s="1113" t="s">
        <v>251</v>
      </c>
      <c r="B74" s="1114">
        <v>3.46</v>
      </c>
      <c r="C74" s="1114">
        <v>35.03</v>
      </c>
      <c r="D74" s="1114">
        <v>24.63</v>
      </c>
      <c r="E74" s="1114">
        <v>98.13</v>
      </c>
      <c r="F74" s="1114">
        <v>19.809999999999999</v>
      </c>
      <c r="G74" s="1114">
        <v>14.84</v>
      </c>
      <c r="H74" s="1114">
        <v>100</v>
      </c>
      <c r="I74" s="1114">
        <v>43.3</v>
      </c>
      <c r="J74" s="1114">
        <v>0</v>
      </c>
      <c r="K74" s="1114">
        <v>4.63</v>
      </c>
      <c r="L74" s="1114">
        <v>14.97</v>
      </c>
      <c r="M74" s="1114">
        <v>15.31</v>
      </c>
      <c r="N74" s="1114">
        <v>4.83</v>
      </c>
      <c r="O74" s="1114">
        <v>21.41</v>
      </c>
      <c r="P74" s="1114">
        <v>61</v>
      </c>
      <c r="Q74" s="1114">
        <v>71.88</v>
      </c>
      <c r="R74" s="1114">
        <v>61.11</v>
      </c>
      <c r="S74" s="1114">
        <v>17.95</v>
      </c>
      <c r="T74" s="1114">
        <v>0</v>
      </c>
      <c r="U74" s="1114">
        <v>16.579999999999998</v>
      </c>
      <c r="V74" s="1114">
        <v>36.11</v>
      </c>
      <c r="W74" s="1114">
        <v>33.700000000000003</v>
      </c>
      <c r="X74" s="1114">
        <v>26.25</v>
      </c>
      <c r="Y74" s="1114">
        <v>56.85</v>
      </c>
      <c r="Z74" s="1114">
        <v>0</v>
      </c>
      <c r="AA74" s="1114">
        <v>14.06</v>
      </c>
      <c r="AC74" s="1113" t="s">
        <v>251</v>
      </c>
      <c r="AD74" s="1114">
        <v>4.83</v>
      </c>
      <c r="AE74" s="1114">
        <v>21.41</v>
      </c>
      <c r="AF74" s="1114">
        <v>36.11</v>
      </c>
      <c r="AG74" s="1114">
        <v>56.85</v>
      </c>
      <c r="AH74" s="1114">
        <v>14.06</v>
      </c>
      <c r="AJ74" s="1113" t="s">
        <v>1116</v>
      </c>
      <c r="AK74" s="1114">
        <v>43.62</v>
      </c>
      <c r="AL74" s="1114">
        <v>6.4</v>
      </c>
      <c r="AM74" s="1114">
        <v>34.229999999999997</v>
      </c>
      <c r="AN74" s="1114">
        <v>16.100000000000001</v>
      </c>
      <c r="AO74" s="1114">
        <v>5.1100000000000003</v>
      </c>
    </row>
    <row r="75" spans="1:41">
      <c r="A75" s="1113" t="s">
        <v>1116</v>
      </c>
      <c r="B75" s="1114">
        <v>1.56</v>
      </c>
      <c r="C75" s="1114">
        <v>40.79</v>
      </c>
      <c r="D75" s="1114">
        <v>19.600000000000001</v>
      </c>
      <c r="E75" s="1114">
        <v>0</v>
      </c>
      <c r="F75" s="1114">
        <v>14.37</v>
      </c>
      <c r="G75" s="1114">
        <v>9.74</v>
      </c>
      <c r="H75" s="1114">
        <v>0</v>
      </c>
      <c r="I75" s="1114">
        <v>11.33</v>
      </c>
      <c r="J75" s="1114">
        <v>0</v>
      </c>
      <c r="K75" s="1114">
        <v>12.45</v>
      </c>
      <c r="L75" s="1114">
        <v>9.36</v>
      </c>
      <c r="M75" s="1114">
        <v>9.7100000000000009</v>
      </c>
      <c r="N75" s="1114">
        <v>43.62</v>
      </c>
      <c r="O75" s="1114">
        <v>6.4</v>
      </c>
      <c r="P75" s="1114">
        <v>23.06</v>
      </c>
      <c r="Q75" s="1114">
        <v>5.15</v>
      </c>
      <c r="R75" s="1114">
        <v>38.89</v>
      </c>
      <c r="S75" s="1114">
        <v>26.67</v>
      </c>
      <c r="T75" s="1114">
        <v>0</v>
      </c>
      <c r="U75" s="1114">
        <v>4.5199999999999996</v>
      </c>
      <c r="V75" s="1114">
        <v>34.229999999999997</v>
      </c>
      <c r="W75" s="1114">
        <v>47.57</v>
      </c>
      <c r="X75" s="1114">
        <v>49.64</v>
      </c>
      <c r="Y75" s="1114">
        <v>16.100000000000001</v>
      </c>
      <c r="Z75" s="1114">
        <v>0</v>
      </c>
      <c r="AA75" s="1114">
        <v>5.1100000000000003</v>
      </c>
      <c r="AC75" s="1113" t="s">
        <v>1116</v>
      </c>
      <c r="AD75" s="1114">
        <v>43.62</v>
      </c>
      <c r="AE75" s="1114">
        <v>6.4</v>
      </c>
      <c r="AF75" s="1114">
        <v>34.229999999999997</v>
      </c>
      <c r="AG75" s="1114">
        <v>16.100000000000001</v>
      </c>
      <c r="AH75" s="1114">
        <v>5.1100000000000003</v>
      </c>
      <c r="AJ75" s="1113" t="s">
        <v>253</v>
      </c>
      <c r="AK75" s="1114">
        <v>51.54</v>
      </c>
      <c r="AL75" s="1114">
        <v>72.19</v>
      </c>
      <c r="AM75" s="1114">
        <v>29.65</v>
      </c>
      <c r="AN75" s="1114">
        <v>27.05</v>
      </c>
      <c r="AO75" s="1114">
        <v>80.83</v>
      </c>
    </row>
    <row r="76" spans="1:41">
      <c r="A76" s="1115" t="s">
        <v>233</v>
      </c>
      <c r="B76" s="1112"/>
      <c r="C76" s="1112">
        <v>0</v>
      </c>
      <c r="D76" s="1112">
        <v>0</v>
      </c>
      <c r="E76" s="1112">
        <v>0</v>
      </c>
      <c r="F76" s="1112">
        <v>0</v>
      </c>
      <c r="G76" s="1112">
        <v>0</v>
      </c>
      <c r="H76" s="1112">
        <v>0</v>
      </c>
      <c r="I76" s="1112">
        <v>0</v>
      </c>
      <c r="J76" s="1112">
        <v>0</v>
      </c>
      <c r="K76" s="1112">
        <v>0</v>
      </c>
      <c r="L76" s="1112">
        <v>0</v>
      </c>
      <c r="M76" s="1112">
        <v>0</v>
      </c>
      <c r="N76" s="1112">
        <v>0</v>
      </c>
      <c r="O76" s="1112">
        <v>0</v>
      </c>
      <c r="P76" s="1112">
        <v>0</v>
      </c>
      <c r="Q76" s="1112">
        <v>0</v>
      </c>
      <c r="R76" s="1112">
        <v>0</v>
      </c>
      <c r="S76" s="1112">
        <v>0</v>
      </c>
      <c r="T76" s="1112">
        <v>0</v>
      </c>
      <c r="U76" s="1112">
        <v>0</v>
      </c>
      <c r="V76" s="1112">
        <v>0</v>
      </c>
      <c r="W76" s="1112">
        <v>0.04</v>
      </c>
      <c r="X76" s="1112">
        <v>0</v>
      </c>
      <c r="Y76" s="1112">
        <v>0</v>
      </c>
      <c r="Z76" s="1112">
        <v>0</v>
      </c>
      <c r="AA76" s="1079">
        <v>0</v>
      </c>
      <c r="AC76" s="1115" t="s">
        <v>233</v>
      </c>
      <c r="AD76" s="1112">
        <v>0</v>
      </c>
      <c r="AE76" s="1112">
        <v>0</v>
      </c>
      <c r="AF76" s="1112">
        <v>0</v>
      </c>
      <c r="AG76" s="1112">
        <v>0</v>
      </c>
      <c r="AH76" s="1079">
        <v>0</v>
      </c>
    </row>
    <row r="77" spans="1:41">
      <c r="A77" s="1115" t="s">
        <v>220</v>
      </c>
      <c r="B77" s="1112">
        <v>1.45</v>
      </c>
      <c r="C77" s="1112"/>
      <c r="D77" s="1112">
        <v>15.82</v>
      </c>
      <c r="E77" s="1112">
        <v>0</v>
      </c>
      <c r="F77" s="1112">
        <v>10.18</v>
      </c>
      <c r="G77" s="1112">
        <v>0</v>
      </c>
      <c r="H77" s="1112">
        <v>0</v>
      </c>
      <c r="I77" s="1112">
        <v>6.91</v>
      </c>
      <c r="J77" s="1112">
        <v>0</v>
      </c>
      <c r="K77" s="1112">
        <v>0</v>
      </c>
      <c r="L77" s="1112">
        <v>3.01</v>
      </c>
      <c r="M77" s="1112">
        <v>3.43</v>
      </c>
      <c r="N77" s="1112">
        <v>7.81</v>
      </c>
      <c r="O77" s="1112">
        <v>5.74</v>
      </c>
      <c r="P77" s="1112">
        <v>4.78</v>
      </c>
      <c r="Q77" s="1112">
        <v>1.18</v>
      </c>
      <c r="R77" s="1112">
        <v>38.89</v>
      </c>
      <c r="S77" s="1112">
        <v>0</v>
      </c>
      <c r="T77" s="1112">
        <v>0</v>
      </c>
      <c r="U77" s="1112">
        <v>1.51</v>
      </c>
      <c r="V77" s="1112">
        <v>25.78</v>
      </c>
      <c r="W77" s="1112">
        <v>45.92</v>
      </c>
      <c r="X77" s="1112">
        <v>45.82</v>
      </c>
      <c r="Y77" s="1112">
        <v>13.3</v>
      </c>
      <c r="Z77" s="1112">
        <v>0</v>
      </c>
      <c r="AA77" s="1079">
        <v>0</v>
      </c>
      <c r="AC77" s="1115" t="s">
        <v>220</v>
      </c>
      <c r="AD77" s="1112">
        <v>7.81</v>
      </c>
      <c r="AE77" s="1112">
        <v>5.74</v>
      </c>
      <c r="AF77" s="1112">
        <v>25.78</v>
      </c>
      <c r="AG77" s="1112">
        <v>13.3</v>
      </c>
      <c r="AH77" s="1079">
        <v>0</v>
      </c>
      <c r="AJ77" s="1103" t="s">
        <v>220</v>
      </c>
      <c r="AK77" s="1079">
        <v>0</v>
      </c>
      <c r="AL77" s="1079">
        <v>0</v>
      </c>
      <c r="AM77" s="1079">
        <v>0</v>
      </c>
      <c r="AN77" s="1079">
        <v>5.67</v>
      </c>
      <c r="AO77" s="1079">
        <v>0</v>
      </c>
    </row>
    <row r="78" spans="1:41">
      <c r="A78" s="1115" t="s">
        <v>223</v>
      </c>
      <c r="B78" s="1112">
        <v>0</v>
      </c>
      <c r="C78" s="1112">
        <v>0.54</v>
      </c>
      <c r="D78" s="1112"/>
      <c r="E78" s="1112">
        <v>0</v>
      </c>
      <c r="F78" s="1112">
        <v>0.05</v>
      </c>
      <c r="G78" s="1112">
        <v>0</v>
      </c>
      <c r="H78" s="1112">
        <v>0</v>
      </c>
      <c r="I78" s="1112">
        <v>0</v>
      </c>
      <c r="J78" s="1112">
        <v>0</v>
      </c>
      <c r="K78" s="1112">
        <v>0</v>
      </c>
      <c r="L78" s="1112">
        <v>0</v>
      </c>
      <c r="M78" s="1112">
        <v>0.72</v>
      </c>
      <c r="N78" s="1112">
        <v>0</v>
      </c>
      <c r="O78" s="1112">
        <v>0</v>
      </c>
      <c r="P78" s="1112">
        <v>0</v>
      </c>
      <c r="Q78" s="1112">
        <v>0.1</v>
      </c>
      <c r="R78" s="1112">
        <v>0</v>
      </c>
      <c r="S78" s="1112">
        <v>0</v>
      </c>
      <c r="T78" s="1112">
        <v>0</v>
      </c>
      <c r="U78" s="1112">
        <v>0</v>
      </c>
      <c r="V78" s="1112">
        <v>0</v>
      </c>
      <c r="W78" s="1112">
        <v>0.24</v>
      </c>
      <c r="X78" s="1112">
        <v>0</v>
      </c>
      <c r="Y78" s="1112">
        <v>0</v>
      </c>
      <c r="Z78" s="1112">
        <v>0</v>
      </c>
      <c r="AA78" s="1079">
        <v>0</v>
      </c>
      <c r="AC78" s="1115" t="s">
        <v>223</v>
      </c>
      <c r="AD78" s="1112">
        <v>0</v>
      </c>
      <c r="AE78" s="1112">
        <v>0</v>
      </c>
      <c r="AF78" s="1112">
        <v>0</v>
      </c>
      <c r="AG78" s="1112">
        <v>0</v>
      </c>
      <c r="AH78" s="1079">
        <v>0</v>
      </c>
      <c r="AJ78" s="1103" t="s">
        <v>219</v>
      </c>
      <c r="AK78" s="1079">
        <v>0</v>
      </c>
      <c r="AL78" s="1079">
        <v>0</v>
      </c>
      <c r="AM78" s="1079">
        <v>32.450000000000003</v>
      </c>
      <c r="AN78" s="1079">
        <v>3.57</v>
      </c>
      <c r="AO78" s="1079">
        <v>0</v>
      </c>
    </row>
    <row r="79" spans="1:41">
      <c r="A79" s="1115" t="s">
        <v>221</v>
      </c>
      <c r="B79" s="1112">
        <v>0</v>
      </c>
      <c r="C79" s="1112">
        <v>1.1399999999999999</v>
      </c>
      <c r="D79" s="1112">
        <v>0.28000000000000003</v>
      </c>
      <c r="E79" s="1112">
        <v>0</v>
      </c>
      <c r="F79" s="1112"/>
      <c r="G79" s="1112">
        <v>0</v>
      </c>
      <c r="H79" s="1112">
        <v>0</v>
      </c>
      <c r="I79" s="1112">
        <v>0</v>
      </c>
      <c r="J79" s="1112">
        <v>0</v>
      </c>
      <c r="K79" s="1112">
        <v>0</v>
      </c>
      <c r="L79" s="1112">
        <v>0</v>
      </c>
      <c r="M79" s="1112">
        <v>1.8</v>
      </c>
      <c r="N79" s="1112">
        <v>2.15</v>
      </c>
      <c r="O79" s="1112">
        <v>0</v>
      </c>
      <c r="P79" s="1112">
        <v>0</v>
      </c>
      <c r="Q79" s="1112">
        <v>0</v>
      </c>
      <c r="R79" s="1112">
        <v>0</v>
      </c>
      <c r="S79" s="1112">
        <v>1.54</v>
      </c>
      <c r="T79" s="1112">
        <v>0</v>
      </c>
      <c r="U79" s="1112">
        <v>0</v>
      </c>
      <c r="V79" s="1112">
        <v>0</v>
      </c>
      <c r="W79" s="1112">
        <v>0.33</v>
      </c>
      <c r="X79" s="1112">
        <v>0</v>
      </c>
      <c r="Y79" s="1112">
        <v>0</v>
      </c>
      <c r="Z79" s="1112">
        <v>0</v>
      </c>
      <c r="AA79" s="1079">
        <v>0</v>
      </c>
      <c r="AC79" s="1115" t="s">
        <v>221</v>
      </c>
      <c r="AD79" s="1112">
        <v>2.15</v>
      </c>
      <c r="AE79" s="1112">
        <v>0</v>
      </c>
      <c r="AF79" s="1112">
        <v>0</v>
      </c>
      <c r="AG79" s="1112">
        <v>0</v>
      </c>
      <c r="AH79" s="1079">
        <v>0</v>
      </c>
      <c r="AJ79" s="1103" t="s">
        <v>231</v>
      </c>
      <c r="AK79" s="1079">
        <v>0</v>
      </c>
      <c r="AL79" s="1079">
        <v>0</v>
      </c>
      <c r="AM79" s="1079">
        <v>0</v>
      </c>
      <c r="AN79" s="1079">
        <v>1.17</v>
      </c>
      <c r="AO79" s="1079"/>
    </row>
    <row r="80" spans="1:41">
      <c r="A80" s="1115" t="s">
        <v>234</v>
      </c>
      <c r="B80" s="1112">
        <v>0</v>
      </c>
      <c r="C80" s="1112">
        <v>0</v>
      </c>
      <c r="D80" s="1112">
        <v>0</v>
      </c>
      <c r="E80" s="1112">
        <v>0</v>
      </c>
      <c r="F80" s="1112">
        <v>0</v>
      </c>
      <c r="G80" s="1112"/>
      <c r="H80" s="1112">
        <v>0</v>
      </c>
      <c r="I80" s="1112">
        <v>0</v>
      </c>
      <c r="J80" s="1112">
        <v>0</v>
      </c>
      <c r="K80" s="1112">
        <v>0</v>
      </c>
      <c r="L80" s="1112">
        <v>0</v>
      </c>
      <c r="M80" s="1112">
        <v>0</v>
      </c>
      <c r="N80" s="1112">
        <v>0</v>
      </c>
      <c r="O80" s="1112">
        <v>0</v>
      </c>
      <c r="P80" s="1112">
        <v>0</v>
      </c>
      <c r="Q80" s="1112">
        <v>0</v>
      </c>
      <c r="R80" s="1112">
        <v>0</v>
      </c>
      <c r="S80" s="1112">
        <v>0</v>
      </c>
      <c r="T80" s="1112">
        <v>0</v>
      </c>
      <c r="U80" s="1112">
        <v>0</v>
      </c>
      <c r="V80" s="1112">
        <v>0</v>
      </c>
      <c r="W80" s="1112">
        <v>0.16</v>
      </c>
      <c r="X80" s="1112">
        <v>0</v>
      </c>
      <c r="Y80" s="1112">
        <v>0</v>
      </c>
      <c r="Z80" s="1112">
        <v>0</v>
      </c>
      <c r="AA80" s="1079">
        <v>0</v>
      </c>
      <c r="AC80" s="1115" t="s">
        <v>234</v>
      </c>
      <c r="AD80" s="1112">
        <v>0</v>
      </c>
      <c r="AE80" s="1112">
        <v>0</v>
      </c>
      <c r="AF80" s="1112">
        <v>0</v>
      </c>
      <c r="AG80" s="1112">
        <v>0</v>
      </c>
      <c r="AH80" s="1079">
        <v>0</v>
      </c>
    </row>
    <row r="81" spans="1:34">
      <c r="A81" s="1115" t="s">
        <v>225</v>
      </c>
      <c r="B81" s="1112">
        <v>0</v>
      </c>
      <c r="C81" s="1112">
        <v>0.01</v>
      </c>
      <c r="D81" s="1112">
        <v>0</v>
      </c>
      <c r="E81" s="1112">
        <v>0</v>
      </c>
      <c r="F81" s="1112">
        <v>0</v>
      </c>
      <c r="G81" s="1112">
        <v>0</v>
      </c>
      <c r="H81" s="1112">
        <v>0</v>
      </c>
      <c r="I81" s="1112"/>
      <c r="J81" s="1112">
        <v>0</v>
      </c>
      <c r="K81" s="1112">
        <v>0</v>
      </c>
      <c r="L81" s="1112">
        <v>0</v>
      </c>
      <c r="M81" s="1112">
        <v>0</v>
      </c>
      <c r="N81" s="1112">
        <v>0</v>
      </c>
      <c r="O81" s="1112">
        <v>0</v>
      </c>
      <c r="P81" s="1112">
        <v>0</v>
      </c>
      <c r="Q81" s="1112">
        <v>0</v>
      </c>
      <c r="R81" s="1112">
        <v>0</v>
      </c>
      <c r="S81" s="1112">
        <v>0</v>
      </c>
      <c r="T81" s="1112">
        <v>0</v>
      </c>
      <c r="U81" s="1112">
        <v>0</v>
      </c>
      <c r="V81" s="1112">
        <v>0</v>
      </c>
      <c r="W81" s="1112">
        <v>0</v>
      </c>
      <c r="X81" s="1112">
        <v>0</v>
      </c>
      <c r="Y81" s="1112">
        <v>0</v>
      </c>
      <c r="Z81" s="1112">
        <v>0</v>
      </c>
      <c r="AA81" s="1079">
        <v>0</v>
      </c>
      <c r="AC81" s="1115" t="s">
        <v>225</v>
      </c>
      <c r="AD81" s="1112">
        <v>0</v>
      </c>
      <c r="AE81" s="1112">
        <v>0</v>
      </c>
      <c r="AF81" s="1112">
        <v>0</v>
      </c>
      <c r="AG81" s="1112">
        <v>0</v>
      </c>
      <c r="AH81" s="1079">
        <v>0</v>
      </c>
    </row>
    <row r="82" spans="1:34">
      <c r="A82" s="1115" t="s">
        <v>236</v>
      </c>
      <c r="B82" s="1112">
        <v>0</v>
      </c>
      <c r="C82" s="1112">
        <v>0</v>
      </c>
      <c r="D82" s="1112">
        <v>0</v>
      </c>
      <c r="E82" s="1112">
        <v>0</v>
      </c>
      <c r="F82" s="1112">
        <v>0</v>
      </c>
      <c r="G82" s="1112">
        <v>0</v>
      </c>
      <c r="H82" s="1112">
        <v>0</v>
      </c>
      <c r="I82" s="1112">
        <v>0</v>
      </c>
      <c r="J82" s="1112">
        <v>0</v>
      </c>
      <c r="K82" s="1112"/>
      <c r="L82" s="1112">
        <v>0</v>
      </c>
      <c r="M82" s="1112">
        <v>0</v>
      </c>
      <c r="N82" s="1112">
        <v>0</v>
      </c>
      <c r="O82" s="1112">
        <v>0</v>
      </c>
      <c r="P82" s="1112">
        <v>0</v>
      </c>
      <c r="Q82" s="1112">
        <v>0</v>
      </c>
      <c r="R82" s="1112">
        <v>0</v>
      </c>
      <c r="S82" s="1112">
        <v>0</v>
      </c>
      <c r="T82" s="1112">
        <v>0</v>
      </c>
      <c r="U82" s="1112">
        <v>0</v>
      </c>
      <c r="V82" s="1112">
        <v>0</v>
      </c>
      <c r="W82" s="1112">
        <v>0.16</v>
      </c>
      <c r="X82" s="1112">
        <v>0</v>
      </c>
      <c r="Y82" s="1112">
        <v>0</v>
      </c>
      <c r="Z82" s="1112">
        <v>0</v>
      </c>
      <c r="AA82" s="1079">
        <v>0</v>
      </c>
      <c r="AC82" s="1115" t="s">
        <v>236</v>
      </c>
      <c r="AD82" s="1112">
        <v>0</v>
      </c>
      <c r="AE82" s="1112">
        <v>0</v>
      </c>
      <c r="AF82" s="1112">
        <v>0</v>
      </c>
      <c r="AG82" s="1112">
        <v>0</v>
      </c>
      <c r="AH82" s="1079">
        <v>0</v>
      </c>
    </row>
    <row r="83" spans="1:34">
      <c r="A83" s="1115" t="s">
        <v>227</v>
      </c>
      <c r="B83" s="1112">
        <v>0</v>
      </c>
      <c r="C83" s="1112">
        <v>0</v>
      </c>
      <c r="D83" s="1112">
        <v>0</v>
      </c>
      <c r="E83" s="1112">
        <v>0</v>
      </c>
      <c r="F83" s="1112">
        <v>0</v>
      </c>
      <c r="G83" s="1112">
        <v>0</v>
      </c>
      <c r="H83" s="1112">
        <v>0</v>
      </c>
      <c r="I83" s="1112">
        <v>0</v>
      </c>
      <c r="J83" s="1112">
        <v>0</v>
      </c>
      <c r="K83" s="1112">
        <v>0</v>
      </c>
      <c r="L83" s="1112"/>
      <c r="M83" s="1112">
        <v>0.35</v>
      </c>
      <c r="N83" s="1112">
        <v>12.92</v>
      </c>
      <c r="O83" s="1112">
        <v>0</v>
      </c>
      <c r="P83" s="1112">
        <v>0</v>
      </c>
      <c r="Q83" s="1112">
        <v>0</v>
      </c>
      <c r="R83" s="1112">
        <v>0</v>
      </c>
      <c r="S83" s="1112">
        <v>0</v>
      </c>
      <c r="T83" s="1112">
        <v>0</v>
      </c>
      <c r="U83" s="1112">
        <v>0</v>
      </c>
      <c r="V83" s="1112">
        <v>0</v>
      </c>
      <c r="W83" s="1112">
        <v>0.13</v>
      </c>
      <c r="X83" s="1112">
        <v>0</v>
      </c>
      <c r="Y83" s="1112">
        <v>0</v>
      </c>
      <c r="Z83" s="1112">
        <v>0</v>
      </c>
      <c r="AA83" s="1079">
        <v>0</v>
      </c>
      <c r="AC83" s="1115" t="s">
        <v>227</v>
      </c>
      <c r="AD83" s="1112">
        <v>12.92</v>
      </c>
      <c r="AE83" s="1112">
        <v>0</v>
      </c>
      <c r="AF83" s="1112">
        <v>0</v>
      </c>
      <c r="AG83" s="1112">
        <v>0</v>
      </c>
      <c r="AH83" s="1079">
        <v>0</v>
      </c>
    </row>
    <row r="84" spans="1:34">
      <c r="A84" s="1115" t="s">
        <v>2</v>
      </c>
      <c r="B84" s="1112">
        <v>0</v>
      </c>
      <c r="C84" s="1112">
        <v>0.47</v>
      </c>
      <c r="D84" s="1112">
        <v>0.33</v>
      </c>
      <c r="E84" s="1112">
        <v>0</v>
      </c>
      <c r="F84" s="1112">
        <v>0.88</v>
      </c>
      <c r="G84" s="1112">
        <v>0</v>
      </c>
      <c r="H84" s="1112">
        <v>0</v>
      </c>
      <c r="I84" s="1112">
        <v>0</v>
      </c>
      <c r="J84" s="1112">
        <v>0</v>
      </c>
      <c r="K84" s="1112">
        <v>0</v>
      </c>
      <c r="L84" s="1112">
        <v>1.66</v>
      </c>
      <c r="M84" s="1112"/>
      <c r="N84" s="1112">
        <v>0</v>
      </c>
      <c r="O84" s="1112">
        <v>0</v>
      </c>
      <c r="P84" s="1112">
        <v>0</v>
      </c>
      <c r="Q84" s="1112">
        <v>0</v>
      </c>
      <c r="R84" s="1112">
        <v>0</v>
      </c>
      <c r="S84" s="1112">
        <v>0</v>
      </c>
      <c r="T84" s="1112">
        <v>0</v>
      </c>
      <c r="U84" s="1112">
        <v>3.02</v>
      </c>
      <c r="V84" s="1112">
        <v>2.04</v>
      </c>
      <c r="W84" s="1112">
        <v>0.18</v>
      </c>
      <c r="X84" s="1112">
        <v>0.72</v>
      </c>
      <c r="Y84" s="1112">
        <v>0</v>
      </c>
      <c r="Z84" s="1112">
        <v>0</v>
      </c>
      <c r="AA84" s="1079">
        <v>0</v>
      </c>
      <c r="AC84" s="1115" t="s">
        <v>2</v>
      </c>
      <c r="AD84" s="1112">
        <v>0</v>
      </c>
      <c r="AE84" s="1112">
        <v>0</v>
      </c>
      <c r="AF84" s="1112">
        <v>2.04</v>
      </c>
      <c r="AG84" s="1112">
        <v>0</v>
      </c>
      <c r="AH84" s="1079">
        <v>0</v>
      </c>
    </row>
    <row r="85" spans="1:34">
      <c r="A85" s="1115" t="s">
        <v>232</v>
      </c>
      <c r="B85" s="1112">
        <v>0</v>
      </c>
      <c r="C85" s="1112">
        <v>0</v>
      </c>
      <c r="D85" s="1112">
        <v>0</v>
      </c>
      <c r="E85" s="1112">
        <v>0</v>
      </c>
      <c r="F85" s="1112">
        <v>0</v>
      </c>
      <c r="G85" s="1112">
        <v>0</v>
      </c>
      <c r="H85" s="1112">
        <v>0</v>
      </c>
      <c r="I85" s="1112">
        <v>0</v>
      </c>
      <c r="J85" s="1112">
        <v>0</v>
      </c>
      <c r="K85" s="1112">
        <v>0</v>
      </c>
      <c r="L85" s="1112">
        <v>0.73</v>
      </c>
      <c r="M85" s="1112">
        <v>0</v>
      </c>
      <c r="N85" s="1112"/>
      <c r="O85" s="1112">
        <v>0</v>
      </c>
      <c r="P85" s="1112">
        <v>14.35</v>
      </c>
      <c r="Q85" s="1112">
        <v>0</v>
      </c>
      <c r="R85" s="1112">
        <v>0</v>
      </c>
      <c r="S85" s="1112">
        <v>0</v>
      </c>
      <c r="T85" s="1112">
        <v>0</v>
      </c>
      <c r="U85" s="1112">
        <v>0</v>
      </c>
      <c r="V85" s="1112">
        <v>0</v>
      </c>
      <c r="W85" s="1112">
        <v>0</v>
      </c>
      <c r="X85" s="1112">
        <v>0</v>
      </c>
      <c r="Y85" s="1112">
        <v>0.91</v>
      </c>
      <c r="Z85" s="1112">
        <v>0</v>
      </c>
      <c r="AA85" s="1079">
        <v>0.64</v>
      </c>
      <c r="AC85" s="1115" t="s">
        <v>232</v>
      </c>
      <c r="AD85" s="1112"/>
      <c r="AE85" s="1112">
        <v>0</v>
      </c>
      <c r="AF85" s="1112">
        <v>0</v>
      </c>
      <c r="AG85" s="1112">
        <v>0.91</v>
      </c>
      <c r="AH85" s="1079">
        <v>0.64</v>
      </c>
    </row>
    <row r="86" spans="1:34">
      <c r="A86" s="1115" t="s">
        <v>230</v>
      </c>
      <c r="B86" s="1112">
        <v>0</v>
      </c>
      <c r="C86" s="1112">
        <v>0</v>
      </c>
      <c r="D86" s="1112">
        <v>0</v>
      </c>
      <c r="E86" s="1112">
        <v>0</v>
      </c>
      <c r="F86" s="1112">
        <v>0</v>
      </c>
      <c r="G86" s="1112">
        <v>0</v>
      </c>
      <c r="H86" s="1112">
        <v>0</v>
      </c>
      <c r="I86" s="1112">
        <v>0</v>
      </c>
      <c r="J86" s="1112">
        <v>0</v>
      </c>
      <c r="K86" s="1112">
        <v>0</v>
      </c>
      <c r="L86" s="1112">
        <v>0</v>
      </c>
      <c r="M86" s="1112">
        <v>0</v>
      </c>
      <c r="N86" s="1112">
        <v>0</v>
      </c>
      <c r="O86" s="1112"/>
      <c r="P86" s="1112">
        <v>0</v>
      </c>
      <c r="Q86" s="1112">
        <v>0</v>
      </c>
      <c r="R86" s="1112">
        <v>0</v>
      </c>
      <c r="S86" s="1112">
        <v>0</v>
      </c>
      <c r="T86" s="1112">
        <v>0</v>
      </c>
      <c r="U86" s="1112">
        <v>0</v>
      </c>
      <c r="V86" s="1112">
        <v>0</v>
      </c>
      <c r="W86" s="1112">
        <v>0</v>
      </c>
      <c r="X86" s="1112">
        <v>0</v>
      </c>
      <c r="Y86" s="1112">
        <v>0</v>
      </c>
      <c r="Z86" s="1112">
        <v>0</v>
      </c>
      <c r="AA86" s="1079">
        <v>1.6</v>
      </c>
      <c r="AC86" s="1115" t="s">
        <v>230</v>
      </c>
      <c r="AD86" s="1112">
        <v>0</v>
      </c>
      <c r="AE86" s="1112"/>
      <c r="AF86" s="1112">
        <v>0</v>
      </c>
      <c r="AG86" s="1112">
        <v>0</v>
      </c>
      <c r="AH86" s="1079">
        <v>1.6</v>
      </c>
    </row>
    <row r="87" spans="1:34">
      <c r="A87" s="1115" t="s">
        <v>238</v>
      </c>
      <c r="B87" s="1112">
        <v>0</v>
      </c>
      <c r="C87" s="1112">
        <v>0.01</v>
      </c>
      <c r="D87" s="1112">
        <v>0</v>
      </c>
      <c r="E87" s="1112">
        <v>0</v>
      </c>
      <c r="F87" s="1112">
        <v>0</v>
      </c>
      <c r="G87" s="1112">
        <v>0</v>
      </c>
      <c r="H87" s="1112">
        <v>0</v>
      </c>
      <c r="I87" s="1112">
        <v>0</v>
      </c>
      <c r="J87" s="1112">
        <v>0</v>
      </c>
      <c r="K87" s="1112">
        <v>0</v>
      </c>
      <c r="L87" s="1112">
        <v>0</v>
      </c>
      <c r="M87" s="1112">
        <v>0</v>
      </c>
      <c r="N87" s="1112">
        <v>14.18</v>
      </c>
      <c r="O87" s="1112">
        <v>0</v>
      </c>
      <c r="P87" s="1112"/>
      <c r="Q87" s="1112">
        <v>0</v>
      </c>
      <c r="R87" s="1112">
        <v>0</v>
      </c>
      <c r="S87" s="1112">
        <v>0</v>
      </c>
      <c r="T87" s="1112">
        <v>0</v>
      </c>
      <c r="U87" s="1112">
        <v>0</v>
      </c>
      <c r="V87" s="1112">
        <v>1.1100000000000001</v>
      </c>
      <c r="W87" s="1112">
        <v>0</v>
      </c>
      <c r="X87" s="1112">
        <v>0</v>
      </c>
      <c r="Y87" s="1112">
        <v>0</v>
      </c>
      <c r="Z87" s="1112">
        <v>0</v>
      </c>
      <c r="AA87" s="1079">
        <v>2.88</v>
      </c>
      <c r="AC87" s="1115" t="s">
        <v>238</v>
      </c>
      <c r="AD87" s="1112">
        <v>14.18</v>
      </c>
      <c r="AE87" s="1112">
        <v>0</v>
      </c>
      <c r="AF87" s="1112">
        <v>1.1100000000000001</v>
      </c>
      <c r="AG87" s="1112">
        <v>0</v>
      </c>
      <c r="AH87" s="1079">
        <v>2.88</v>
      </c>
    </row>
    <row r="88" spans="1:34">
      <c r="A88" s="1115" t="s">
        <v>226</v>
      </c>
      <c r="B88" s="1112">
        <v>0</v>
      </c>
      <c r="C88" s="1112">
        <v>0.21</v>
      </c>
      <c r="D88" s="1112">
        <v>0.23</v>
      </c>
      <c r="E88" s="1112">
        <v>0</v>
      </c>
      <c r="F88" s="1112">
        <v>0</v>
      </c>
      <c r="G88" s="1112">
        <v>0</v>
      </c>
      <c r="H88" s="1112">
        <v>0</v>
      </c>
      <c r="I88" s="1112">
        <v>0</v>
      </c>
      <c r="J88" s="1112">
        <v>0</v>
      </c>
      <c r="K88" s="1112">
        <v>0</v>
      </c>
      <c r="L88" s="1112">
        <v>0</v>
      </c>
      <c r="M88" s="1112">
        <v>0</v>
      </c>
      <c r="N88" s="1112">
        <v>0</v>
      </c>
      <c r="O88" s="1112">
        <v>0</v>
      </c>
      <c r="P88" s="1112">
        <v>0</v>
      </c>
      <c r="Q88" s="1112"/>
      <c r="R88" s="1112">
        <v>0</v>
      </c>
      <c r="S88" s="1112">
        <v>0</v>
      </c>
      <c r="T88" s="1112">
        <v>0</v>
      </c>
      <c r="U88" s="1112">
        <v>0</v>
      </c>
      <c r="V88" s="1112">
        <v>0</v>
      </c>
      <c r="W88" s="1112">
        <v>0.22</v>
      </c>
      <c r="X88" s="1112">
        <v>0</v>
      </c>
      <c r="Y88" s="1112">
        <v>0</v>
      </c>
      <c r="Z88" s="1112">
        <v>0</v>
      </c>
      <c r="AA88" s="1079">
        <v>0</v>
      </c>
      <c r="AC88" s="1115" t="s">
        <v>226</v>
      </c>
      <c r="AD88" s="1112">
        <v>0</v>
      </c>
      <c r="AE88" s="1112">
        <v>0</v>
      </c>
      <c r="AF88" s="1112">
        <v>0</v>
      </c>
      <c r="AG88" s="1112">
        <v>0</v>
      </c>
      <c r="AH88" s="1079">
        <v>0</v>
      </c>
    </row>
    <row r="89" spans="1:34">
      <c r="A89" s="1115" t="s">
        <v>3</v>
      </c>
      <c r="B89" s="1112">
        <v>0</v>
      </c>
      <c r="C89" s="1112">
        <v>0.13</v>
      </c>
      <c r="D89" s="1112">
        <v>0</v>
      </c>
      <c r="E89" s="1112">
        <v>0</v>
      </c>
      <c r="F89" s="1112">
        <v>0</v>
      </c>
      <c r="G89" s="1112">
        <v>0</v>
      </c>
      <c r="H89" s="1112">
        <v>0</v>
      </c>
      <c r="I89" s="1112">
        <v>0</v>
      </c>
      <c r="J89" s="1112">
        <v>0</v>
      </c>
      <c r="K89" s="1112">
        <v>0</v>
      </c>
      <c r="L89" s="1112">
        <v>0</v>
      </c>
      <c r="M89" s="1112">
        <v>0</v>
      </c>
      <c r="N89" s="1112">
        <v>0</v>
      </c>
      <c r="O89" s="1112">
        <v>0</v>
      </c>
      <c r="P89" s="1112">
        <v>0</v>
      </c>
      <c r="Q89" s="1112">
        <v>0</v>
      </c>
      <c r="R89" s="1112"/>
      <c r="S89" s="1112">
        <v>0</v>
      </c>
      <c r="T89" s="1112">
        <v>0</v>
      </c>
      <c r="U89" s="1112">
        <v>0</v>
      </c>
      <c r="V89" s="1112">
        <v>0</v>
      </c>
      <c r="W89" s="1112">
        <v>0</v>
      </c>
      <c r="X89" s="1112">
        <v>0</v>
      </c>
      <c r="Y89" s="1112">
        <v>0</v>
      </c>
      <c r="Z89" s="1112">
        <v>0</v>
      </c>
      <c r="AA89" s="1079">
        <v>0</v>
      </c>
      <c r="AC89" s="1115" t="s">
        <v>3</v>
      </c>
      <c r="AD89" s="1112">
        <v>0</v>
      </c>
      <c r="AE89" s="1112">
        <v>0</v>
      </c>
      <c r="AF89" s="1112">
        <v>0</v>
      </c>
      <c r="AG89" s="1112">
        <v>0</v>
      </c>
      <c r="AH89" s="1079">
        <v>0</v>
      </c>
    </row>
    <row r="90" spans="1:34">
      <c r="A90" s="1115" t="s">
        <v>235</v>
      </c>
      <c r="B90" s="1112">
        <v>0</v>
      </c>
      <c r="C90" s="1112">
        <v>0</v>
      </c>
      <c r="D90" s="1112">
        <v>0</v>
      </c>
      <c r="E90" s="1112">
        <v>0</v>
      </c>
      <c r="F90" s="1112">
        <v>7.0000000000000007E-2</v>
      </c>
      <c r="G90" s="1112">
        <v>0</v>
      </c>
      <c r="H90" s="1112">
        <v>0</v>
      </c>
      <c r="I90" s="1112">
        <v>0</v>
      </c>
      <c r="J90" s="1112">
        <v>0</v>
      </c>
      <c r="K90" s="1112">
        <v>0</v>
      </c>
      <c r="L90" s="1112">
        <v>0</v>
      </c>
      <c r="M90" s="1112">
        <v>0</v>
      </c>
      <c r="N90" s="1112">
        <v>0</v>
      </c>
      <c r="O90" s="1112">
        <v>0</v>
      </c>
      <c r="P90" s="1112">
        <v>0</v>
      </c>
      <c r="Q90" s="1112">
        <v>0</v>
      </c>
      <c r="R90" s="1112">
        <v>0</v>
      </c>
      <c r="S90" s="1112"/>
      <c r="T90" s="1112">
        <v>0</v>
      </c>
      <c r="U90" s="1112">
        <v>0</v>
      </c>
      <c r="V90" s="1112">
        <v>0</v>
      </c>
      <c r="W90" s="1112">
        <v>0</v>
      </c>
      <c r="X90" s="1112">
        <v>0</v>
      </c>
      <c r="Y90" s="1112">
        <v>0</v>
      </c>
      <c r="Z90" s="1112">
        <v>0</v>
      </c>
      <c r="AA90" s="1079">
        <v>0</v>
      </c>
      <c r="AC90" s="1115" t="s">
        <v>235</v>
      </c>
      <c r="AD90" s="1112">
        <v>0</v>
      </c>
      <c r="AE90" s="1112">
        <v>0</v>
      </c>
      <c r="AF90" s="1112">
        <v>0</v>
      </c>
      <c r="AG90" s="1112">
        <v>0</v>
      </c>
      <c r="AH90" s="1079">
        <v>0</v>
      </c>
    </row>
    <row r="91" spans="1:34">
      <c r="A91" s="1115" t="s">
        <v>228</v>
      </c>
      <c r="B91" s="1112">
        <v>0</v>
      </c>
      <c r="C91" s="1112">
        <v>0.04</v>
      </c>
      <c r="D91" s="1112">
        <v>0</v>
      </c>
      <c r="E91" s="1112">
        <v>0</v>
      </c>
      <c r="F91" s="1112">
        <v>0</v>
      </c>
      <c r="G91" s="1112">
        <v>0</v>
      </c>
      <c r="H91" s="1112">
        <v>0</v>
      </c>
      <c r="I91" s="1112">
        <v>0</v>
      </c>
      <c r="J91" s="1112">
        <v>0</v>
      </c>
      <c r="K91" s="1112">
        <v>0</v>
      </c>
      <c r="L91" s="1112">
        <v>0</v>
      </c>
      <c r="M91" s="1112">
        <v>0.03</v>
      </c>
      <c r="N91" s="1112">
        <v>0</v>
      </c>
      <c r="O91" s="1112">
        <v>0</v>
      </c>
      <c r="P91" s="1112">
        <v>0</v>
      </c>
      <c r="Q91" s="1112">
        <v>0</v>
      </c>
      <c r="R91" s="1112">
        <v>0</v>
      </c>
      <c r="S91" s="1112">
        <v>0</v>
      </c>
      <c r="T91" s="1112">
        <v>0</v>
      </c>
      <c r="U91" s="1112"/>
      <c r="V91" s="1112">
        <v>0</v>
      </c>
      <c r="W91" s="1112">
        <v>0</v>
      </c>
      <c r="X91" s="1112">
        <v>0</v>
      </c>
      <c r="Y91" s="1112">
        <v>0</v>
      </c>
      <c r="Z91" s="1112">
        <v>0</v>
      </c>
      <c r="AA91" s="1079">
        <v>0</v>
      </c>
      <c r="AC91" s="1115" t="s">
        <v>228</v>
      </c>
      <c r="AD91" s="1112">
        <v>0</v>
      </c>
      <c r="AE91" s="1112">
        <v>0</v>
      </c>
      <c r="AF91" s="1112">
        <v>0</v>
      </c>
      <c r="AG91" s="1112">
        <v>0</v>
      </c>
      <c r="AH91" s="1079">
        <v>0</v>
      </c>
    </row>
    <row r="92" spans="1:34">
      <c r="A92" s="1115" t="s">
        <v>224</v>
      </c>
      <c r="B92" s="1112">
        <v>0</v>
      </c>
      <c r="C92" s="1112">
        <v>0.55000000000000004</v>
      </c>
      <c r="D92" s="1112">
        <v>0</v>
      </c>
      <c r="E92" s="1112">
        <v>0</v>
      </c>
      <c r="F92" s="1112">
        <v>0</v>
      </c>
      <c r="G92" s="1112">
        <v>0</v>
      </c>
      <c r="H92" s="1112">
        <v>0</v>
      </c>
      <c r="I92" s="1112">
        <v>0</v>
      </c>
      <c r="J92" s="1112">
        <v>0</v>
      </c>
      <c r="K92" s="1112">
        <v>0</v>
      </c>
      <c r="L92" s="1112">
        <v>0</v>
      </c>
      <c r="M92" s="1112">
        <v>0.03</v>
      </c>
      <c r="N92" s="1112">
        <v>0</v>
      </c>
      <c r="O92" s="1112">
        <v>0</v>
      </c>
      <c r="P92" s="1112">
        <v>1.59</v>
      </c>
      <c r="Q92" s="1112">
        <v>0</v>
      </c>
      <c r="R92" s="1112">
        <v>0</v>
      </c>
      <c r="S92" s="1112">
        <v>0</v>
      </c>
      <c r="T92" s="1112">
        <v>0</v>
      </c>
      <c r="U92" s="1112">
        <v>0</v>
      </c>
      <c r="V92" s="1112"/>
      <c r="W92" s="1112">
        <v>0.01</v>
      </c>
      <c r="X92" s="1112">
        <v>0</v>
      </c>
      <c r="Y92" s="1112">
        <v>0.27</v>
      </c>
      <c r="Z92" s="1112">
        <v>0</v>
      </c>
      <c r="AA92" s="1079">
        <v>0</v>
      </c>
      <c r="AC92" s="1115" t="s">
        <v>224</v>
      </c>
      <c r="AD92" s="1112">
        <v>0</v>
      </c>
      <c r="AE92" s="1112">
        <v>0</v>
      </c>
      <c r="AF92" s="1112"/>
      <c r="AG92" s="1112">
        <v>0.27</v>
      </c>
      <c r="AH92" s="1079">
        <v>0</v>
      </c>
    </row>
    <row r="93" spans="1:34">
      <c r="A93" s="1115" t="s">
        <v>219</v>
      </c>
      <c r="B93" s="1112">
        <v>0.11</v>
      </c>
      <c r="C93" s="1112">
        <v>36.92</v>
      </c>
      <c r="D93" s="1112">
        <v>2.94</v>
      </c>
      <c r="E93" s="1112">
        <v>0</v>
      </c>
      <c r="F93" s="1112">
        <v>3.2</v>
      </c>
      <c r="G93" s="1112">
        <v>9.74</v>
      </c>
      <c r="H93" s="1112">
        <v>0</v>
      </c>
      <c r="I93" s="1112">
        <v>4.42</v>
      </c>
      <c r="J93" s="1112">
        <v>0</v>
      </c>
      <c r="K93" s="1112">
        <v>4.8899999999999997</v>
      </c>
      <c r="L93" s="1112">
        <v>3.95</v>
      </c>
      <c r="M93" s="1112">
        <v>3.3</v>
      </c>
      <c r="N93" s="1112">
        <v>0</v>
      </c>
      <c r="O93" s="1112">
        <v>0</v>
      </c>
      <c r="P93" s="1112">
        <v>0</v>
      </c>
      <c r="Q93" s="1112">
        <v>3.87</v>
      </c>
      <c r="R93" s="1112">
        <v>0</v>
      </c>
      <c r="S93" s="1112">
        <v>25.13</v>
      </c>
      <c r="T93" s="1112">
        <v>0</v>
      </c>
      <c r="U93" s="1112">
        <v>0</v>
      </c>
      <c r="V93" s="1112">
        <v>2.99</v>
      </c>
      <c r="W93" s="1112"/>
      <c r="X93" s="1112">
        <v>3.1</v>
      </c>
      <c r="Y93" s="1112">
        <v>0.08</v>
      </c>
      <c r="Z93" s="1112">
        <v>0</v>
      </c>
      <c r="AA93" s="1079">
        <v>0</v>
      </c>
      <c r="AC93" s="1115" t="s">
        <v>219</v>
      </c>
      <c r="AD93" s="1112">
        <v>0</v>
      </c>
      <c r="AE93" s="1112">
        <v>0</v>
      </c>
      <c r="AF93" s="1112">
        <v>2.99</v>
      </c>
      <c r="AG93" s="1112">
        <v>0.08</v>
      </c>
      <c r="AH93" s="1079">
        <v>0</v>
      </c>
    </row>
    <row r="94" spans="1:34">
      <c r="A94" s="1115" t="s">
        <v>229</v>
      </c>
      <c r="B94" s="1112">
        <v>0</v>
      </c>
      <c r="C94" s="1112">
        <v>0.54</v>
      </c>
      <c r="D94" s="1112">
        <v>0</v>
      </c>
      <c r="E94" s="1112">
        <v>0</v>
      </c>
      <c r="F94" s="1112">
        <v>0</v>
      </c>
      <c r="G94" s="1112">
        <v>0</v>
      </c>
      <c r="H94" s="1112">
        <v>0</v>
      </c>
      <c r="I94" s="1112">
        <v>0</v>
      </c>
      <c r="J94" s="1112">
        <v>0</v>
      </c>
      <c r="K94" s="1112">
        <v>0</v>
      </c>
      <c r="L94" s="1112">
        <v>0</v>
      </c>
      <c r="M94" s="1112">
        <v>0.03</v>
      </c>
      <c r="N94" s="1112">
        <v>0</v>
      </c>
      <c r="O94" s="1112">
        <v>0</v>
      </c>
      <c r="P94" s="1112">
        <v>0</v>
      </c>
      <c r="Q94" s="1112">
        <v>0</v>
      </c>
      <c r="R94" s="1112">
        <v>0</v>
      </c>
      <c r="S94" s="1112">
        <v>0</v>
      </c>
      <c r="T94" s="1112">
        <v>0</v>
      </c>
      <c r="U94" s="1112">
        <v>0</v>
      </c>
      <c r="V94" s="1112">
        <v>0</v>
      </c>
      <c r="W94" s="1112">
        <v>0.08</v>
      </c>
      <c r="X94" s="1112"/>
      <c r="Y94" s="1112">
        <v>0</v>
      </c>
      <c r="Z94" s="1112">
        <v>0</v>
      </c>
      <c r="AA94" s="1079">
        <v>0</v>
      </c>
      <c r="AC94" s="1115" t="s">
        <v>229</v>
      </c>
      <c r="AD94" s="1112">
        <v>0</v>
      </c>
      <c r="AE94" s="1112">
        <v>0</v>
      </c>
      <c r="AF94" s="1112">
        <v>0</v>
      </c>
      <c r="AG94" s="1112">
        <v>0</v>
      </c>
      <c r="AH94" s="1079">
        <v>0</v>
      </c>
    </row>
    <row r="95" spans="1:34">
      <c r="A95" s="1115" t="s">
        <v>222</v>
      </c>
      <c r="B95" s="1112">
        <v>0</v>
      </c>
      <c r="C95" s="1112">
        <v>0.22</v>
      </c>
      <c r="D95" s="1112">
        <v>0</v>
      </c>
      <c r="E95" s="1112">
        <v>0</v>
      </c>
      <c r="F95" s="1112">
        <v>0</v>
      </c>
      <c r="G95" s="1112">
        <v>0</v>
      </c>
      <c r="H95" s="1112">
        <v>0</v>
      </c>
      <c r="I95" s="1112">
        <v>0</v>
      </c>
      <c r="J95" s="1112">
        <v>0</v>
      </c>
      <c r="K95" s="1112">
        <v>0</v>
      </c>
      <c r="L95" s="1112">
        <v>0</v>
      </c>
      <c r="M95" s="1112">
        <v>0</v>
      </c>
      <c r="N95" s="1112">
        <v>3.73</v>
      </c>
      <c r="O95" s="1112">
        <v>0</v>
      </c>
      <c r="P95" s="1112">
        <v>0</v>
      </c>
      <c r="Q95" s="1112">
        <v>0</v>
      </c>
      <c r="R95" s="1112">
        <v>0</v>
      </c>
      <c r="S95" s="1112">
        <v>0</v>
      </c>
      <c r="T95" s="1112">
        <v>0</v>
      </c>
      <c r="U95" s="1112">
        <v>0</v>
      </c>
      <c r="V95" s="1112">
        <v>2.31</v>
      </c>
      <c r="W95" s="1112">
        <v>0.02</v>
      </c>
      <c r="X95" s="1112">
        <v>0</v>
      </c>
      <c r="Y95" s="1112"/>
      <c r="Z95" s="1112">
        <v>0</v>
      </c>
      <c r="AA95" s="1079">
        <v>0</v>
      </c>
      <c r="AC95" s="1115" t="s">
        <v>222</v>
      </c>
      <c r="AD95" s="1112">
        <v>3.73</v>
      </c>
      <c r="AE95" s="1112">
        <v>0</v>
      </c>
      <c r="AF95" s="1112">
        <v>2.31</v>
      </c>
      <c r="AG95" s="1112"/>
      <c r="AH95" s="1079">
        <v>0</v>
      </c>
    </row>
    <row r="96" spans="1:34">
      <c r="A96" s="1115" t="s">
        <v>231</v>
      </c>
      <c r="B96" s="1112">
        <v>0</v>
      </c>
      <c r="C96" s="1112">
        <v>0</v>
      </c>
      <c r="D96" s="1112">
        <v>0</v>
      </c>
      <c r="E96" s="1112">
        <v>0</v>
      </c>
      <c r="F96" s="1112">
        <v>0</v>
      </c>
      <c r="G96" s="1112">
        <v>0</v>
      </c>
      <c r="H96" s="1112">
        <v>0</v>
      </c>
      <c r="I96" s="1112">
        <v>0</v>
      </c>
      <c r="J96" s="1112">
        <v>0</v>
      </c>
      <c r="K96" s="1112">
        <v>0</v>
      </c>
      <c r="L96" s="1112">
        <v>0</v>
      </c>
      <c r="M96" s="1112">
        <v>0</v>
      </c>
      <c r="N96" s="1112">
        <v>2.84</v>
      </c>
      <c r="O96" s="1112">
        <v>0.66</v>
      </c>
      <c r="P96" s="1112">
        <v>2.34</v>
      </c>
      <c r="Q96" s="1112">
        <v>0</v>
      </c>
      <c r="R96" s="1112">
        <v>0</v>
      </c>
      <c r="S96" s="1112">
        <v>0</v>
      </c>
      <c r="T96" s="1112">
        <v>0</v>
      </c>
      <c r="U96" s="1112">
        <v>0</v>
      </c>
      <c r="V96" s="1112">
        <v>0</v>
      </c>
      <c r="W96" s="1112">
        <v>0</v>
      </c>
      <c r="X96" s="1112">
        <v>0</v>
      </c>
      <c r="Y96" s="1112">
        <v>0</v>
      </c>
      <c r="Z96" s="1112">
        <v>0</v>
      </c>
      <c r="AA96" s="1079"/>
      <c r="AC96" s="1115" t="s">
        <v>231</v>
      </c>
      <c r="AD96" s="1112">
        <v>2.84</v>
      </c>
      <c r="AE96" s="1112">
        <v>0.66</v>
      </c>
      <c r="AF96" s="1112">
        <v>0</v>
      </c>
      <c r="AG96" s="1112">
        <v>0</v>
      </c>
      <c r="AH96" s="1079"/>
    </row>
    <row r="97" spans="1:41">
      <c r="A97" s="1115" t="s">
        <v>244</v>
      </c>
      <c r="B97" s="1112">
        <v>0</v>
      </c>
      <c r="C97" s="1112">
        <v>0.01</v>
      </c>
      <c r="D97" s="1112">
        <v>0</v>
      </c>
      <c r="E97" s="1112">
        <v>0</v>
      </c>
      <c r="F97" s="1112">
        <v>0</v>
      </c>
      <c r="G97" s="1112">
        <v>0</v>
      </c>
      <c r="H97" s="1112">
        <v>0</v>
      </c>
      <c r="I97" s="1112">
        <v>0</v>
      </c>
      <c r="J97" s="1112">
        <v>0</v>
      </c>
      <c r="K97" s="1112">
        <v>7.56</v>
      </c>
      <c r="L97" s="1112">
        <v>0.01</v>
      </c>
      <c r="M97" s="1112">
        <v>0.02</v>
      </c>
      <c r="N97" s="1112">
        <v>0</v>
      </c>
      <c r="O97" s="1112">
        <v>0</v>
      </c>
      <c r="P97" s="1112">
        <v>0</v>
      </c>
      <c r="Q97" s="1112">
        <v>0</v>
      </c>
      <c r="R97" s="1112">
        <v>0</v>
      </c>
      <c r="S97" s="1112">
        <v>0</v>
      </c>
      <c r="T97" s="1112">
        <v>0</v>
      </c>
      <c r="U97" s="1112">
        <v>0</v>
      </c>
      <c r="V97" s="1112">
        <v>0</v>
      </c>
      <c r="W97" s="1112">
        <v>0.08</v>
      </c>
      <c r="X97" s="1112">
        <v>0</v>
      </c>
      <c r="Y97" s="1112">
        <v>1.54</v>
      </c>
      <c r="Z97" s="1112">
        <v>0</v>
      </c>
      <c r="AA97" s="1112">
        <v>0</v>
      </c>
      <c r="AC97" s="1115" t="s">
        <v>244</v>
      </c>
      <c r="AD97" s="1112">
        <v>0</v>
      </c>
      <c r="AE97" s="1112">
        <v>0</v>
      </c>
      <c r="AF97" s="1112">
        <v>0</v>
      </c>
      <c r="AG97" s="1112">
        <v>1.54</v>
      </c>
      <c r="AH97" s="1112">
        <v>0</v>
      </c>
    </row>
    <row r="98" spans="1:41">
      <c r="A98" s="1113" t="s">
        <v>253</v>
      </c>
      <c r="B98" s="1114">
        <v>94.98</v>
      </c>
      <c r="C98" s="1114">
        <v>24.17</v>
      </c>
      <c r="D98" s="1114">
        <v>55.77</v>
      </c>
      <c r="E98" s="1114">
        <v>1.87</v>
      </c>
      <c r="F98" s="1114">
        <v>65.819999999999993</v>
      </c>
      <c r="G98" s="1114">
        <v>75.42</v>
      </c>
      <c r="H98" s="1114">
        <v>0</v>
      </c>
      <c r="I98" s="1114">
        <v>45.37</v>
      </c>
      <c r="J98" s="1114">
        <v>0</v>
      </c>
      <c r="K98" s="1114">
        <v>82.92</v>
      </c>
      <c r="L98" s="1114">
        <v>75.680000000000007</v>
      </c>
      <c r="M98" s="1114">
        <v>74.98</v>
      </c>
      <c r="N98" s="1114">
        <v>51.54</v>
      </c>
      <c r="O98" s="1114">
        <v>72.19</v>
      </c>
      <c r="P98" s="1114">
        <v>15.94</v>
      </c>
      <c r="Q98" s="1114">
        <v>22.97</v>
      </c>
      <c r="R98" s="1114">
        <v>0</v>
      </c>
      <c r="S98" s="1114">
        <v>55.38</v>
      </c>
      <c r="T98" s="1114">
        <v>0</v>
      </c>
      <c r="U98" s="1114">
        <v>78.89</v>
      </c>
      <c r="V98" s="1114">
        <v>29.65</v>
      </c>
      <c r="W98" s="1114">
        <v>18.73</v>
      </c>
      <c r="X98" s="1114">
        <v>24.11</v>
      </c>
      <c r="Y98" s="1114">
        <v>27.05</v>
      </c>
      <c r="Z98" s="1114">
        <v>100</v>
      </c>
      <c r="AA98" s="1114">
        <v>80.83</v>
      </c>
      <c r="AC98" s="1113" t="s">
        <v>253</v>
      </c>
      <c r="AD98" s="1114">
        <v>51.54</v>
      </c>
      <c r="AE98" s="1114">
        <v>72.19</v>
      </c>
      <c r="AF98" s="1114">
        <v>29.65</v>
      </c>
      <c r="AG98" s="1114">
        <v>27.05</v>
      </c>
      <c r="AH98" s="1114">
        <v>80.83</v>
      </c>
    </row>
    <row r="99" spans="1:41">
      <c r="A99" s="1113" t="s">
        <v>30</v>
      </c>
      <c r="B99" s="1114">
        <v>100</v>
      </c>
      <c r="C99" s="1114">
        <v>100</v>
      </c>
      <c r="D99" s="1114">
        <v>100</v>
      </c>
      <c r="E99" s="1114">
        <v>100</v>
      </c>
      <c r="F99" s="1114">
        <v>100</v>
      </c>
      <c r="G99" s="1114">
        <v>100</v>
      </c>
      <c r="H99" s="1114">
        <v>100</v>
      </c>
      <c r="I99" s="1114">
        <v>100</v>
      </c>
      <c r="J99" s="1114">
        <v>0</v>
      </c>
      <c r="K99" s="1114">
        <v>100</v>
      </c>
      <c r="L99" s="1114">
        <v>100</v>
      </c>
      <c r="M99" s="1114">
        <v>100</v>
      </c>
      <c r="N99" s="1114">
        <v>100</v>
      </c>
      <c r="O99" s="1114">
        <v>100</v>
      </c>
      <c r="P99" s="1114">
        <v>100</v>
      </c>
      <c r="Q99" s="1114">
        <v>100</v>
      </c>
      <c r="R99" s="1114">
        <v>100</v>
      </c>
      <c r="S99" s="1114">
        <v>100</v>
      </c>
      <c r="T99" s="1114">
        <v>0</v>
      </c>
      <c r="U99" s="1114">
        <v>100</v>
      </c>
      <c r="V99" s="1114">
        <v>100</v>
      </c>
      <c r="W99" s="1114">
        <v>100</v>
      </c>
      <c r="X99" s="1114">
        <v>100</v>
      </c>
      <c r="Y99" s="1114">
        <v>100</v>
      </c>
      <c r="Z99" s="1114">
        <v>100</v>
      </c>
      <c r="AA99" s="1114">
        <v>100</v>
      </c>
      <c r="AC99" s="1113" t="s">
        <v>30</v>
      </c>
      <c r="AD99" s="1114">
        <v>100</v>
      </c>
      <c r="AE99" s="1114">
        <v>100</v>
      </c>
      <c r="AF99" s="1114">
        <v>100</v>
      </c>
      <c r="AG99" s="1114">
        <v>100</v>
      </c>
      <c r="AH99" s="1114">
        <v>100</v>
      </c>
    </row>
    <row r="100" spans="1:41">
      <c r="A100" s="1099" t="s">
        <v>248</v>
      </c>
      <c r="B100" s="1097" t="s">
        <v>233</v>
      </c>
      <c r="C100" s="1097" t="s">
        <v>220</v>
      </c>
      <c r="D100" s="1097" t="s">
        <v>223</v>
      </c>
      <c r="E100" s="1097" t="s">
        <v>249</v>
      </c>
      <c r="F100" s="1097" t="s">
        <v>221</v>
      </c>
      <c r="G100" s="1097" t="s">
        <v>234</v>
      </c>
      <c r="H100" s="1097" t="s">
        <v>242</v>
      </c>
      <c r="I100" s="1097" t="s">
        <v>225</v>
      </c>
      <c r="J100" s="1097" t="s">
        <v>12</v>
      </c>
      <c r="K100" s="1097" t="s">
        <v>236</v>
      </c>
      <c r="L100" s="1097" t="s">
        <v>227</v>
      </c>
      <c r="M100" s="1097" t="s">
        <v>2</v>
      </c>
      <c r="N100" s="1097" t="s">
        <v>232</v>
      </c>
      <c r="O100" s="1097" t="s">
        <v>230</v>
      </c>
      <c r="P100" s="1097" t="s">
        <v>238</v>
      </c>
      <c r="Q100" s="1097" t="s">
        <v>226</v>
      </c>
      <c r="R100" s="1097" t="s">
        <v>3</v>
      </c>
      <c r="S100" s="1097" t="s">
        <v>235</v>
      </c>
      <c r="T100" s="1097" t="s">
        <v>250</v>
      </c>
      <c r="U100" s="1097" t="s">
        <v>228</v>
      </c>
      <c r="V100" s="1097" t="s">
        <v>224</v>
      </c>
      <c r="W100" s="1097" t="s">
        <v>219</v>
      </c>
      <c r="X100" s="1097" t="s">
        <v>229</v>
      </c>
      <c r="Y100" s="1097" t="s">
        <v>222</v>
      </c>
      <c r="Z100" s="1097" t="s">
        <v>1018</v>
      </c>
      <c r="AA100" s="1097" t="s">
        <v>231</v>
      </c>
      <c r="AC100" s="1099" t="s">
        <v>248</v>
      </c>
      <c r="AD100" s="1097" t="s">
        <v>232</v>
      </c>
      <c r="AE100" s="1097" t="s">
        <v>230</v>
      </c>
      <c r="AF100" s="1097" t="s">
        <v>224</v>
      </c>
      <c r="AG100" s="1097" t="s">
        <v>222</v>
      </c>
      <c r="AH100" s="1097" t="s">
        <v>231</v>
      </c>
      <c r="AJ100" s="1099" t="s">
        <v>248</v>
      </c>
      <c r="AK100" s="1097" t="s">
        <v>232</v>
      </c>
      <c r="AL100" s="1097" t="s">
        <v>230</v>
      </c>
      <c r="AM100" s="1097" t="s">
        <v>224</v>
      </c>
      <c r="AN100" s="1097" t="s">
        <v>222</v>
      </c>
      <c r="AO100" s="1097" t="s">
        <v>231</v>
      </c>
    </row>
    <row r="101" spans="1:41">
      <c r="A101" s="1100" t="s">
        <v>1128</v>
      </c>
      <c r="B101" s="1112"/>
      <c r="C101" s="1112"/>
      <c r="D101" s="1112"/>
      <c r="E101" s="1112"/>
      <c r="F101" s="1112"/>
      <c r="G101" s="1112"/>
      <c r="H101" s="1112"/>
      <c r="I101" s="1112"/>
      <c r="J101" s="1112"/>
      <c r="K101" s="1112"/>
      <c r="L101" s="1112"/>
      <c r="M101" s="1112"/>
      <c r="N101" s="1112"/>
      <c r="O101" s="1112"/>
      <c r="P101" s="1112"/>
      <c r="Q101" s="1112"/>
      <c r="R101" s="1112"/>
      <c r="S101" s="1112"/>
      <c r="T101" s="1112"/>
      <c r="U101" s="1112"/>
      <c r="V101" s="1112"/>
      <c r="W101" s="1112"/>
      <c r="X101" s="1112"/>
      <c r="Y101" s="1112"/>
      <c r="Z101" s="1112"/>
      <c r="AA101" s="1079"/>
      <c r="AC101" s="1100" t="s">
        <v>1128</v>
      </c>
      <c r="AD101" s="1112"/>
      <c r="AE101" s="1112"/>
      <c r="AF101" s="1112"/>
      <c r="AG101" s="1112"/>
      <c r="AH101" s="1079"/>
      <c r="AJ101" s="1113" t="s">
        <v>251</v>
      </c>
      <c r="AK101" s="1114">
        <v>1.31</v>
      </c>
      <c r="AL101" s="1114">
        <v>0</v>
      </c>
      <c r="AM101" s="1114">
        <v>1.61</v>
      </c>
      <c r="AN101" s="1114">
        <v>35.11</v>
      </c>
      <c r="AO101" s="1114">
        <v>2.5299999999999998</v>
      </c>
    </row>
    <row r="102" spans="1:41">
      <c r="A102" s="1113" t="s">
        <v>251</v>
      </c>
      <c r="B102" s="1114">
        <v>22.22</v>
      </c>
      <c r="C102" s="1114">
        <v>24.55</v>
      </c>
      <c r="D102" s="1114">
        <v>16.91</v>
      </c>
      <c r="E102" s="1114">
        <v>83.87</v>
      </c>
      <c r="F102" s="1114">
        <v>13.77</v>
      </c>
      <c r="G102" s="1114">
        <v>1.48</v>
      </c>
      <c r="H102" s="1114">
        <v>0</v>
      </c>
      <c r="I102" s="1114">
        <v>32.83</v>
      </c>
      <c r="J102" s="1114">
        <v>0</v>
      </c>
      <c r="K102" s="1114">
        <v>5.28</v>
      </c>
      <c r="L102" s="1114">
        <v>6.22</v>
      </c>
      <c r="M102" s="1114">
        <v>10.01</v>
      </c>
      <c r="N102" s="1114">
        <v>1.31</v>
      </c>
      <c r="O102" s="1114">
        <v>0</v>
      </c>
      <c r="P102" s="1114">
        <v>0</v>
      </c>
      <c r="Q102" s="1114">
        <v>11.84</v>
      </c>
      <c r="R102" s="1114">
        <v>0</v>
      </c>
      <c r="S102" s="1114">
        <v>51.2</v>
      </c>
      <c r="T102" s="1114">
        <v>0</v>
      </c>
      <c r="U102" s="1114">
        <v>1.82</v>
      </c>
      <c r="V102" s="1114">
        <v>1.61</v>
      </c>
      <c r="W102" s="1114">
        <v>23.35</v>
      </c>
      <c r="X102" s="1114">
        <v>27.77</v>
      </c>
      <c r="Y102" s="1114">
        <v>35.11</v>
      </c>
      <c r="Z102" s="1114">
        <v>0</v>
      </c>
      <c r="AA102" s="1114">
        <v>2.5299999999999998</v>
      </c>
      <c r="AC102" s="1113" t="s">
        <v>251</v>
      </c>
      <c r="AD102" s="1114">
        <v>1.31</v>
      </c>
      <c r="AE102" s="1114">
        <v>0</v>
      </c>
      <c r="AF102" s="1114">
        <v>1.61</v>
      </c>
      <c r="AG102" s="1114">
        <v>35.11</v>
      </c>
      <c r="AH102" s="1114">
        <v>2.5299999999999998</v>
      </c>
      <c r="AJ102" s="1113" t="s">
        <v>1116</v>
      </c>
      <c r="AK102" s="1114">
        <v>0</v>
      </c>
      <c r="AL102" s="1114">
        <v>52.68</v>
      </c>
      <c r="AM102" s="1114">
        <v>26.24</v>
      </c>
      <c r="AN102" s="1114">
        <v>24.21</v>
      </c>
      <c r="AO102" s="1114">
        <v>21.52</v>
      </c>
    </row>
    <row r="103" spans="1:41">
      <c r="A103" s="1113" t="s">
        <v>1116</v>
      </c>
      <c r="B103" s="1114">
        <v>3.7</v>
      </c>
      <c r="C103" s="1114">
        <v>44.95</v>
      </c>
      <c r="D103" s="1114">
        <v>22.24</v>
      </c>
      <c r="E103" s="1114">
        <v>9.68</v>
      </c>
      <c r="F103" s="1114">
        <v>12.11</v>
      </c>
      <c r="G103" s="1114">
        <v>14.73</v>
      </c>
      <c r="H103" s="1114">
        <v>0</v>
      </c>
      <c r="I103" s="1114">
        <v>6.78</v>
      </c>
      <c r="J103" s="1114">
        <v>0</v>
      </c>
      <c r="K103" s="1114">
        <v>12.06</v>
      </c>
      <c r="L103" s="1114">
        <v>10.050000000000001</v>
      </c>
      <c r="M103" s="1114">
        <v>11.3</v>
      </c>
      <c r="N103" s="1114">
        <v>0</v>
      </c>
      <c r="O103" s="1114">
        <v>52.68</v>
      </c>
      <c r="P103" s="1114">
        <v>0</v>
      </c>
      <c r="Q103" s="1114">
        <v>30.88</v>
      </c>
      <c r="R103" s="1114">
        <v>0</v>
      </c>
      <c r="S103" s="1114">
        <v>1.29</v>
      </c>
      <c r="T103" s="1114">
        <v>0</v>
      </c>
      <c r="U103" s="1114">
        <v>14.03</v>
      </c>
      <c r="V103" s="1114">
        <v>26.24</v>
      </c>
      <c r="W103" s="1114">
        <v>53.86</v>
      </c>
      <c r="X103" s="1114">
        <v>28.7</v>
      </c>
      <c r="Y103" s="1114">
        <v>24.21</v>
      </c>
      <c r="Z103" s="1114">
        <v>0</v>
      </c>
      <c r="AA103" s="1114">
        <v>21.52</v>
      </c>
      <c r="AC103" s="1113" t="s">
        <v>1116</v>
      </c>
      <c r="AD103" s="1114">
        <v>0</v>
      </c>
      <c r="AE103" s="1114">
        <v>52.68</v>
      </c>
      <c r="AF103" s="1114">
        <v>26.24</v>
      </c>
      <c r="AG103" s="1114">
        <v>24.21</v>
      </c>
      <c r="AH103" s="1114">
        <v>21.52</v>
      </c>
      <c r="AJ103" s="1113" t="s">
        <v>253</v>
      </c>
      <c r="AK103" s="1114">
        <v>98.69</v>
      </c>
      <c r="AL103" s="1114">
        <v>47.32</v>
      </c>
      <c r="AM103" s="1114">
        <v>72.150000000000006</v>
      </c>
      <c r="AN103" s="1114">
        <v>40.68</v>
      </c>
      <c r="AO103" s="1114">
        <v>75.95</v>
      </c>
    </row>
    <row r="104" spans="1:41">
      <c r="A104" s="1115" t="s">
        <v>220</v>
      </c>
      <c r="B104" s="1112">
        <v>1.23</v>
      </c>
      <c r="C104" s="1112"/>
      <c r="D104" s="1112">
        <v>14.18</v>
      </c>
      <c r="E104" s="1112">
        <v>0</v>
      </c>
      <c r="F104" s="1112">
        <v>9.2200000000000006</v>
      </c>
      <c r="G104" s="1112">
        <v>12.55</v>
      </c>
      <c r="H104" s="1112">
        <v>0</v>
      </c>
      <c r="I104" s="1112">
        <v>2.2799999999999998</v>
      </c>
      <c r="J104" s="1112">
        <v>0</v>
      </c>
      <c r="K104" s="1112">
        <v>0</v>
      </c>
      <c r="L104" s="1112">
        <v>1.26</v>
      </c>
      <c r="M104" s="1112">
        <v>6.34</v>
      </c>
      <c r="N104" s="1112">
        <v>0</v>
      </c>
      <c r="O104" s="1112">
        <v>0</v>
      </c>
      <c r="P104" s="1112">
        <v>0</v>
      </c>
      <c r="Q104" s="1112">
        <v>20.2</v>
      </c>
      <c r="R104" s="1112">
        <v>0</v>
      </c>
      <c r="S104" s="1112">
        <v>0</v>
      </c>
      <c r="T104" s="1112">
        <v>0</v>
      </c>
      <c r="U104" s="1112">
        <v>4.68</v>
      </c>
      <c r="V104" s="1112">
        <v>23.4</v>
      </c>
      <c r="W104" s="1112">
        <v>51.73</v>
      </c>
      <c r="X104" s="1112">
        <v>23.79</v>
      </c>
      <c r="Y104" s="1112">
        <v>16.059999999999999</v>
      </c>
      <c r="Z104" s="1112">
        <v>0</v>
      </c>
      <c r="AA104" s="1079">
        <v>21.52</v>
      </c>
      <c r="AC104" s="1115" t="s">
        <v>220</v>
      </c>
      <c r="AD104" s="1112">
        <v>0</v>
      </c>
      <c r="AE104" s="1112">
        <v>0</v>
      </c>
      <c r="AF104" s="1112">
        <v>23.4</v>
      </c>
      <c r="AG104" s="1112">
        <v>16.059999999999999</v>
      </c>
      <c r="AH104" s="1079">
        <v>21.52</v>
      </c>
    </row>
    <row r="105" spans="1:41">
      <c r="A105" s="1115" t="s">
        <v>223</v>
      </c>
      <c r="B105" s="1112">
        <v>2.4700000000000002</v>
      </c>
      <c r="C105" s="1112">
        <v>1.9</v>
      </c>
      <c r="D105" s="1112"/>
      <c r="E105" s="1112">
        <v>0</v>
      </c>
      <c r="F105" s="1112">
        <v>0.16</v>
      </c>
      <c r="G105" s="1112">
        <v>0</v>
      </c>
      <c r="H105" s="1112">
        <v>0</v>
      </c>
      <c r="I105" s="1112">
        <v>3.83</v>
      </c>
      <c r="J105" s="1112">
        <v>0</v>
      </c>
      <c r="K105" s="1112">
        <v>0</v>
      </c>
      <c r="L105" s="1112">
        <v>0</v>
      </c>
      <c r="M105" s="1112">
        <v>0.17</v>
      </c>
      <c r="N105" s="1112">
        <v>0</v>
      </c>
      <c r="O105" s="1112">
        <v>0</v>
      </c>
      <c r="P105" s="1112">
        <v>0</v>
      </c>
      <c r="Q105" s="1112">
        <v>0</v>
      </c>
      <c r="R105" s="1112">
        <v>0</v>
      </c>
      <c r="S105" s="1112">
        <v>0</v>
      </c>
      <c r="T105" s="1112">
        <v>0</v>
      </c>
      <c r="U105" s="1112">
        <v>0</v>
      </c>
      <c r="V105" s="1112">
        <v>0</v>
      </c>
      <c r="W105" s="1112">
        <v>0.46</v>
      </c>
      <c r="X105" s="1112">
        <v>0</v>
      </c>
      <c r="Y105" s="1112">
        <v>0.24</v>
      </c>
      <c r="Z105" s="1112">
        <v>0</v>
      </c>
      <c r="AA105" s="1079">
        <v>0</v>
      </c>
      <c r="AC105" s="1115" t="s">
        <v>223</v>
      </c>
      <c r="AD105" s="1112">
        <v>0</v>
      </c>
      <c r="AE105" s="1112">
        <v>0</v>
      </c>
      <c r="AF105" s="1112">
        <v>0</v>
      </c>
      <c r="AG105" s="1112">
        <v>0.24</v>
      </c>
      <c r="AH105" s="1079">
        <v>0</v>
      </c>
      <c r="AJ105" s="1103" t="s">
        <v>220</v>
      </c>
      <c r="AK105" s="1079">
        <v>0</v>
      </c>
      <c r="AL105" s="1079">
        <v>2.5299999999999998</v>
      </c>
      <c r="AM105" s="1079">
        <v>8.35</v>
      </c>
      <c r="AN105" s="1079">
        <v>5.95</v>
      </c>
      <c r="AO105" s="1079">
        <v>4.0599999999999996</v>
      </c>
    </row>
    <row r="106" spans="1:41">
      <c r="A106" s="1115" t="s">
        <v>221</v>
      </c>
      <c r="B106" s="1112">
        <v>0</v>
      </c>
      <c r="C106" s="1112">
        <v>0.63</v>
      </c>
      <c r="D106" s="1112">
        <v>1.32</v>
      </c>
      <c r="E106" s="1112">
        <v>0</v>
      </c>
      <c r="F106" s="1112"/>
      <c r="G106" s="1112">
        <v>0</v>
      </c>
      <c r="H106" s="1112">
        <v>0</v>
      </c>
      <c r="I106" s="1112">
        <v>0</v>
      </c>
      <c r="J106" s="1112">
        <v>0</v>
      </c>
      <c r="K106" s="1112">
        <v>0</v>
      </c>
      <c r="L106" s="1112">
        <v>0</v>
      </c>
      <c r="M106" s="1112">
        <v>1.93</v>
      </c>
      <c r="N106" s="1112">
        <v>0</v>
      </c>
      <c r="O106" s="1112">
        <v>0</v>
      </c>
      <c r="P106" s="1112">
        <v>0</v>
      </c>
      <c r="Q106" s="1112">
        <v>0.1</v>
      </c>
      <c r="R106" s="1112">
        <v>0</v>
      </c>
      <c r="S106" s="1112">
        <v>0</v>
      </c>
      <c r="T106" s="1112">
        <v>0</v>
      </c>
      <c r="U106" s="1112">
        <v>3.38</v>
      </c>
      <c r="V106" s="1112">
        <v>0</v>
      </c>
      <c r="W106" s="1112">
        <v>0.62</v>
      </c>
      <c r="X106" s="1112">
        <v>0.68</v>
      </c>
      <c r="Y106" s="1112">
        <v>0.02</v>
      </c>
      <c r="Z106" s="1112">
        <v>0</v>
      </c>
      <c r="AA106" s="1079">
        <v>0</v>
      </c>
      <c r="AC106" s="1115" t="s">
        <v>221</v>
      </c>
      <c r="AD106" s="1112">
        <v>0</v>
      </c>
      <c r="AE106" s="1112">
        <v>0</v>
      </c>
      <c r="AF106" s="1112">
        <v>0</v>
      </c>
      <c r="AG106" s="1112">
        <v>0.02</v>
      </c>
      <c r="AH106" s="1079">
        <v>0</v>
      </c>
      <c r="AJ106" s="1103" t="s">
        <v>221</v>
      </c>
      <c r="AK106" s="1079">
        <v>1.88</v>
      </c>
      <c r="AL106" s="1079">
        <v>0</v>
      </c>
      <c r="AM106" s="1079">
        <v>0.37</v>
      </c>
      <c r="AN106" s="1079">
        <v>0</v>
      </c>
      <c r="AO106" s="1079">
        <v>0.28999999999999998</v>
      </c>
    </row>
    <row r="107" spans="1:41">
      <c r="A107" s="1115" t="s">
        <v>234</v>
      </c>
      <c r="B107" s="1112">
        <v>0</v>
      </c>
      <c r="C107" s="1112">
        <v>0.05</v>
      </c>
      <c r="D107" s="1112">
        <v>0</v>
      </c>
      <c r="E107" s="1112">
        <v>0</v>
      </c>
      <c r="F107" s="1112">
        <v>0</v>
      </c>
      <c r="G107" s="1112"/>
      <c r="H107" s="1112">
        <v>0</v>
      </c>
      <c r="I107" s="1112">
        <v>0</v>
      </c>
      <c r="J107" s="1112">
        <v>0</v>
      </c>
      <c r="K107" s="1112">
        <v>1.1399999999999999</v>
      </c>
      <c r="L107" s="1112">
        <v>0</v>
      </c>
      <c r="M107" s="1112">
        <v>0</v>
      </c>
      <c r="N107" s="1112">
        <v>0</v>
      </c>
      <c r="O107" s="1112">
        <v>0</v>
      </c>
      <c r="P107" s="1112">
        <v>0</v>
      </c>
      <c r="Q107" s="1112">
        <v>0</v>
      </c>
      <c r="R107" s="1112">
        <v>0</v>
      </c>
      <c r="S107" s="1112">
        <v>0</v>
      </c>
      <c r="T107" s="1112">
        <v>0</v>
      </c>
      <c r="U107" s="1112">
        <v>0</v>
      </c>
      <c r="V107" s="1112">
        <v>0</v>
      </c>
      <c r="W107" s="1112">
        <v>0</v>
      </c>
      <c r="X107" s="1112">
        <v>0</v>
      </c>
      <c r="Y107" s="1112">
        <v>0</v>
      </c>
      <c r="Z107" s="1112">
        <v>0</v>
      </c>
      <c r="AA107" s="1079">
        <v>0</v>
      </c>
      <c r="AC107" s="1115" t="s">
        <v>234</v>
      </c>
      <c r="AD107" s="1112">
        <v>0</v>
      </c>
      <c r="AE107" s="1112">
        <v>0</v>
      </c>
      <c r="AF107" s="1112">
        <v>0</v>
      </c>
      <c r="AG107" s="1112">
        <v>0</v>
      </c>
      <c r="AH107" s="1079">
        <v>0</v>
      </c>
      <c r="AJ107" s="1103" t="s">
        <v>232</v>
      </c>
      <c r="AK107" s="1079"/>
      <c r="AL107" s="1079">
        <v>0</v>
      </c>
      <c r="AM107" s="1079">
        <v>1.34</v>
      </c>
      <c r="AN107" s="1079">
        <v>0</v>
      </c>
      <c r="AO107" s="1079">
        <v>0</v>
      </c>
    </row>
    <row r="108" spans="1:41">
      <c r="A108" s="1115" t="s">
        <v>225</v>
      </c>
      <c r="B108" s="1112">
        <v>0</v>
      </c>
      <c r="C108" s="1112">
        <v>0.27</v>
      </c>
      <c r="D108" s="1112">
        <v>0.11</v>
      </c>
      <c r="E108" s="1112">
        <v>0</v>
      </c>
      <c r="F108" s="1112">
        <v>0</v>
      </c>
      <c r="G108" s="1112">
        <v>0</v>
      </c>
      <c r="H108" s="1112">
        <v>0</v>
      </c>
      <c r="I108" s="1112"/>
      <c r="J108" s="1112">
        <v>0</v>
      </c>
      <c r="K108" s="1112">
        <v>0</v>
      </c>
      <c r="L108" s="1112">
        <v>0</v>
      </c>
      <c r="M108" s="1112">
        <v>0</v>
      </c>
      <c r="N108" s="1112">
        <v>0</v>
      </c>
      <c r="O108" s="1112">
        <v>0</v>
      </c>
      <c r="P108" s="1112">
        <v>0</v>
      </c>
      <c r="Q108" s="1112">
        <v>0</v>
      </c>
      <c r="R108" s="1112">
        <v>0</v>
      </c>
      <c r="S108" s="1112">
        <v>0</v>
      </c>
      <c r="T108" s="1112">
        <v>0</v>
      </c>
      <c r="U108" s="1112">
        <v>0</v>
      </c>
      <c r="V108" s="1112">
        <v>0</v>
      </c>
      <c r="W108" s="1112">
        <v>0</v>
      </c>
      <c r="X108" s="1112">
        <v>0</v>
      </c>
      <c r="Y108" s="1112">
        <v>0.04</v>
      </c>
      <c r="Z108" s="1112">
        <v>0</v>
      </c>
      <c r="AA108" s="1079">
        <v>0</v>
      </c>
      <c r="AC108" s="1115" t="s">
        <v>225</v>
      </c>
      <c r="AD108" s="1112">
        <v>0</v>
      </c>
      <c r="AE108" s="1112">
        <v>0</v>
      </c>
      <c r="AF108" s="1112">
        <v>0</v>
      </c>
      <c r="AG108" s="1112">
        <v>0.04</v>
      </c>
      <c r="AH108" s="1079">
        <v>0</v>
      </c>
      <c r="AJ108" s="1103" t="s">
        <v>230</v>
      </c>
      <c r="AK108" s="1079">
        <v>0</v>
      </c>
      <c r="AL108" s="1079"/>
      <c r="AM108" s="1079">
        <v>0</v>
      </c>
      <c r="AN108" s="1079">
        <v>0.08</v>
      </c>
      <c r="AO108" s="1079">
        <v>4.93</v>
      </c>
    </row>
    <row r="109" spans="1:41">
      <c r="A109" s="1115" t="s">
        <v>236</v>
      </c>
      <c r="B109" s="1112">
        <v>0</v>
      </c>
      <c r="C109" s="1112">
        <v>0</v>
      </c>
      <c r="D109" s="1112">
        <v>0</v>
      </c>
      <c r="E109" s="1112">
        <v>0</v>
      </c>
      <c r="F109" s="1112">
        <v>0</v>
      </c>
      <c r="G109" s="1112">
        <v>2.1800000000000002</v>
      </c>
      <c r="H109" s="1112">
        <v>0</v>
      </c>
      <c r="I109" s="1112">
        <v>0</v>
      </c>
      <c r="J109" s="1112">
        <v>0</v>
      </c>
      <c r="K109" s="1112"/>
      <c r="L109" s="1112">
        <v>0</v>
      </c>
      <c r="M109" s="1112">
        <v>0</v>
      </c>
      <c r="N109" s="1112">
        <v>0</v>
      </c>
      <c r="O109" s="1112">
        <v>0</v>
      </c>
      <c r="P109" s="1112">
        <v>0</v>
      </c>
      <c r="Q109" s="1112">
        <v>0</v>
      </c>
      <c r="R109" s="1112">
        <v>0</v>
      </c>
      <c r="S109" s="1112">
        <v>0</v>
      </c>
      <c r="T109" s="1112">
        <v>0</v>
      </c>
      <c r="U109" s="1112">
        <v>0</v>
      </c>
      <c r="V109" s="1112">
        <v>0</v>
      </c>
      <c r="W109" s="1112">
        <v>7.0000000000000007E-2</v>
      </c>
      <c r="X109" s="1112">
        <v>0</v>
      </c>
      <c r="Y109" s="1112">
        <v>0</v>
      </c>
      <c r="Z109" s="1112">
        <v>0</v>
      </c>
      <c r="AA109" s="1079">
        <v>0</v>
      </c>
      <c r="AC109" s="1115" t="s">
        <v>236</v>
      </c>
      <c r="AD109" s="1112">
        <v>0</v>
      </c>
      <c r="AE109" s="1112">
        <v>0</v>
      </c>
      <c r="AF109" s="1112">
        <v>0</v>
      </c>
      <c r="AG109" s="1112">
        <v>0</v>
      </c>
      <c r="AH109" s="1079">
        <v>0</v>
      </c>
      <c r="AJ109" s="1103" t="s">
        <v>224</v>
      </c>
      <c r="AK109" s="1079">
        <v>2.5099999999999998</v>
      </c>
      <c r="AL109" s="1079">
        <v>0</v>
      </c>
      <c r="AM109" s="1079"/>
      <c r="AN109" s="1079">
        <v>4.32</v>
      </c>
      <c r="AO109" s="1079">
        <v>0</v>
      </c>
    </row>
    <row r="110" spans="1:41">
      <c r="A110" s="1115" t="s">
        <v>227</v>
      </c>
      <c r="B110" s="1112">
        <v>0</v>
      </c>
      <c r="C110" s="1112">
        <v>0.02</v>
      </c>
      <c r="D110" s="1112">
        <v>0</v>
      </c>
      <c r="E110" s="1112">
        <v>0</v>
      </c>
      <c r="F110" s="1112">
        <v>0</v>
      </c>
      <c r="G110" s="1112">
        <v>0</v>
      </c>
      <c r="H110" s="1112">
        <v>0</v>
      </c>
      <c r="I110" s="1112">
        <v>0</v>
      </c>
      <c r="J110" s="1112">
        <v>0</v>
      </c>
      <c r="K110" s="1112">
        <v>0</v>
      </c>
      <c r="L110" s="1112"/>
      <c r="M110" s="1112">
        <v>0.36</v>
      </c>
      <c r="N110" s="1112">
        <v>0</v>
      </c>
      <c r="O110" s="1112">
        <v>0</v>
      </c>
      <c r="P110" s="1112">
        <v>0</v>
      </c>
      <c r="Q110" s="1112">
        <v>0</v>
      </c>
      <c r="R110" s="1112">
        <v>0</v>
      </c>
      <c r="S110" s="1112">
        <v>0</v>
      </c>
      <c r="T110" s="1112">
        <v>0</v>
      </c>
      <c r="U110" s="1112">
        <v>0</v>
      </c>
      <c r="V110" s="1112">
        <v>0</v>
      </c>
      <c r="W110" s="1112">
        <v>0.21</v>
      </c>
      <c r="X110" s="1112">
        <v>0</v>
      </c>
      <c r="Y110" s="1112">
        <v>0</v>
      </c>
      <c r="Z110" s="1112">
        <v>0</v>
      </c>
      <c r="AA110" s="1079">
        <v>0</v>
      </c>
      <c r="AC110" s="1115" t="s">
        <v>227</v>
      </c>
      <c r="AD110" s="1112">
        <v>0</v>
      </c>
      <c r="AE110" s="1112">
        <v>0</v>
      </c>
      <c r="AF110" s="1112">
        <v>0</v>
      </c>
      <c r="AG110" s="1112">
        <v>0</v>
      </c>
      <c r="AH110" s="1079">
        <v>0</v>
      </c>
      <c r="AJ110" s="1103" t="s">
        <v>219</v>
      </c>
      <c r="AK110" s="1079">
        <v>0</v>
      </c>
      <c r="AL110" s="1079">
        <v>0</v>
      </c>
      <c r="AM110" s="1079">
        <v>1.29</v>
      </c>
      <c r="AN110" s="1079">
        <v>1.56</v>
      </c>
      <c r="AO110" s="1079">
        <v>2.9</v>
      </c>
    </row>
    <row r="111" spans="1:41">
      <c r="A111" s="1115" t="s">
        <v>2</v>
      </c>
      <c r="B111" s="1112">
        <v>0</v>
      </c>
      <c r="C111" s="1112">
        <v>1.07</v>
      </c>
      <c r="D111" s="1112">
        <v>0.1</v>
      </c>
      <c r="E111" s="1112">
        <v>0</v>
      </c>
      <c r="F111" s="1112">
        <v>1.3</v>
      </c>
      <c r="G111" s="1112">
        <v>0</v>
      </c>
      <c r="H111" s="1112">
        <v>0</v>
      </c>
      <c r="I111" s="1112">
        <v>0</v>
      </c>
      <c r="J111" s="1112">
        <v>0</v>
      </c>
      <c r="K111" s="1112">
        <v>0</v>
      </c>
      <c r="L111" s="1112">
        <v>3.84</v>
      </c>
      <c r="M111" s="1112"/>
      <c r="N111" s="1112">
        <v>0</v>
      </c>
      <c r="O111" s="1112">
        <v>0</v>
      </c>
      <c r="P111" s="1112">
        <v>0</v>
      </c>
      <c r="Q111" s="1112">
        <v>0</v>
      </c>
      <c r="R111" s="1112">
        <v>0</v>
      </c>
      <c r="S111" s="1112">
        <v>0</v>
      </c>
      <c r="T111" s="1112">
        <v>0</v>
      </c>
      <c r="U111" s="1112">
        <v>2.08</v>
      </c>
      <c r="V111" s="1112">
        <v>0</v>
      </c>
      <c r="W111" s="1112">
        <v>0.27</v>
      </c>
      <c r="X111" s="1112">
        <v>0</v>
      </c>
      <c r="Y111" s="1112">
        <v>0</v>
      </c>
      <c r="Z111" s="1112">
        <v>0</v>
      </c>
      <c r="AA111" s="1079">
        <v>0</v>
      </c>
      <c r="AC111" s="1115" t="s">
        <v>2</v>
      </c>
      <c r="AD111" s="1112">
        <v>0</v>
      </c>
      <c r="AE111" s="1112">
        <v>0</v>
      </c>
      <c r="AF111" s="1112">
        <v>0</v>
      </c>
      <c r="AG111" s="1112">
        <v>0</v>
      </c>
      <c r="AH111" s="1079">
        <v>0</v>
      </c>
      <c r="AJ111" s="1103" t="s">
        <v>231</v>
      </c>
      <c r="AK111" s="1079">
        <v>0</v>
      </c>
      <c r="AL111" s="1079">
        <v>6.54</v>
      </c>
      <c r="AM111" s="1079">
        <v>0</v>
      </c>
      <c r="AN111" s="1079">
        <v>0</v>
      </c>
      <c r="AO111" s="1079"/>
    </row>
    <row r="112" spans="1:41">
      <c r="A112" s="1115" t="s">
        <v>226</v>
      </c>
      <c r="B112" s="1112">
        <v>0</v>
      </c>
      <c r="C112" s="1112">
        <v>0.03</v>
      </c>
      <c r="D112" s="1112">
        <v>0</v>
      </c>
      <c r="E112" s="1112">
        <v>0</v>
      </c>
      <c r="F112" s="1112">
        <v>0.01</v>
      </c>
      <c r="G112" s="1112">
        <v>0</v>
      </c>
      <c r="H112" s="1112">
        <v>0</v>
      </c>
      <c r="I112" s="1112">
        <v>0</v>
      </c>
      <c r="J112" s="1112">
        <v>0</v>
      </c>
      <c r="K112" s="1112">
        <v>0</v>
      </c>
      <c r="L112" s="1112">
        <v>0</v>
      </c>
      <c r="M112" s="1112">
        <v>0</v>
      </c>
      <c r="N112" s="1112">
        <v>0</v>
      </c>
      <c r="O112" s="1112">
        <v>0</v>
      </c>
      <c r="P112" s="1112">
        <v>0</v>
      </c>
      <c r="Q112" s="1112"/>
      <c r="R112" s="1112">
        <v>0</v>
      </c>
      <c r="S112" s="1112">
        <v>0</v>
      </c>
      <c r="T112" s="1112">
        <v>0</v>
      </c>
      <c r="U112" s="1112">
        <v>0</v>
      </c>
      <c r="V112" s="1112">
        <v>0</v>
      </c>
      <c r="W112" s="1112">
        <v>7.0000000000000007E-2</v>
      </c>
      <c r="X112" s="1112">
        <v>0</v>
      </c>
      <c r="Y112" s="1112">
        <v>0</v>
      </c>
      <c r="Z112" s="1112">
        <v>0</v>
      </c>
      <c r="AA112" s="1079">
        <v>0</v>
      </c>
      <c r="AC112" s="1115" t="s">
        <v>226</v>
      </c>
      <c r="AD112" s="1112">
        <v>0</v>
      </c>
      <c r="AE112" s="1112">
        <v>0</v>
      </c>
      <c r="AF112" s="1112">
        <v>0</v>
      </c>
      <c r="AG112" s="1112">
        <v>0</v>
      </c>
      <c r="AH112" s="1079">
        <v>0</v>
      </c>
    </row>
    <row r="113" spans="1:41">
      <c r="A113" s="1115" t="s">
        <v>228</v>
      </c>
      <c r="B113" s="1112">
        <v>0</v>
      </c>
      <c r="C113" s="1112">
        <v>0</v>
      </c>
      <c r="D113" s="1112">
        <v>0</v>
      </c>
      <c r="E113" s="1112">
        <v>0</v>
      </c>
      <c r="F113" s="1112">
        <v>0.02</v>
      </c>
      <c r="G113" s="1112">
        <v>0</v>
      </c>
      <c r="H113" s="1112">
        <v>0</v>
      </c>
      <c r="I113" s="1112">
        <v>0</v>
      </c>
      <c r="J113" s="1112">
        <v>0</v>
      </c>
      <c r="K113" s="1112">
        <v>0</v>
      </c>
      <c r="L113" s="1112">
        <v>0</v>
      </c>
      <c r="M113" s="1112">
        <v>0.56999999999999995</v>
      </c>
      <c r="N113" s="1112">
        <v>0</v>
      </c>
      <c r="O113" s="1112">
        <v>0</v>
      </c>
      <c r="P113" s="1112">
        <v>0</v>
      </c>
      <c r="Q113" s="1112">
        <v>0</v>
      </c>
      <c r="R113" s="1112">
        <v>0</v>
      </c>
      <c r="S113" s="1112">
        <v>0</v>
      </c>
      <c r="T113" s="1112">
        <v>0</v>
      </c>
      <c r="U113" s="1112"/>
      <c r="V113" s="1112">
        <v>0</v>
      </c>
      <c r="W113" s="1112">
        <v>0.01</v>
      </c>
      <c r="X113" s="1112">
        <v>4.2300000000000004</v>
      </c>
      <c r="Y113" s="1112">
        <v>0</v>
      </c>
      <c r="Z113" s="1112">
        <v>0</v>
      </c>
      <c r="AA113" s="1079">
        <v>0</v>
      </c>
      <c r="AC113" s="1115" t="s">
        <v>228</v>
      </c>
      <c r="AD113" s="1112">
        <v>0</v>
      </c>
      <c r="AE113" s="1112">
        <v>0</v>
      </c>
      <c r="AF113" s="1112">
        <v>0</v>
      </c>
      <c r="AG113" s="1112">
        <v>0</v>
      </c>
      <c r="AH113" s="1079">
        <v>0</v>
      </c>
    </row>
    <row r="114" spans="1:41">
      <c r="A114" s="1115" t="s">
        <v>224</v>
      </c>
      <c r="B114" s="1112">
        <v>0</v>
      </c>
      <c r="C114" s="1112">
        <v>0.48</v>
      </c>
      <c r="D114" s="1112">
        <v>0</v>
      </c>
      <c r="E114" s="1112">
        <v>0</v>
      </c>
      <c r="F114" s="1112">
        <v>0</v>
      </c>
      <c r="G114" s="1112">
        <v>0</v>
      </c>
      <c r="H114" s="1112">
        <v>0</v>
      </c>
      <c r="I114" s="1112">
        <v>0</v>
      </c>
      <c r="J114" s="1112">
        <v>0</v>
      </c>
      <c r="K114" s="1112">
        <v>0</v>
      </c>
      <c r="L114" s="1112">
        <v>0</v>
      </c>
      <c r="M114" s="1112">
        <v>0</v>
      </c>
      <c r="N114" s="1112">
        <v>0</v>
      </c>
      <c r="O114" s="1112">
        <v>0</v>
      </c>
      <c r="P114" s="1112">
        <v>0</v>
      </c>
      <c r="Q114" s="1112">
        <v>0</v>
      </c>
      <c r="R114" s="1112">
        <v>0</v>
      </c>
      <c r="S114" s="1112">
        <v>0</v>
      </c>
      <c r="T114" s="1112">
        <v>0</v>
      </c>
      <c r="U114" s="1112">
        <v>0</v>
      </c>
      <c r="V114" s="1112"/>
      <c r="W114" s="1112">
        <v>0.33</v>
      </c>
      <c r="X114" s="1112">
        <v>0</v>
      </c>
      <c r="Y114" s="1112">
        <v>5.85</v>
      </c>
      <c r="Z114" s="1112">
        <v>0</v>
      </c>
      <c r="AA114" s="1079">
        <v>0</v>
      </c>
      <c r="AC114" s="1115" t="s">
        <v>224</v>
      </c>
      <c r="AD114" s="1112">
        <v>0</v>
      </c>
      <c r="AE114" s="1112">
        <v>0</v>
      </c>
      <c r="AF114" s="1112"/>
      <c r="AG114" s="1112">
        <v>5.85</v>
      </c>
      <c r="AH114" s="1079">
        <v>0</v>
      </c>
    </row>
    <row r="115" spans="1:41">
      <c r="A115" s="1115" t="s">
        <v>219</v>
      </c>
      <c r="B115" s="1112">
        <v>0</v>
      </c>
      <c r="C115" s="1112">
        <v>39.630000000000003</v>
      </c>
      <c r="D115" s="1112">
        <v>6.5</v>
      </c>
      <c r="E115" s="1112">
        <v>9.68</v>
      </c>
      <c r="F115" s="1112">
        <v>1.39</v>
      </c>
      <c r="G115" s="1112">
        <v>0</v>
      </c>
      <c r="H115" s="1112">
        <v>0</v>
      </c>
      <c r="I115" s="1112">
        <v>0.15</v>
      </c>
      <c r="J115" s="1112">
        <v>0</v>
      </c>
      <c r="K115" s="1112">
        <v>10.93</v>
      </c>
      <c r="L115" s="1112">
        <v>4.96</v>
      </c>
      <c r="M115" s="1112">
        <v>1.92</v>
      </c>
      <c r="N115" s="1112">
        <v>0</v>
      </c>
      <c r="O115" s="1112">
        <v>52.68</v>
      </c>
      <c r="P115" s="1112">
        <v>0</v>
      </c>
      <c r="Q115" s="1112">
        <v>10.58</v>
      </c>
      <c r="R115" s="1112">
        <v>0</v>
      </c>
      <c r="S115" s="1112">
        <v>1.29</v>
      </c>
      <c r="T115" s="1112">
        <v>0</v>
      </c>
      <c r="U115" s="1112">
        <v>3.64</v>
      </c>
      <c r="V115" s="1112">
        <v>1.88</v>
      </c>
      <c r="W115" s="1112"/>
      <c r="X115" s="1112">
        <v>0</v>
      </c>
      <c r="Y115" s="1112">
        <v>2</v>
      </c>
      <c r="Z115" s="1112">
        <v>0</v>
      </c>
      <c r="AA115" s="1079">
        <v>0</v>
      </c>
      <c r="AC115" s="1115" t="s">
        <v>219</v>
      </c>
      <c r="AD115" s="1112">
        <v>0</v>
      </c>
      <c r="AE115" s="1112">
        <v>52.68</v>
      </c>
      <c r="AF115" s="1112">
        <v>1.88</v>
      </c>
      <c r="AG115" s="1112">
        <v>2</v>
      </c>
      <c r="AH115" s="1079">
        <v>0</v>
      </c>
    </row>
    <row r="116" spans="1:41">
      <c r="A116" s="1115" t="s">
        <v>229</v>
      </c>
      <c r="B116" s="1112">
        <v>0</v>
      </c>
      <c r="C116" s="1112">
        <v>0.46</v>
      </c>
      <c r="D116" s="1112">
        <v>0</v>
      </c>
      <c r="E116" s="1112">
        <v>0</v>
      </c>
      <c r="F116" s="1112">
        <v>0.01</v>
      </c>
      <c r="G116" s="1112">
        <v>0</v>
      </c>
      <c r="H116" s="1112">
        <v>0</v>
      </c>
      <c r="I116" s="1112">
        <v>0</v>
      </c>
      <c r="J116" s="1112">
        <v>0</v>
      </c>
      <c r="K116" s="1112">
        <v>0</v>
      </c>
      <c r="L116" s="1112">
        <v>0</v>
      </c>
      <c r="M116" s="1112">
        <v>0</v>
      </c>
      <c r="N116" s="1112">
        <v>0</v>
      </c>
      <c r="O116" s="1112">
        <v>0</v>
      </c>
      <c r="P116" s="1112">
        <v>0</v>
      </c>
      <c r="Q116" s="1112">
        <v>0</v>
      </c>
      <c r="R116" s="1112">
        <v>0</v>
      </c>
      <c r="S116" s="1112">
        <v>0</v>
      </c>
      <c r="T116" s="1112">
        <v>0</v>
      </c>
      <c r="U116" s="1112">
        <v>0.26</v>
      </c>
      <c r="V116" s="1112">
        <v>0</v>
      </c>
      <c r="W116" s="1112">
        <v>0</v>
      </c>
      <c r="X116" s="1112"/>
      <c r="Y116" s="1112">
        <v>0</v>
      </c>
      <c r="Z116" s="1112">
        <v>0</v>
      </c>
      <c r="AA116" s="1079">
        <v>0</v>
      </c>
      <c r="AC116" s="1115" t="s">
        <v>229</v>
      </c>
      <c r="AD116" s="1112">
        <v>0</v>
      </c>
      <c r="AE116" s="1112">
        <v>0</v>
      </c>
      <c r="AF116" s="1112">
        <v>0</v>
      </c>
      <c r="AG116" s="1112">
        <v>0</v>
      </c>
      <c r="AH116" s="1079">
        <v>0</v>
      </c>
    </row>
    <row r="117" spans="1:41">
      <c r="A117" s="1115" t="s">
        <v>222</v>
      </c>
      <c r="B117" s="1112">
        <v>0</v>
      </c>
      <c r="C117" s="1112">
        <v>0.37</v>
      </c>
      <c r="D117" s="1112">
        <v>0.01</v>
      </c>
      <c r="E117" s="1112">
        <v>0</v>
      </c>
      <c r="F117" s="1112">
        <v>0</v>
      </c>
      <c r="G117" s="1112">
        <v>0</v>
      </c>
      <c r="H117" s="1112">
        <v>0</v>
      </c>
      <c r="I117" s="1112">
        <v>0.51</v>
      </c>
      <c r="J117" s="1112">
        <v>0</v>
      </c>
      <c r="K117" s="1112">
        <v>0</v>
      </c>
      <c r="L117" s="1112">
        <v>0</v>
      </c>
      <c r="M117" s="1112">
        <v>0</v>
      </c>
      <c r="N117" s="1112">
        <v>0</v>
      </c>
      <c r="O117" s="1112">
        <v>0</v>
      </c>
      <c r="P117" s="1112">
        <v>0</v>
      </c>
      <c r="Q117" s="1112">
        <v>0</v>
      </c>
      <c r="R117" s="1112">
        <v>0</v>
      </c>
      <c r="S117" s="1112">
        <v>0</v>
      </c>
      <c r="T117" s="1112">
        <v>0</v>
      </c>
      <c r="U117" s="1112">
        <v>0</v>
      </c>
      <c r="V117" s="1112">
        <v>0.97</v>
      </c>
      <c r="W117" s="1112">
        <v>0.08</v>
      </c>
      <c r="X117" s="1112">
        <v>0</v>
      </c>
      <c r="Y117" s="1112"/>
      <c r="Z117" s="1112">
        <v>0</v>
      </c>
      <c r="AA117" s="1079">
        <v>0</v>
      </c>
      <c r="AC117" s="1115" t="s">
        <v>222</v>
      </c>
      <c r="AD117" s="1112">
        <v>0</v>
      </c>
      <c r="AE117" s="1112">
        <v>0</v>
      </c>
      <c r="AF117" s="1112">
        <v>0.97</v>
      </c>
      <c r="AG117" s="1112"/>
      <c r="AH117" s="1079">
        <v>0</v>
      </c>
    </row>
    <row r="118" spans="1:41">
      <c r="A118" s="1115" t="s">
        <v>231</v>
      </c>
      <c r="B118" s="1112">
        <v>0</v>
      </c>
      <c r="C118" s="1112">
        <v>0.06</v>
      </c>
      <c r="D118" s="1112">
        <v>0</v>
      </c>
      <c r="E118" s="1112">
        <v>0</v>
      </c>
      <c r="F118" s="1112">
        <v>0</v>
      </c>
      <c r="G118" s="1112">
        <v>0</v>
      </c>
      <c r="H118" s="1112">
        <v>0</v>
      </c>
      <c r="I118" s="1112">
        <v>0</v>
      </c>
      <c r="J118" s="1112">
        <v>0</v>
      </c>
      <c r="K118" s="1112">
        <v>0</v>
      </c>
      <c r="L118" s="1112">
        <v>0</v>
      </c>
      <c r="M118" s="1112">
        <v>0</v>
      </c>
      <c r="N118" s="1112">
        <v>0</v>
      </c>
      <c r="O118" s="1112">
        <v>0</v>
      </c>
      <c r="P118" s="1112">
        <v>0</v>
      </c>
      <c r="Q118" s="1112">
        <v>0</v>
      </c>
      <c r="R118" s="1112">
        <v>0</v>
      </c>
      <c r="S118" s="1112">
        <v>0</v>
      </c>
      <c r="T118" s="1112">
        <v>0</v>
      </c>
      <c r="U118" s="1112">
        <v>0</v>
      </c>
      <c r="V118" s="1112">
        <v>0</v>
      </c>
      <c r="W118" s="1112">
        <v>0</v>
      </c>
      <c r="X118" s="1112">
        <v>0</v>
      </c>
      <c r="Y118" s="1112">
        <v>0</v>
      </c>
      <c r="Z118" s="1112">
        <v>0</v>
      </c>
      <c r="AA118" s="1079"/>
      <c r="AC118" s="1115" t="s">
        <v>231</v>
      </c>
      <c r="AD118" s="1112">
        <v>0</v>
      </c>
      <c r="AE118" s="1112">
        <v>0</v>
      </c>
      <c r="AF118" s="1112">
        <v>0</v>
      </c>
      <c r="AG118" s="1112">
        <v>0</v>
      </c>
      <c r="AH118" s="1079"/>
    </row>
    <row r="119" spans="1:41">
      <c r="A119" s="1115" t="s">
        <v>244</v>
      </c>
      <c r="B119" s="1112">
        <v>0</v>
      </c>
      <c r="C119" s="1112">
        <v>0</v>
      </c>
      <c r="D119" s="1112">
        <v>0.02</v>
      </c>
      <c r="E119" s="1112">
        <v>0</v>
      </c>
      <c r="F119" s="1112">
        <v>0</v>
      </c>
      <c r="G119" s="1112">
        <v>0</v>
      </c>
      <c r="H119" s="1112">
        <v>0</v>
      </c>
      <c r="I119" s="1112">
        <v>0.01</v>
      </c>
      <c r="J119" s="1112">
        <v>0</v>
      </c>
      <c r="K119" s="1112">
        <v>0</v>
      </c>
      <c r="L119" s="1112">
        <v>0</v>
      </c>
      <c r="M119" s="1112">
        <v>0.01</v>
      </c>
      <c r="N119" s="1112">
        <v>0</v>
      </c>
      <c r="O119" s="1112">
        <v>0</v>
      </c>
      <c r="P119" s="1112">
        <v>0</v>
      </c>
      <c r="Q119" s="1112">
        <v>0</v>
      </c>
      <c r="R119" s="1112">
        <v>0</v>
      </c>
      <c r="S119" s="1112">
        <v>0</v>
      </c>
      <c r="T119" s="1112">
        <v>0</v>
      </c>
      <c r="U119" s="1112">
        <v>0</v>
      </c>
      <c r="V119" s="1112">
        <v>0</v>
      </c>
      <c r="W119" s="1112">
        <v>0.01</v>
      </c>
      <c r="X119" s="1112">
        <v>0</v>
      </c>
      <c r="Y119" s="1112">
        <v>0</v>
      </c>
      <c r="Z119" s="1112">
        <v>0</v>
      </c>
      <c r="AA119" s="1112">
        <v>0</v>
      </c>
      <c r="AC119" s="1115" t="s">
        <v>244</v>
      </c>
      <c r="AD119" s="1112">
        <v>0</v>
      </c>
      <c r="AE119" s="1112">
        <v>0</v>
      </c>
      <c r="AF119" s="1112">
        <v>0</v>
      </c>
      <c r="AG119" s="1112">
        <v>0</v>
      </c>
      <c r="AH119" s="1112">
        <v>0</v>
      </c>
    </row>
    <row r="120" spans="1:41">
      <c r="A120" s="1113" t="s">
        <v>253</v>
      </c>
      <c r="B120" s="1114">
        <v>74.069999999999993</v>
      </c>
      <c r="C120" s="1114">
        <v>30.5</v>
      </c>
      <c r="D120" s="1114">
        <v>60.86</v>
      </c>
      <c r="E120" s="1114">
        <v>6.45</v>
      </c>
      <c r="F120" s="1114">
        <v>74.11</v>
      </c>
      <c r="G120" s="1114">
        <v>83.79</v>
      </c>
      <c r="H120" s="1114">
        <v>100</v>
      </c>
      <c r="I120" s="1114">
        <v>60.39</v>
      </c>
      <c r="J120" s="1114">
        <v>0</v>
      </c>
      <c r="K120" s="1114">
        <v>82.65</v>
      </c>
      <c r="L120" s="1114">
        <v>83.73</v>
      </c>
      <c r="M120" s="1114">
        <v>78.69</v>
      </c>
      <c r="N120" s="1114">
        <v>98.69</v>
      </c>
      <c r="O120" s="1114">
        <v>47.32</v>
      </c>
      <c r="P120" s="1114">
        <v>100</v>
      </c>
      <c r="Q120" s="1114">
        <v>57.28</v>
      </c>
      <c r="R120" s="1114">
        <v>100</v>
      </c>
      <c r="S120" s="1114">
        <v>47.51</v>
      </c>
      <c r="T120" s="1114">
        <v>0</v>
      </c>
      <c r="U120" s="1114">
        <v>84.16</v>
      </c>
      <c r="V120" s="1114">
        <v>72.150000000000006</v>
      </c>
      <c r="W120" s="1114">
        <v>22.8</v>
      </c>
      <c r="X120" s="1114">
        <v>43.52</v>
      </c>
      <c r="Y120" s="1114">
        <v>40.68</v>
      </c>
      <c r="Z120" s="1114">
        <v>100</v>
      </c>
      <c r="AA120" s="1114">
        <v>75.95</v>
      </c>
      <c r="AC120" s="1113" t="s">
        <v>253</v>
      </c>
      <c r="AD120" s="1114">
        <v>98.69</v>
      </c>
      <c r="AE120" s="1114">
        <v>47.32</v>
      </c>
      <c r="AF120" s="1114">
        <v>72.150000000000006</v>
      </c>
      <c r="AG120" s="1114">
        <v>40.68</v>
      </c>
      <c r="AH120" s="1114">
        <v>75.95</v>
      </c>
    </row>
    <row r="121" spans="1:41">
      <c r="A121" s="1113" t="s">
        <v>30</v>
      </c>
      <c r="B121" s="1114">
        <v>100</v>
      </c>
      <c r="C121" s="1114">
        <v>100</v>
      </c>
      <c r="D121" s="1114">
        <v>100</v>
      </c>
      <c r="E121" s="1114">
        <v>100</v>
      </c>
      <c r="F121" s="1114">
        <v>100</v>
      </c>
      <c r="G121" s="1114">
        <v>100</v>
      </c>
      <c r="H121" s="1114">
        <v>100</v>
      </c>
      <c r="I121" s="1114">
        <v>100</v>
      </c>
      <c r="J121" s="1114">
        <v>0</v>
      </c>
      <c r="K121" s="1114">
        <v>100</v>
      </c>
      <c r="L121" s="1114">
        <v>100</v>
      </c>
      <c r="M121" s="1114">
        <v>100</v>
      </c>
      <c r="N121" s="1114">
        <v>100</v>
      </c>
      <c r="O121" s="1114">
        <v>100</v>
      </c>
      <c r="P121" s="1114">
        <v>100</v>
      </c>
      <c r="Q121" s="1114">
        <v>100</v>
      </c>
      <c r="R121" s="1114">
        <v>100</v>
      </c>
      <c r="S121" s="1114">
        <v>100</v>
      </c>
      <c r="T121" s="1114">
        <v>0</v>
      </c>
      <c r="U121" s="1114">
        <v>100</v>
      </c>
      <c r="V121" s="1114">
        <v>100</v>
      </c>
      <c r="W121" s="1114">
        <v>100</v>
      </c>
      <c r="X121" s="1114">
        <v>100</v>
      </c>
      <c r="Y121" s="1114">
        <v>100</v>
      </c>
      <c r="Z121" s="1114">
        <v>100</v>
      </c>
      <c r="AA121" s="1114">
        <v>100</v>
      </c>
      <c r="AC121" s="1113" t="s">
        <v>30</v>
      </c>
      <c r="AD121" s="1114">
        <v>100</v>
      </c>
      <c r="AE121" s="1114">
        <v>100</v>
      </c>
      <c r="AF121" s="1114">
        <v>100</v>
      </c>
      <c r="AG121" s="1114">
        <v>100</v>
      </c>
      <c r="AH121" s="1114">
        <v>100</v>
      </c>
    </row>
    <row r="122" spans="1:41">
      <c r="A122" s="1099" t="s">
        <v>248</v>
      </c>
      <c r="B122" s="1097" t="s">
        <v>233</v>
      </c>
      <c r="C122" s="1097" t="s">
        <v>220</v>
      </c>
      <c r="D122" s="1097" t="s">
        <v>223</v>
      </c>
      <c r="E122" s="1097" t="s">
        <v>249</v>
      </c>
      <c r="F122" s="1097" t="s">
        <v>221</v>
      </c>
      <c r="G122" s="1097" t="s">
        <v>234</v>
      </c>
      <c r="H122" s="1097" t="s">
        <v>242</v>
      </c>
      <c r="I122" s="1097" t="s">
        <v>225</v>
      </c>
      <c r="J122" s="1097" t="s">
        <v>12</v>
      </c>
      <c r="K122" s="1097" t="s">
        <v>236</v>
      </c>
      <c r="L122" s="1097" t="s">
        <v>227</v>
      </c>
      <c r="M122" s="1097" t="s">
        <v>2</v>
      </c>
      <c r="N122" s="1097" t="s">
        <v>232</v>
      </c>
      <c r="O122" s="1097" t="s">
        <v>230</v>
      </c>
      <c r="P122" s="1097" t="s">
        <v>238</v>
      </c>
      <c r="Q122" s="1097" t="s">
        <v>226</v>
      </c>
      <c r="R122" s="1097" t="s">
        <v>3</v>
      </c>
      <c r="S122" s="1097" t="s">
        <v>235</v>
      </c>
      <c r="T122" s="1097" t="s">
        <v>250</v>
      </c>
      <c r="U122" s="1097" t="s">
        <v>228</v>
      </c>
      <c r="V122" s="1097" t="s">
        <v>224</v>
      </c>
      <c r="W122" s="1097" t="s">
        <v>219</v>
      </c>
      <c r="X122" s="1097" t="s">
        <v>229</v>
      </c>
      <c r="Y122" s="1097" t="s">
        <v>222</v>
      </c>
      <c r="Z122" s="1097" t="s">
        <v>1018</v>
      </c>
      <c r="AA122" s="1097" t="s">
        <v>231</v>
      </c>
      <c r="AC122" s="1099" t="s">
        <v>248</v>
      </c>
      <c r="AD122" s="1097" t="s">
        <v>232</v>
      </c>
      <c r="AE122" s="1097" t="s">
        <v>230</v>
      </c>
      <c r="AF122" s="1097" t="s">
        <v>224</v>
      </c>
      <c r="AG122" s="1097" t="s">
        <v>222</v>
      </c>
      <c r="AH122" s="1097" t="s">
        <v>231</v>
      </c>
      <c r="AJ122" s="1099" t="s">
        <v>248</v>
      </c>
      <c r="AK122" s="1097" t="s">
        <v>232</v>
      </c>
      <c r="AL122" s="1097" t="s">
        <v>230</v>
      </c>
      <c r="AM122" s="1097" t="s">
        <v>224</v>
      </c>
      <c r="AN122" s="1097" t="s">
        <v>222</v>
      </c>
      <c r="AO122" s="1097" t="s">
        <v>231</v>
      </c>
    </row>
    <row r="123" spans="1:41">
      <c r="A123" s="1100" t="s">
        <v>1129</v>
      </c>
      <c r="B123" s="1112"/>
      <c r="C123" s="1112"/>
      <c r="D123" s="1112"/>
      <c r="E123" s="1112"/>
      <c r="F123" s="1112"/>
      <c r="G123" s="1112"/>
      <c r="H123" s="1112"/>
      <c r="I123" s="1112"/>
      <c r="J123" s="1112"/>
      <c r="K123" s="1112"/>
      <c r="L123" s="1112"/>
      <c r="M123" s="1112"/>
      <c r="N123" s="1112"/>
      <c r="O123" s="1112"/>
      <c r="P123" s="1112"/>
      <c r="Q123" s="1112"/>
      <c r="R123" s="1112"/>
      <c r="S123" s="1112"/>
      <c r="T123" s="1112"/>
      <c r="U123" s="1112"/>
      <c r="V123" s="1112"/>
      <c r="W123" s="1112"/>
      <c r="X123" s="1112"/>
      <c r="Y123" s="1112"/>
      <c r="Z123" s="1112"/>
      <c r="AA123" s="1079"/>
      <c r="AC123" s="1100" t="s">
        <v>1129</v>
      </c>
      <c r="AD123" s="1112"/>
      <c r="AE123" s="1112"/>
      <c r="AF123" s="1112"/>
      <c r="AG123" s="1112"/>
      <c r="AH123" s="1079"/>
      <c r="AJ123" s="1113" t="s">
        <v>251</v>
      </c>
      <c r="AK123" s="1114">
        <v>52.1</v>
      </c>
      <c r="AL123" s="1114">
        <v>56.21</v>
      </c>
      <c r="AM123" s="1114">
        <v>54.45</v>
      </c>
      <c r="AN123" s="1114">
        <v>63.2</v>
      </c>
      <c r="AO123" s="1114">
        <v>67.540000000000006</v>
      </c>
    </row>
    <row r="124" spans="1:41">
      <c r="A124" s="1113" t="s">
        <v>251</v>
      </c>
      <c r="B124" s="1114">
        <v>87.1</v>
      </c>
      <c r="C124" s="1114">
        <v>84.38</v>
      </c>
      <c r="D124" s="1114">
        <v>76.05</v>
      </c>
      <c r="E124" s="1114">
        <v>100</v>
      </c>
      <c r="F124" s="1114">
        <v>71.64</v>
      </c>
      <c r="G124" s="1114">
        <v>76.900000000000006</v>
      </c>
      <c r="H124" s="1114">
        <v>0</v>
      </c>
      <c r="I124" s="1114">
        <v>98.41</v>
      </c>
      <c r="J124" s="1114">
        <v>0</v>
      </c>
      <c r="K124" s="1114">
        <v>65.09</v>
      </c>
      <c r="L124" s="1114">
        <v>50.5</v>
      </c>
      <c r="M124" s="1114">
        <v>63.37</v>
      </c>
      <c r="N124" s="1114">
        <v>52.1</v>
      </c>
      <c r="O124" s="1114">
        <v>56.21</v>
      </c>
      <c r="P124" s="1114">
        <v>59.57</v>
      </c>
      <c r="Q124" s="1114">
        <v>91.33</v>
      </c>
      <c r="R124" s="1114">
        <v>100</v>
      </c>
      <c r="S124" s="1114">
        <v>72</v>
      </c>
      <c r="T124" s="1114">
        <v>100</v>
      </c>
      <c r="U124" s="1114">
        <v>53.85</v>
      </c>
      <c r="V124" s="1114">
        <v>54.45</v>
      </c>
      <c r="W124" s="1114">
        <v>69.459999999999994</v>
      </c>
      <c r="X124" s="1114">
        <v>54.27</v>
      </c>
      <c r="Y124" s="1114">
        <v>63.2</v>
      </c>
      <c r="Z124" s="1114">
        <v>0</v>
      </c>
      <c r="AA124" s="1114">
        <v>67.540000000000006</v>
      </c>
      <c r="AC124" s="1113" t="s">
        <v>251</v>
      </c>
      <c r="AD124" s="1114">
        <v>52.1</v>
      </c>
      <c r="AE124" s="1114">
        <v>56.21</v>
      </c>
      <c r="AF124" s="1114">
        <v>54.45</v>
      </c>
      <c r="AG124" s="1114">
        <v>63.2</v>
      </c>
      <c r="AH124" s="1114">
        <v>67.540000000000006</v>
      </c>
      <c r="AJ124" s="1113" t="s">
        <v>1116</v>
      </c>
      <c r="AK124" s="1114">
        <v>37.71</v>
      </c>
      <c r="AL124" s="1114">
        <v>26.77</v>
      </c>
      <c r="AM124" s="1114">
        <v>28.29</v>
      </c>
      <c r="AN124" s="1114">
        <v>25.6</v>
      </c>
      <c r="AO124" s="1114">
        <v>27.62</v>
      </c>
    </row>
    <row r="125" spans="1:41">
      <c r="A125" s="1113" t="s">
        <v>1116</v>
      </c>
      <c r="B125" s="1114">
        <v>5.38</v>
      </c>
      <c r="C125" s="1114">
        <v>9.39</v>
      </c>
      <c r="D125" s="1114">
        <v>17.97</v>
      </c>
      <c r="E125" s="1114">
        <v>0</v>
      </c>
      <c r="F125" s="1114">
        <v>17.41</v>
      </c>
      <c r="G125" s="1114">
        <v>23.1</v>
      </c>
      <c r="H125" s="1114">
        <v>0</v>
      </c>
      <c r="I125" s="1114">
        <v>1.59</v>
      </c>
      <c r="J125" s="1114">
        <v>0</v>
      </c>
      <c r="K125" s="1114">
        <v>16.899999999999999</v>
      </c>
      <c r="L125" s="1114">
        <v>10.89</v>
      </c>
      <c r="M125" s="1114">
        <v>13.5</v>
      </c>
      <c r="N125" s="1114">
        <v>37.71</v>
      </c>
      <c r="O125" s="1114">
        <v>26.77</v>
      </c>
      <c r="P125" s="1114">
        <v>19.43</v>
      </c>
      <c r="Q125" s="1114">
        <v>3.32</v>
      </c>
      <c r="R125" s="1114">
        <v>0</v>
      </c>
      <c r="S125" s="1114">
        <v>0</v>
      </c>
      <c r="T125" s="1114">
        <v>0</v>
      </c>
      <c r="U125" s="1114">
        <v>5.13</v>
      </c>
      <c r="V125" s="1114">
        <v>28.29</v>
      </c>
      <c r="W125" s="1114">
        <v>21.28</v>
      </c>
      <c r="X125" s="1114">
        <v>20.6</v>
      </c>
      <c r="Y125" s="1114">
        <v>25.6</v>
      </c>
      <c r="Z125" s="1114">
        <v>0</v>
      </c>
      <c r="AA125" s="1114">
        <v>27.62</v>
      </c>
      <c r="AC125" s="1113" t="s">
        <v>1116</v>
      </c>
      <c r="AD125" s="1114">
        <v>37.71</v>
      </c>
      <c r="AE125" s="1114">
        <v>26.77</v>
      </c>
      <c r="AF125" s="1114">
        <v>28.29</v>
      </c>
      <c r="AG125" s="1114">
        <v>25.6</v>
      </c>
      <c r="AH125" s="1114">
        <v>27.62</v>
      </c>
      <c r="AJ125" s="1113" t="s">
        <v>253</v>
      </c>
      <c r="AK125" s="1114">
        <v>10.18</v>
      </c>
      <c r="AL125" s="1114">
        <v>17.02</v>
      </c>
      <c r="AM125" s="1114">
        <v>17.27</v>
      </c>
      <c r="AN125" s="1114">
        <v>11.19</v>
      </c>
      <c r="AO125" s="1114">
        <v>4.84</v>
      </c>
    </row>
    <row r="126" spans="1:41">
      <c r="A126" s="1115" t="s">
        <v>220</v>
      </c>
      <c r="B126" s="1112">
        <v>5.38</v>
      </c>
      <c r="C126" s="1112"/>
      <c r="D126" s="1112">
        <v>10.49</v>
      </c>
      <c r="E126" s="1112">
        <v>0</v>
      </c>
      <c r="F126" s="1112">
        <v>11.18</v>
      </c>
      <c r="G126" s="1112">
        <v>0</v>
      </c>
      <c r="H126" s="1112">
        <v>0</v>
      </c>
      <c r="I126" s="1112">
        <v>1.59</v>
      </c>
      <c r="J126" s="1112">
        <v>0</v>
      </c>
      <c r="K126" s="1112">
        <v>0</v>
      </c>
      <c r="L126" s="1112">
        <v>0.99</v>
      </c>
      <c r="M126" s="1112">
        <v>2.89</v>
      </c>
      <c r="N126" s="1112">
        <v>18.829999999999998</v>
      </c>
      <c r="O126" s="1112">
        <v>9.4600000000000009</v>
      </c>
      <c r="P126" s="1112">
        <v>1.92</v>
      </c>
      <c r="Q126" s="1112">
        <v>0</v>
      </c>
      <c r="R126" s="1112">
        <v>0</v>
      </c>
      <c r="S126" s="1112">
        <v>0</v>
      </c>
      <c r="T126" s="1112">
        <v>0</v>
      </c>
      <c r="U126" s="1112">
        <v>0</v>
      </c>
      <c r="V126" s="1112">
        <v>18.079999999999998</v>
      </c>
      <c r="W126" s="1112">
        <v>19.25</v>
      </c>
      <c r="X126" s="1112">
        <v>3.52</v>
      </c>
      <c r="Y126" s="1112">
        <v>13.72</v>
      </c>
      <c r="Z126" s="1112">
        <v>0</v>
      </c>
      <c r="AA126" s="1079">
        <v>6.45</v>
      </c>
      <c r="AC126" s="1115" t="s">
        <v>220</v>
      </c>
      <c r="AD126" s="1112">
        <v>18.829999999999998</v>
      </c>
      <c r="AE126" s="1112">
        <v>9.4600000000000009</v>
      </c>
      <c r="AF126" s="1112">
        <v>18.079999999999998</v>
      </c>
      <c r="AG126" s="1112">
        <v>13.72</v>
      </c>
      <c r="AH126" s="1079">
        <v>6.45</v>
      </c>
    </row>
    <row r="127" spans="1:41">
      <c r="A127" s="1115" t="s">
        <v>223</v>
      </c>
      <c r="B127" s="1112">
        <v>0</v>
      </c>
      <c r="C127" s="1112">
        <v>0.54</v>
      </c>
      <c r="D127" s="1112"/>
      <c r="E127" s="1112">
        <v>0</v>
      </c>
      <c r="F127" s="1112">
        <v>0.94</v>
      </c>
      <c r="G127" s="1112">
        <v>23.1</v>
      </c>
      <c r="H127" s="1112">
        <v>0</v>
      </c>
      <c r="I127" s="1112">
        <v>0</v>
      </c>
      <c r="J127" s="1112">
        <v>0</v>
      </c>
      <c r="K127" s="1112">
        <v>0</v>
      </c>
      <c r="L127" s="1112">
        <v>0</v>
      </c>
      <c r="M127" s="1112">
        <v>0</v>
      </c>
      <c r="N127" s="1112">
        <v>0</v>
      </c>
      <c r="O127" s="1112">
        <v>0</v>
      </c>
      <c r="P127" s="1112">
        <v>0</v>
      </c>
      <c r="Q127" s="1112">
        <v>0</v>
      </c>
      <c r="R127" s="1112">
        <v>0</v>
      </c>
      <c r="S127" s="1112">
        <v>0</v>
      </c>
      <c r="T127" s="1112">
        <v>0</v>
      </c>
      <c r="U127" s="1112">
        <v>0</v>
      </c>
      <c r="V127" s="1112">
        <v>0.6</v>
      </c>
      <c r="W127" s="1112">
        <v>0.24</v>
      </c>
      <c r="X127" s="1112">
        <v>0</v>
      </c>
      <c r="Y127" s="1112">
        <v>0</v>
      </c>
      <c r="Z127" s="1112">
        <v>0</v>
      </c>
      <c r="AA127" s="1079">
        <v>0</v>
      </c>
      <c r="AC127" s="1115" t="s">
        <v>223</v>
      </c>
      <c r="AD127" s="1112">
        <v>0</v>
      </c>
      <c r="AE127" s="1112">
        <v>0</v>
      </c>
      <c r="AF127" s="1112">
        <v>0.6</v>
      </c>
      <c r="AG127" s="1112">
        <v>0</v>
      </c>
      <c r="AH127" s="1079">
        <v>0</v>
      </c>
      <c r="AJ127" s="1103" t="s">
        <v>220</v>
      </c>
      <c r="AK127" s="1079">
        <v>4.2300000000000004</v>
      </c>
      <c r="AL127" s="1079">
        <v>7.46</v>
      </c>
      <c r="AM127" s="1079">
        <v>8.98</v>
      </c>
      <c r="AN127" s="1079">
        <v>8.09</v>
      </c>
      <c r="AO127" s="1079">
        <v>2.74</v>
      </c>
    </row>
    <row r="128" spans="1:41">
      <c r="A128" s="1115" t="s">
        <v>221</v>
      </c>
      <c r="B128" s="1112">
        <v>0</v>
      </c>
      <c r="C128" s="1112">
        <v>0.28999999999999998</v>
      </c>
      <c r="D128" s="1112">
        <v>3.12</v>
      </c>
      <c r="E128" s="1112">
        <v>0</v>
      </c>
      <c r="F128" s="1112"/>
      <c r="G128" s="1112">
        <v>0</v>
      </c>
      <c r="H128" s="1112">
        <v>0</v>
      </c>
      <c r="I128" s="1112">
        <v>0</v>
      </c>
      <c r="J128" s="1112">
        <v>0</v>
      </c>
      <c r="K128" s="1112">
        <v>0</v>
      </c>
      <c r="L128" s="1112">
        <v>0</v>
      </c>
      <c r="M128" s="1112">
        <v>0.45</v>
      </c>
      <c r="N128" s="1112">
        <v>0</v>
      </c>
      <c r="O128" s="1112">
        <v>0.78</v>
      </c>
      <c r="P128" s="1112">
        <v>0</v>
      </c>
      <c r="Q128" s="1112">
        <v>0</v>
      </c>
      <c r="R128" s="1112">
        <v>0</v>
      </c>
      <c r="S128" s="1112">
        <v>0</v>
      </c>
      <c r="T128" s="1112">
        <v>0</v>
      </c>
      <c r="U128" s="1112">
        <v>0</v>
      </c>
      <c r="V128" s="1112">
        <v>0.35</v>
      </c>
      <c r="W128" s="1112">
        <v>0.61</v>
      </c>
      <c r="X128" s="1112">
        <v>4.0199999999999996</v>
      </c>
      <c r="Y128" s="1112">
        <v>0.06</v>
      </c>
      <c r="Z128" s="1112">
        <v>0</v>
      </c>
      <c r="AA128" s="1079">
        <v>0</v>
      </c>
      <c r="AC128" s="1115" t="s">
        <v>221</v>
      </c>
      <c r="AD128" s="1112">
        <v>0</v>
      </c>
      <c r="AE128" s="1112">
        <v>0.78</v>
      </c>
      <c r="AF128" s="1112">
        <v>0.35</v>
      </c>
      <c r="AG128" s="1112">
        <v>0.06</v>
      </c>
      <c r="AH128" s="1079">
        <v>0</v>
      </c>
      <c r="AJ128" s="1103" t="s">
        <v>232</v>
      </c>
      <c r="AK128" s="1079"/>
      <c r="AL128" s="1079">
        <v>0.88</v>
      </c>
      <c r="AM128" s="1079">
        <v>0.8</v>
      </c>
      <c r="AN128" s="1079">
        <v>1.97</v>
      </c>
      <c r="AO128" s="1079">
        <v>2.4700000000000002</v>
      </c>
    </row>
    <row r="129" spans="1:41">
      <c r="A129" s="1115" t="s">
        <v>234</v>
      </c>
      <c r="B129" s="1112">
        <v>0</v>
      </c>
      <c r="C129" s="1112">
        <v>0</v>
      </c>
      <c r="D129" s="1112">
        <v>2.7</v>
      </c>
      <c r="E129" s="1112">
        <v>0</v>
      </c>
      <c r="F129" s="1112">
        <v>0</v>
      </c>
      <c r="G129" s="1112"/>
      <c r="H129" s="1112">
        <v>0</v>
      </c>
      <c r="I129" s="1112">
        <v>0</v>
      </c>
      <c r="J129" s="1112">
        <v>0</v>
      </c>
      <c r="K129" s="1112">
        <v>0</v>
      </c>
      <c r="L129" s="1112">
        <v>0</v>
      </c>
      <c r="M129" s="1112">
        <v>0</v>
      </c>
      <c r="N129" s="1112">
        <v>0</v>
      </c>
      <c r="O129" s="1112">
        <v>0</v>
      </c>
      <c r="P129" s="1112">
        <v>0</v>
      </c>
      <c r="Q129" s="1112">
        <v>0</v>
      </c>
      <c r="R129" s="1112">
        <v>0</v>
      </c>
      <c r="S129" s="1112">
        <v>0</v>
      </c>
      <c r="T129" s="1112">
        <v>0</v>
      </c>
      <c r="U129" s="1112">
        <v>0</v>
      </c>
      <c r="V129" s="1112">
        <v>0</v>
      </c>
      <c r="W129" s="1112">
        <v>0</v>
      </c>
      <c r="X129" s="1112">
        <v>0</v>
      </c>
      <c r="Y129" s="1112">
        <v>0</v>
      </c>
      <c r="Z129" s="1112">
        <v>0</v>
      </c>
      <c r="AA129" s="1079">
        <v>0</v>
      </c>
      <c r="AC129" s="1115" t="s">
        <v>234</v>
      </c>
      <c r="AD129" s="1112">
        <v>0</v>
      </c>
      <c r="AE129" s="1112">
        <v>0</v>
      </c>
      <c r="AF129" s="1112">
        <v>0</v>
      </c>
      <c r="AG129" s="1112">
        <v>0</v>
      </c>
      <c r="AH129" s="1079">
        <v>0</v>
      </c>
      <c r="AJ129" s="1103" t="s">
        <v>230</v>
      </c>
      <c r="AK129" s="1079">
        <v>0.9</v>
      </c>
      <c r="AL129" s="1079"/>
      <c r="AM129" s="1079">
        <v>0.14000000000000001</v>
      </c>
      <c r="AN129" s="1079">
        <v>0.31</v>
      </c>
      <c r="AO129" s="1079">
        <v>6.12</v>
      </c>
    </row>
    <row r="130" spans="1:41">
      <c r="A130" s="1115" t="s">
        <v>236</v>
      </c>
      <c r="B130" s="1112">
        <v>0</v>
      </c>
      <c r="C130" s="1112">
        <v>0</v>
      </c>
      <c r="D130" s="1112">
        <v>0</v>
      </c>
      <c r="E130" s="1112">
        <v>0</v>
      </c>
      <c r="F130" s="1112">
        <v>0</v>
      </c>
      <c r="G130" s="1112">
        <v>0</v>
      </c>
      <c r="H130" s="1112">
        <v>0</v>
      </c>
      <c r="I130" s="1112">
        <v>0</v>
      </c>
      <c r="J130" s="1112">
        <v>0</v>
      </c>
      <c r="K130" s="1112"/>
      <c r="L130" s="1112">
        <v>0</v>
      </c>
      <c r="M130" s="1112">
        <v>0</v>
      </c>
      <c r="N130" s="1112">
        <v>0</v>
      </c>
      <c r="O130" s="1112">
        <v>0</v>
      </c>
      <c r="P130" s="1112">
        <v>0</v>
      </c>
      <c r="Q130" s="1112">
        <v>0</v>
      </c>
      <c r="R130" s="1112">
        <v>0</v>
      </c>
      <c r="S130" s="1112">
        <v>0</v>
      </c>
      <c r="T130" s="1112">
        <v>0</v>
      </c>
      <c r="U130" s="1112">
        <v>0</v>
      </c>
      <c r="V130" s="1112">
        <v>0</v>
      </c>
      <c r="W130" s="1112">
        <v>0.02</v>
      </c>
      <c r="X130" s="1112">
        <v>0</v>
      </c>
      <c r="Y130" s="1112">
        <v>0</v>
      </c>
      <c r="Z130" s="1112">
        <v>0</v>
      </c>
      <c r="AA130" s="1079">
        <v>0</v>
      </c>
      <c r="AC130" s="1115" t="s">
        <v>236</v>
      </c>
      <c r="AD130" s="1112">
        <v>0</v>
      </c>
      <c r="AE130" s="1112">
        <v>0</v>
      </c>
      <c r="AF130" s="1112">
        <v>0</v>
      </c>
      <c r="AG130" s="1112">
        <v>0</v>
      </c>
      <c r="AH130" s="1079">
        <v>0</v>
      </c>
      <c r="AJ130" s="1103" t="s">
        <v>224</v>
      </c>
      <c r="AK130" s="1079">
        <v>14.3</v>
      </c>
      <c r="AL130" s="1079">
        <v>1.45</v>
      </c>
      <c r="AM130" s="1079"/>
      <c r="AN130" s="1079">
        <v>9.0299999999999994</v>
      </c>
      <c r="AO130" s="1079">
        <v>1.88</v>
      </c>
    </row>
    <row r="131" spans="1:41">
      <c r="A131" s="1115" t="s">
        <v>227</v>
      </c>
      <c r="B131" s="1112">
        <v>0</v>
      </c>
      <c r="C131" s="1112">
        <v>0.02</v>
      </c>
      <c r="D131" s="1112">
        <v>0</v>
      </c>
      <c r="E131" s="1112">
        <v>0</v>
      </c>
      <c r="F131" s="1112">
        <v>0</v>
      </c>
      <c r="G131" s="1112">
        <v>0</v>
      </c>
      <c r="H131" s="1112">
        <v>0</v>
      </c>
      <c r="I131" s="1112">
        <v>0</v>
      </c>
      <c r="J131" s="1112">
        <v>0</v>
      </c>
      <c r="K131" s="1112">
        <v>0</v>
      </c>
      <c r="L131" s="1112"/>
      <c r="M131" s="1112">
        <v>0.38</v>
      </c>
      <c r="N131" s="1112">
        <v>0</v>
      </c>
      <c r="O131" s="1112">
        <v>0</v>
      </c>
      <c r="P131" s="1112">
        <v>0</v>
      </c>
      <c r="Q131" s="1112">
        <v>0</v>
      </c>
      <c r="R131" s="1112">
        <v>0</v>
      </c>
      <c r="S131" s="1112">
        <v>0</v>
      </c>
      <c r="T131" s="1112">
        <v>0</v>
      </c>
      <c r="U131" s="1112">
        <v>0</v>
      </c>
      <c r="V131" s="1112">
        <v>0</v>
      </c>
      <c r="W131" s="1112">
        <v>0.27</v>
      </c>
      <c r="X131" s="1112">
        <v>0</v>
      </c>
      <c r="Y131" s="1112">
        <v>0</v>
      </c>
      <c r="Z131" s="1112">
        <v>0</v>
      </c>
      <c r="AA131" s="1079">
        <v>0</v>
      </c>
      <c r="AC131" s="1115" t="s">
        <v>227</v>
      </c>
      <c r="AD131" s="1112">
        <v>0</v>
      </c>
      <c r="AE131" s="1112">
        <v>0</v>
      </c>
      <c r="AF131" s="1112">
        <v>0</v>
      </c>
      <c r="AG131" s="1112">
        <v>0</v>
      </c>
      <c r="AH131" s="1079">
        <v>0</v>
      </c>
      <c r="AJ131" s="1103" t="s">
        <v>219</v>
      </c>
      <c r="AK131" s="1079">
        <v>1.1100000000000001</v>
      </c>
      <c r="AL131" s="1079">
        <v>1.33</v>
      </c>
      <c r="AM131" s="1079">
        <v>1.54</v>
      </c>
      <c r="AN131" s="1079">
        <v>1.1100000000000001</v>
      </c>
      <c r="AO131" s="1079">
        <v>1.77</v>
      </c>
    </row>
    <row r="132" spans="1:41">
      <c r="A132" s="1115" t="s">
        <v>2</v>
      </c>
      <c r="B132" s="1112">
        <v>0</v>
      </c>
      <c r="C132" s="1112">
        <v>0.08</v>
      </c>
      <c r="D132" s="1112">
        <v>0</v>
      </c>
      <c r="E132" s="1112">
        <v>0</v>
      </c>
      <c r="F132" s="1112">
        <v>0.68</v>
      </c>
      <c r="G132" s="1112">
        <v>0</v>
      </c>
      <c r="H132" s="1112">
        <v>0</v>
      </c>
      <c r="I132" s="1112">
        <v>0</v>
      </c>
      <c r="J132" s="1112">
        <v>0</v>
      </c>
      <c r="K132" s="1112">
        <v>0</v>
      </c>
      <c r="L132" s="1112">
        <v>0.99</v>
      </c>
      <c r="M132" s="1112"/>
      <c r="N132" s="1112">
        <v>0</v>
      </c>
      <c r="O132" s="1112">
        <v>0</v>
      </c>
      <c r="P132" s="1112">
        <v>0</v>
      </c>
      <c r="Q132" s="1112">
        <v>0</v>
      </c>
      <c r="R132" s="1112">
        <v>0</v>
      </c>
      <c r="S132" s="1112">
        <v>0</v>
      </c>
      <c r="T132" s="1112">
        <v>0</v>
      </c>
      <c r="U132" s="1112">
        <v>5.13</v>
      </c>
      <c r="V132" s="1112">
        <v>1.1000000000000001</v>
      </c>
      <c r="W132" s="1112">
        <v>0.38</v>
      </c>
      <c r="X132" s="1112">
        <v>0</v>
      </c>
      <c r="Y132" s="1112">
        <v>0.28999999999999998</v>
      </c>
      <c r="Z132" s="1112">
        <v>0</v>
      </c>
      <c r="AA132" s="1079">
        <v>0</v>
      </c>
      <c r="AC132" s="1115" t="s">
        <v>2</v>
      </c>
      <c r="AD132" s="1112">
        <v>0</v>
      </c>
      <c r="AE132" s="1112">
        <v>0</v>
      </c>
      <c r="AF132" s="1112">
        <v>1.1000000000000001</v>
      </c>
      <c r="AG132" s="1112">
        <v>0.28999999999999998</v>
      </c>
      <c r="AH132" s="1079">
        <v>0</v>
      </c>
      <c r="AJ132" s="1103" t="s">
        <v>231</v>
      </c>
      <c r="AK132" s="1079">
        <v>7.93</v>
      </c>
      <c r="AL132" s="1079">
        <v>11.44</v>
      </c>
      <c r="AM132" s="1079">
        <v>0.32</v>
      </c>
      <c r="AN132" s="1079">
        <v>1.02</v>
      </c>
      <c r="AO132" s="1079"/>
    </row>
    <row r="133" spans="1:41">
      <c r="A133" s="1115" t="s">
        <v>232</v>
      </c>
      <c r="B133" s="1112">
        <v>0</v>
      </c>
      <c r="C133" s="1112">
        <v>0.05</v>
      </c>
      <c r="D133" s="1112">
        <v>0</v>
      </c>
      <c r="E133" s="1112">
        <v>0</v>
      </c>
      <c r="F133" s="1112">
        <v>0</v>
      </c>
      <c r="G133" s="1112">
        <v>0</v>
      </c>
      <c r="H133" s="1112">
        <v>0</v>
      </c>
      <c r="I133" s="1112">
        <v>0</v>
      </c>
      <c r="J133" s="1112">
        <v>0</v>
      </c>
      <c r="K133" s="1112">
        <v>0</v>
      </c>
      <c r="L133" s="1112">
        <v>0</v>
      </c>
      <c r="M133" s="1112">
        <v>0</v>
      </c>
      <c r="N133" s="1112"/>
      <c r="O133" s="1112">
        <v>0</v>
      </c>
      <c r="P133" s="1112">
        <v>4.82</v>
      </c>
      <c r="Q133" s="1112">
        <v>0</v>
      </c>
      <c r="R133" s="1112">
        <v>0</v>
      </c>
      <c r="S133" s="1112">
        <v>0</v>
      </c>
      <c r="T133" s="1112">
        <v>0</v>
      </c>
      <c r="U133" s="1112">
        <v>0</v>
      </c>
      <c r="V133" s="1112">
        <v>0.71</v>
      </c>
      <c r="W133" s="1112">
        <v>0</v>
      </c>
      <c r="X133" s="1112">
        <v>0</v>
      </c>
      <c r="Y133" s="1112">
        <v>0</v>
      </c>
      <c r="Z133" s="1112">
        <v>0</v>
      </c>
      <c r="AA133" s="1079">
        <v>1.61</v>
      </c>
      <c r="AC133" s="1115" t="s">
        <v>232</v>
      </c>
      <c r="AD133" s="1112"/>
      <c r="AE133" s="1112">
        <v>0</v>
      </c>
      <c r="AF133" s="1112">
        <v>0.71</v>
      </c>
      <c r="AG133" s="1112">
        <v>0</v>
      </c>
      <c r="AH133" s="1079">
        <v>1.61</v>
      </c>
    </row>
    <row r="134" spans="1:41">
      <c r="A134" s="1115" t="s">
        <v>230</v>
      </c>
      <c r="B134" s="1112">
        <v>0</v>
      </c>
      <c r="C134" s="1112">
        <v>0.06</v>
      </c>
      <c r="D134" s="1112">
        <v>0</v>
      </c>
      <c r="E134" s="1112">
        <v>0</v>
      </c>
      <c r="F134" s="1112">
        <v>0.06</v>
      </c>
      <c r="G134" s="1112">
        <v>0</v>
      </c>
      <c r="H134" s="1112">
        <v>0</v>
      </c>
      <c r="I134" s="1112">
        <v>0</v>
      </c>
      <c r="J134" s="1112">
        <v>0</v>
      </c>
      <c r="K134" s="1112">
        <v>0</v>
      </c>
      <c r="L134" s="1112">
        <v>0</v>
      </c>
      <c r="M134" s="1112">
        <v>0</v>
      </c>
      <c r="N134" s="1112">
        <v>0</v>
      </c>
      <c r="O134" s="1112"/>
      <c r="P134" s="1112">
        <v>0</v>
      </c>
      <c r="Q134" s="1112">
        <v>0</v>
      </c>
      <c r="R134" s="1112">
        <v>0</v>
      </c>
      <c r="S134" s="1112">
        <v>0</v>
      </c>
      <c r="T134" s="1112">
        <v>0</v>
      </c>
      <c r="U134" s="1112">
        <v>0</v>
      </c>
      <c r="V134" s="1112">
        <v>0.01</v>
      </c>
      <c r="W134" s="1112">
        <v>0.02</v>
      </c>
      <c r="X134" s="1112">
        <v>0</v>
      </c>
      <c r="Y134" s="1112">
        <v>0</v>
      </c>
      <c r="Z134" s="1112">
        <v>0</v>
      </c>
      <c r="AA134" s="1079">
        <v>8.06</v>
      </c>
      <c r="AC134" s="1115" t="s">
        <v>230</v>
      </c>
      <c r="AD134" s="1112">
        <v>0</v>
      </c>
      <c r="AE134" s="1112"/>
      <c r="AF134" s="1112">
        <v>0.01</v>
      </c>
      <c r="AG134" s="1112">
        <v>0</v>
      </c>
      <c r="AH134" s="1079">
        <v>8.06</v>
      </c>
    </row>
    <row r="135" spans="1:41">
      <c r="A135" s="1115" t="s">
        <v>238</v>
      </c>
      <c r="B135" s="1112">
        <v>0</v>
      </c>
      <c r="C135" s="1112">
        <v>0.22</v>
      </c>
      <c r="D135" s="1112">
        <v>0</v>
      </c>
      <c r="E135" s="1112">
        <v>0</v>
      </c>
      <c r="F135" s="1112">
        <v>0</v>
      </c>
      <c r="G135" s="1112">
        <v>0</v>
      </c>
      <c r="H135" s="1112">
        <v>0</v>
      </c>
      <c r="I135" s="1112">
        <v>0</v>
      </c>
      <c r="J135" s="1112">
        <v>0</v>
      </c>
      <c r="K135" s="1112">
        <v>0</v>
      </c>
      <c r="L135" s="1112">
        <v>0</v>
      </c>
      <c r="M135" s="1112">
        <v>0</v>
      </c>
      <c r="N135" s="1112">
        <v>7.49</v>
      </c>
      <c r="O135" s="1112">
        <v>0</v>
      </c>
      <c r="P135" s="1112"/>
      <c r="Q135" s="1112">
        <v>0</v>
      </c>
      <c r="R135" s="1112">
        <v>0</v>
      </c>
      <c r="S135" s="1112">
        <v>0</v>
      </c>
      <c r="T135" s="1112">
        <v>0</v>
      </c>
      <c r="U135" s="1112">
        <v>0</v>
      </c>
      <c r="V135" s="1112">
        <v>3.61</v>
      </c>
      <c r="W135" s="1112">
        <v>0.01</v>
      </c>
      <c r="X135" s="1112">
        <v>0</v>
      </c>
      <c r="Y135" s="1112">
        <v>0.08</v>
      </c>
      <c r="Z135" s="1112">
        <v>0</v>
      </c>
      <c r="AA135" s="1079">
        <v>0</v>
      </c>
      <c r="AC135" s="1115" t="s">
        <v>238</v>
      </c>
      <c r="AD135" s="1112">
        <v>7.49</v>
      </c>
      <c r="AE135" s="1112">
        <v>0</v>
      </c>
      <c r="AF135" s="1112">
        <v>3.61</v>
      </c>
      <c r="AG135" s="1112">
        <v>0.08</v>
      </c>
      <c r="AH135" s="1079">
        <v>0</v>
      </c>
    </row>
    <row r="136" spans="1:41">
      <c r="A136" s="1115" t="s">
        <v>226</v>
      </c>
      <c r="B136" s="1112">
        <v>0</v>
      </c>
      <c r="C136" s="1112">
        <v>0</v>
      </c>
      <c r="D136" s="1112">
        <v>0</v>
      </c>
      <c r="E136" s="1112">
        <v>0</v>
      </c>
      <c r="F136" s="1112">
        <v>0</v>
      </c>
      <c r="G136" s="1112">
        <v>0</v>
      </c>
      <c r="H136" s="1112">
        <v>0</v>
      </c>
      <c r="I136" s="1112">
        <v>0</v>
      </c>
      <c r="J136" s="1112">
        <v>0</v>
      </c>
      <c r="K136" s="1112">
        <v>0</v>
      </c>
      <c r="L136" s="1112">
        <v>0</v>
      </c>
      <c r="M136" s="1112">
        <v>0</v>
      </c>
      <c r="N136" s="1112">
        <v>0</v>
      </c>
      <c r="O136" s="1112">
        <v>0</v>
      </c>
      <c r="P136" s="1112">
        <v>0</v>
      </c>
      <c r="Q136" s="1112"/>
      <c r="R136" s="1112">
        <v>0</v>
      </c>
      <c r="S136" s="1112">
        <v>0</v>
      </c>
      <c r="T136" s="1112">
        <v>0</v>
      </c>
      <c r="U136" s="1112">
        <v>0</v>
      </c>
      <c r="V136" s="1112">
        <v>0.18</v>
      </c>
      <c r="W136" s="1112">
        <v>0.01</v>
      </c>
      <c r="X136" s="1112">
        <v>0</v>
      </c>
      <c r="Y136" s="1112">
        <v>0</v>
      </c>
      <c r="Z136" s="1112">
        <v>0</v>
      </c>
      <c r="AA136" s="1079">
        <v>0</v>
      </c>
      <c r="AC136" s="1115" t="s">
        <v>226</v>
      </c>
      <c r="AD136" s="1112">
        <v>0</v>
      </c>
      <c r="AE136" s="1112">
        <v>0</v>
      </c>
      <c r="AF136" s="1112">
        <v>0.18</v>
      </c>
      <c r="AG136" s="1112">
        <v>0</v>
      </c>
      <c r="AH136" s="1079">
        <v>0</v>
      </c>
    </row>
    <row r="137" spans="1:41">
      <c r="A137" s="1115" t="s">
        <v>228</v>
      </c>
      <c r="B137" s="1112">
        <v>0</v>
      </c>
      <c r="C137" s="1112">
        <v>0</v>
      </c>
      <c r="D137" s="1112">
        <v>0</v>
      </c>
      <c r="E137" s="1112">
        <v>0</v>
      </c>
      <c r="F137" s="1112">
        <v>0</v>
      </c>
      <c r="G137" s="1112">
        <v>0</v>
      </c>
      <c r="H137" s="1112">
        <v>0</v>
      </c>
      <c r="I137" s="1112">
        <v>0</v>
      </c>
      <c r="J137" s="1112">
        <v>0</v>
      </c>
      <c r="K137" s="1112">
        <v>0</v>
      </c>
      <c r="L137" s="1112">
        <v>0</v>
      </c>
      <c r="M137" s="1112">
        <v>2.62</v>
      </c>
      <c r="N137" s="1112">
        <v>0</v>
      </c>
      <c r="O137" s="1112">
        <v>0</v>
      </c>
      <c r="P137" s="1112">
        <v>0</v>
      </c>
      <c r="Q137" s="1112">
        <v>0</v>
      </c>
      <c r="R137" s="1112">
        <v>0</v>
      </c>
      <c r="S137" s="1112">
        <v>0</v>
      </c>
      <c r="T137" s="1112">
        <v>0</v>
      </c>
      <c r="U137" s="1112"/>
      <c r="V137" s="1112">
        <v>0</v>
      </c>
      <c r="W137" s="1112">
        <v>0</v>
      </c>
      <c r="X137" s="1112">
        <v>0</v>
      </c>
      <c r="Y137" s="1112">
        <v>0</v>
      </c>
      <c r="Z137" s="1112">
        <v>0</v>
      </c>
      <c r="AA137" s="1079">
        <v>0</v>
      </c>
      <c r="AC137" s="1115" t="s">
        <v>228</v>
      </c>
      <c r="AD137" s="1112">
        <v>0</v>
      </c>
      <c r="AE137" s="1112">
        <v>0</v>
      </c>
      <c r="AF137" s="1112">
        <v>0</v>
      </c>
      <c r="AG137" s="1112">
        <v>0</v>
      </c>
      <c r="AH137" s="1079">
        <v>0</v>
      </c>
    </row>
    <row r="138" spans="1:41">
      <c r="A138" s="1115" t="s">
        <v>224</v>
      </c>
      <c r="B138" s="1112">
        <v>0</v>
      </c>
      <c r="C138" s="1112">
        <v>1.24</v>
      </c>
      <c r="D138" s="1112">
        <v>0.42</v>
      </c>
      <c r="E138" s="1112">
        <v>0</v>
      </c>
      <c r="F138" s="1112">
        <v>0.23</v>
      </c>
      <c r="G138" s="1112">
        <v>0</v>
      </c>
      <c r="H138" s="1112">
        <v>0</v>
      </c>
      <c r="I138" s="1112">
        <v>0</v>
      </c>
      <c r="J138" s="1112">
        <v>0</v>
      </c>
      <c r="K138" s="1112">
        <v>0</v>
      </c>
      <c r="L138" s="1112">
        <v>0</v>
      </c>
      <c r="M138" s="1112">
        <v>2.19</v>
      </c>
      <c r="N138" s="1112">
        <v>8.64</v>
      </c>
      <c r="O138" s="1112">
        <v>4.24</v>
      </c>
      <c r="P138" s="1112">
        <v>7.81</v>
      </c>
      <c r="Q138" s="1112">
        <v>2.4900000000000002</v>
      </c>
      <c r="R138" s="1112">
        <v>0</v>
      </c>
      <c r="S138" s="1112">
        <v>0</v>
      </c>
      <c r="T138" s="1112">
        <v>0</v>
      </c>
      <c r="U138" s="1112">
        <v>0</v>
      </c>
      <c r="V138" s="1112"/>
      <c r="W138" s="1112">
        <v>0.33</v>
      </c>
      <c r="X138" s="1112">
        <v>3.52</v>
      </c>
      <c r="Y138" s="1112">
        <v>3.13</v>
      </c>
      <c r="Z138" s="1112">
        <v>0</v>
      </c>
      <c r="AA138" s="1079">
        <v>1.01</v>
      </c>
      <c r="AC138" s="1115" t="s">
        <v>224</v>
      </c>
      <c r="AD138" s="1112">
        <v>8.64</v>
      </c>
      <c r="AE138" s="1112">
        <v>4.24</v>
      </c>
      <c r="AF138" s="1112"/>
      <c r="AG138" s="1112">
        <v>3.13</v>
      </c>
      <c r="AH138" s="1079">
        <v>1.01</v>
      </c>
    </row>
    <row r="139" spans="1:41">
      <c r="A139" s="1115" t="s">
        <v>219</v>
      </c>
      <c r="B139" s="1112">
        <v>0</v>
      </c>
      <c r="C139" s="1112">
        <v>6.48</v>
      </c>
      <c r="D139" s="1112">
        <v>1.23</v>
      </c>
      <c r="E139" s="1112">
        <v>0</v>
      </c>
      <c r="F139" s="1112">
        <v>3.88</v>
      </c>
      <c r="G139" s="1112">
        <v>0</v>
      </c>
      <c r="H139" s="1112">
        <v>0</v>
      </c>
      <c r="I139" s="1112">
        <v>0</v>
      </c>
      <c r="J139" s="1112">
        <v>0</v>
      </c>
      <c r="K139" s="1112">
        <v>16.899999999999999</v>
      </c>
      <c r="L139" s="1112">
        <v>8.91</v>
      </c>
      <c r="M139" s="1112">
        <v>3.95</v>
      </c>
      <c r="N139" s="1112">
        <v>0</v>
      </c>
      <c r="O139" s="1112">
        <v>1.98</v>
      </c>
      <c r="P139" s="1112">
        <v>1.46</v>
      </c>
      <c r="Q139" s="1112">
        <v>0.83</v>
      </c>
      <c r="R139" s="1112">
        <v>0</v>
      </c>
      <c r="S139" s="1112">
        <v>0</v>
      </c>
      <c r="T139" s="1112">
        <v>0</v>
      </c>
      <c r="U139" s="1112">
        <v>0</v>
      </c>
      <c r="V139" s="1112">
        <v>2.2599999999999998</v>
      </c>
      <c r="W139" s="1112"/>
      <c r="X139" s="1112">
        <v>5.03</v>
      </c>
      <c r="Y139" s="1112">
        <v>3.4</v>
      </c>
      <c r="Z139" s="1112">
        <v>0</v>
      </c>
      <c r="AA139" s="1079">
        <v>0</v>
      </c>
      <c r="AC139" s="1115" t="s">
        <v>219</v>
      </c>
      <c r="AD139" s="1112">
        <v>0</v>
      </c>
      <c r="AE139" s="1112">
        <v>1.98</v>
      </c>
      <c r="AF139" s="1112">
        <v>2.2599999999999998</v>
      </c>
      <c r="AG139" s="1112">
        <v>3.4</v>
      </c>
      <c r="AH139" s="1079">
        <v>0</v>
      </c>
    </row>
    <row r="140" spans="1:41">
      <c r="A140" s="1115" t="s">
        <v>229</v>
      </c>
      <c r="B140" s="1112">
        <v>0</v>
      </c>
      <c r="C140" s="1112">
        <v>0.02</v>
      </c>
      <c r="D140" s="1112">
        <v>0</v>
      </c>
      <c r="E140" s="1112">
        <v>0</v>
      </c>
      <c r="F140" s="1112">
        <v>0.1</v>
      </c>
      <c r="G140" s="1112">
        <v>0</v>
      </c>
      <c r="H140" s="1112">
        <v>0</v>
      </c>
      <c r="I140" s="1112">
        <v>0</v>
      </c>
      <c r="J140" s="1112">
        <v>0</v>
      </c>
      <c r="K140" s="1112">
        <v>0</v>
      </c>
      <c r="L140" s="1112">
        <v>0</v>
      </c>
      <c r="M140" s="1112">
        <v>0</v>
      </c>
      <c r="N140" s="1112">
        <v>0</v>
      </c>
      <c r="O140" s="1112">
        <v>0</v>
      </c>
      <c r="P140" s="1112">
        <v>0</v>
      </c>
      <c r="Q140" s="1112">
        <v>0</v>
      </c>
      <c r="R140" s="1112">
        <v>0</v>
      </c>
      <c r="S140" s="1112">
        <v>0</v>
      </c>
      <c r="T140" s="1112">
        <v>0</v>
      </c>
      <c r="U140" s="1112">
        <v>0</v>
      </c>
      <c r="V140" s="1112">
        <v>0.17</v>
      </c>
      <c r="W140" s="1112">
        <v>0.03</v>
      </c>
      <c r="X140" s="1112"/>
      <c r="Y140" s="1112">
        <v>1.32</v>
      </c>
      <c r="Z140" s="1112">
        <v>0</v>
      </c>
      <c r="AA140" s="1079">
        <v>0</v>
      </c>
      <c r="AC140" s="1115" t="s">
        <v>229</v>
      </c>
      <c r="AD140" s="1112">
        <v>0</v>
      </c>
      <c r="AE140" s="1112">
        <v>0</v>
      </c>
      <c r="AF140" s="1112">
        <v>0.17</v>
      </c>
      <c r="AG140" s="1112">
        <v>1.32</v>
      </c>
      <c r="AH140" s="1079">
        <v>0</v>
      </c>
    </row>
    <row r="141" spans="1:41">
      <c r="A141" s="1115" t="s">
        <v>222</v>
      </c>
      <c r="B141" s="1112">
        <v>0</v>
      </c>
      <c r="C141" s="1112">
        <v>0.35</v>
      </c>
      <c r="D141" s="1112">
        <v>0</v>
      </c>
      <c r="E141" s="1112">
        <v>0</v>
      </c>
      <c r="F141" s="1112">
        <v>0.32</v>
      </c>
      <c r="G141" s="1112">
        <v>0</v>
      </c>
      <c r="H141" s="1112">
        <v>0</v>
      </c>
      <c r="I141" s="1112">
        <v>0</v>
      </c>
      <c r="J141" s="1112">
        <v>0</v>
      </c>
      <c r="K141" s="1112">
        <v>0</v>
      </c>
      <c r="L141" s="1112">
        <v>0</v>
      </c>
      <c r="M141" s="1112">
        <v>0.45</v>
      </c>
      <c r="N141" s="1112">
        <v>0</v>
      </c>
      <c r="O141" s="1112">
        <v>0</v>
      </c>
      <c r="P141" s="1112">
        <v>3.42</v>
      </c>
      <c r="Q141" s="1112">
        <v>0</v>
      </c>
      <c r="R141" s="1112">
        <v>0</v>
      </c>
      <c r="S141" s="1112">
        <v>0</v>
      </c>
      <c r="T141" s="1112">
        <v>0</v>
      </c>
      <c r="U141" s="1112">
        <v>0</v>
      </c>
      <c r="V141" s="1112">
        <v>1.19</v>
      </c>
      <c r="W141" s="1112">
        <v>0.09</v>
      </c>
      <c r="X141" s="1112">
        <v>4.5199999999999996</v>
      </c>
      <c r="Y141" s="1112"/>
      <c r="Z141" s="1112">
        <v>0</v>
      </c>
      <c r="AA141" s="1079">
        <v>10.48</v>
      </c>
      <c r="AC141" s="1115" t="s">
        <v>222</v>
      </c>
      <c r="AD141" s="1112">
        <v>0</v>
      </c>
      <c r="AE141" s="1112">
        <v>0</v>
      </c>
      <c r="AF141" s="1112">
        <v>1.19</v>
      </c>
      <c r="AG141" s="1112"/>
      <c r="AH141" s="1079">
        <v>10.48</v>
      </c>
    </row>
    <row r="142" spans="1:41">
      <c r="A142" s="1115" t="s">
        <v>231</v>
      </c>
      <c r="B142" s="1112">
        <v>0</v>
      </c>
      <c r="C142" s="1112">
        <v>0.02</v>
      </c>
      <c r="D142" s="1112">
        <v>0</v>
      </c>
      <c r="E142" s="1112">
        <v>0</v>
      </c>
      <c r="F142" s="1112">
        <v>0</v>
      </c>
      <c r="G142" s="1112">
        <v>0</v>
      </c>
      <c r="H142" s="1112">
        <v>0</v>
      </c>
      <c r="I142" s="1112">
        <v>0</v>
      </c>
      <c r="J142" s="1112">
        <v>0</v>
      </c>
      <c r="K142" s="1112">
        <v>0</v>
      </c>
      <c r="L142" s="1112">
        <v>0</v>
      </c>
      <c r="M142" s="1112">
        <v>0</v>
      </c>
      <c r="N142" s="1112">
        <v>2.76</v>
      </c>
      <c r="O142" s="1112">
        <v>10.31</v>
      </c>
      <c r="P142" s="1112">
        <v>0</v>
      </c>
      <c r="Q142" s="1112">
        <v>0</v>
      </c>
      <c r="R142" s="1112">
        <v>0</v>
      </c>
      <c r="S142" s="1112">
        <v>0</v>
      </c>
      <c r="T142" s="1112">
        <v>0</v>
      </c>
      <c r="U142" s="1112">
        <v>0</v>
      </c>
      <c r="V142" s="1112">
        <v>0.02</v>
      </c>
      <c r="W142" s="1112">
        <v>0</v>
      </c>
      <c r="X142" s="1112">
        <v>0</v>
      </c>
      <c r="Y142" s="1112">
        <v>3.6</v>
      </c>
      <c r="Z142" s="1112">
        <v>0</v>
      </c>
      <c r="AA142" s="1079"/>
      <c r="AC142" s="1115" t="s">
        <v>231</v>
      </c>
      <c r="AD142" s="1112">
        <v>2.76</v>
      </c>
      <c r="AE142" s="1112">
        <v>10.31</v>
      </c>
      <c r="AF142" s="1112">
        <v>0.02</v>
      </c>
      <c r="AG142" s="1112">
        <v>3.6</v>
      </c>
      <c r="AH142" s="1079"/>
    </row>
    <row r="143" spans="1:41">
      <c r="A143" s="1115" t="s">
        <v>244</v>
      </c>
      <c r="B143" s="1112">
        <v>0</v>
      </c>
      <c r="C143" s="1112">
        <v>0.02</v>
      </c>
      <c r="D143" s="1112">
        <v>0.01</v>
      </c>
      <c r="E143" s="1112">
        <v>0</v>
      </c>
      <c r="F143" s="1112">
        <v>0.02</v>
      </c>
      <c r="G143" s="1112">
        <v>0</v>
      </c>
      <c r="H143" s="1112">
        <v>0</v>
      </c>
      <c r="I143" s="1112">
        <v>0</v>
      </c>
      <c r="J143" s="1112">
        <v>0</v>
      </c>
      <c r="K143" s="1112">
        <v>0</v>
      </c>
      <c r="L143" s="1112">
        <v>0</v>
      </c>
      <c r="M143" s="1112">
        <v>0.56999999999999995</v>
      </c>
      <c r="N143" s="1112">
        <v>0</v>
      </c>
      <c r="O143" s="1112">
        <v>0</v>
      </c>
      <c r="P143" s="1112">
        <v>0</v>
      </c>
      <c r="Q143" s="1112">
        <v>0</v>
      </c>
      <c r="R143" s="1112">
        <v>0</v>
      </c>
      <c r="S143" s="1112">
        <v>0</v>
      </c>
      <c r="T143" s="1112">
        <v>0</v>
      </c>
      <c r="U143" s="1112">
        <v>0</v>
      </c>
      <c r="V143" s="1112">
        <v>0.01</v>
      </c>
      <c r="W143" s="1112">
        <v>0.02</v>
      </c>
      <c r="X143" s="1112">
        <v>0</v>
      </c>
      <c r="Y143" s="1112">
        <v>0</v>
      </c>
      <c r="Z143" s="1112">
        <v>0</v>
      </c>
      <c r="AA143" s="1112">
        <v>0.01</v>
      </c>
      <c r="AC143" s="1115" t="s">
        <v>244</v>
      </c>
      <c r="AD143" s="1112">
        <v>0</v>
      </c>
      <c r="AE143" s="1112">
        <v>0</v>
      </c>
      <c r="AF143" s="1112">
        <v>0.01</v>
      </c>
      <c r="AG143" s="1112">
        <v>0</v>
      </c>
      <c r="AH143" s="1112">
        <v>0.01</v>
      </c>
    </row>
    <row r="144" spans="1:41">
      <c r="A144" s="1113" t="s">
        <v>253</v>
      </c>
      <c r="B144" s="1114">
        <v>7.53</v>
      </c>
      <c r="C144" s="1114">
        <v>6.23</v>
      </c>
      <c r="D144" s="1114">
        <v>5.98</v>
      </c>
      <c r="E144" s="1114">
        <v>0</v>
      </c>
      <c r="F144" s="1114">
        <v>10.95</v>
      </c>
      <c r="G144" s="1114">
        <v>0</v>
      </c>
      <c r="H144" s="1114">
        <v>0</v>
      </c>
      <c r="I144" s="1114">
        <v>0</v>
      </c>
      <c r="J144" s="1114">
        <v>0</v>
      </c>
      <c r="K144" s="1114">
        <v>18.010000000000002</v>
      </c>
      <c r="L144" s="1114">
        <v>38.61</v>
      </c>
      <c r="M144" s="1114">
        <v>23.13</v>
      </c>
      <c r="N144" s="1114">
        <v>10.18</v>
      </c>
      <c r="O144" s="1114">
        <v>17.02</v>
      </c>
      <c r="P144" s="1114">
        <v>21</v>
      </c>
      <c r="Q144" s="1114">
        <v>5.35</v>
      </c>
      <c r="R144" s="1114">
        <v>0</v>
      </c>
      <c r="S144" s="1114">
        <v>28</v>
      </c>
      <c r="T144" s="1114">
        <v>0</v>
      </c>
      <c r="U144" s="1114">
        <v>41.03</v>
      </c>
      <c r="V144" s="1114">
        <v>17.27</v>
      </c>
      <c r="W144" s="1114">
        <v>9.25</v>
      </c>
      <c r="X144" s="1114">
        <v>25.13</v>
      </c>
      <c r="Y144" s="1114">
        <v>11.19</v>
      </c>
      <c r="Z144" s="1114">
        <v>100</v>
      </c>
      <c r="AA144" s="1114">
        <v>4.84</v>
      </c>
      <c r="AC144" s="1113" t="s">
        <v>253</v>
      </c>
      <c r="AD144" s="1114">
        <v>10.18</v>
      </c>
      <c r="AE144" s="1114">
        <v>17.02</v>
      </c>
      <c r="AF144" s="1114">
        <v>17.27</v>
      </c>
      <c r="AG144" s="1114">
        <v>11.19</v>
      </c>
      <c r="AH144" s="1114">
        <v>4.84</v>
      </c>
    </row>
    <row r="145" spans="1:34">
      <c r="A145" s="1113" t="s">
        <v>30</v>
      </c>
      <c r="B145" s="1114">
        <v>100</v>
      </c>
      <c r="C145" s="1114">
        <v>100</v>
      </c>
      <c r="D145" s="1114">
        <v>100</v>
      </c>
      <c r="E145" s="1114">
        <v>100</v>
      </c>
      <c r="F145" s="1114">
        <v>100</v>
      </c>
      <c r="G145" s="1114">
        <v>100</v>
      </c>
      <c r="H145" s="1114">
        <v>0</v>
      </c>
      <c r="I145" s="1114">
        <v>100</v>
      </c>
      <c r="J145" s="1114">
        <v>0</v>
      </c>
      <c r="K145" s="1114">
        <v>100</v>
      </c>
      <c r="L145" s="1114">
        <v>100</v>
      </c>
      <c r="M145" s="1114">
        <v>100</v>
      </c>
      <c r="N145" s="1114">
        <v>100</v>
      </c>
      <c r="O145" s="1114">
        <v>100</v>
      </c>
      <c r="P145" s="1114">
        <v>100</v>
      </c>
      <c r="Q145" s="1114">
        <v>100</v>
      </c>
      <c r="R145" s="1114">
        <v>100</v>
      </c>
      <c r="S145" s="1114">
        <v>100</v>
      </c>
      <c r="T145" s="1114">
        <v>100</v>
      </c>
      <c r="U145" s="1114">
        <v>100</v>
      </c>
      <c r="V145" s="1114">
        <v>100</v>
      </c>
      <c r="W145" s="1114">
        <v>100</v>
      </c>
      <c r="X145" s="1114">
        <v>100</v>
      </c>
      <c r="Y145" s="1114">
        <v>100</v>
      </c>
      <c r="Z145" s="1114">
        <v>100</v>
      </c>
      <c r="AA145" s="1114">
        <v>100</v>
      </c>
      <c r="AC145" s="1113" t="s">
        <v>30</v>
      </c>
      <c r="AD145" s="1114">
        <v>100</v>
      </c>
      <c r="AE145" s="1114">
        <v>100</v>
      </c>
      <c r="AF145" s="1114">
        <v>100</v>
      </c>
      <c r="AG145" s="1114">
        <v>100</v>
      </c>
      <c r="AH145" s="1114">
        <v>100</v>
      </c>
    </row>
  </sheetData>
  <pageMargins left="0.7" right="0.7" top="0.75" bottom="0.75" header="0.3" footer="0.3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751AB-059B-469A-83F2-E24609C3EABC}">
  <dimension ref="B1:F31"/>
  <sheetViews>
    <sheetView workbookViewId="0"/>
  </sheetViews>
  <sheetFormatPr baseColWidth="10" defaultRowHeight="14.5"/>
  <cols>
    <col min="2" max="2" width="13" customWidth="1"/>
  </cols>
  <sheetData>
    <row r="1" spans="2:6">
      <c r="C1" t="s">
        <v>1134</v>
      </c>
      <c r="D1" t="s">
        <v>1135</v>
      </c>
      <c r="E1" t="s">
        <v>1134</v>
      </c>
      <c r="F1" t="s">
        <v>1135</v>
      </c>
    </row>
    <row r="2" spans="2:6">
      <c r="C2" s="1071">
        <v>45996</v>
      </c>
      <c r="D2" s="1071">
        <v>45996</v>
      </c>
      <c r="E2" s="1071">
        <v>45995</v>
      </c>
      <c r="F2" s="1071">
        <v>45995</v>
      </c>
    </row>
    <row r="4" spans="2:6">
      <c r="B4" t="s">
        <v>1015</v>
      </c>
      <c r="C4" s="1074" t="s">
        <v>1136</v>
      </c>
      <c r="D4" s="1074" t="s">
        <v>1137</v>
      </c>
      <c r="E4" s="1074" t="s">
        <v>1136</v>
      </c>
      <c r="F4" s="1074" t="s">
        <v>1137</v>
      </c>
    </row>
    <row r="5" spans="2:6">
      <c r="B5" s="1117" t="s">
        <v>219</v>
      </c>
      <c r="C5" s="1116">
        <v>21.919</v>
      </c>
      <c r="D5" s="1116">
        <v>47.844000000000001</v>
      </c>
      <c r="E5" s="1116">
        <v>4.5369999999999999</v>
      </c>
      <c r="F5" s="1116">
        <v>49.095999999999997</v>
      </c>
    </row>
    <row r="6" spans="2:6">
      <c r="B6" s="1117" t="s">
        <v>224</v>
      </c>
      <c r="C6" s="1116">
        <v>20.311</v>
      </c>
      <c r="D6" s="1116">
        <v>31.292999999999999</v>
      </c>
      <c r="E6" s="1116">
        <v>49.750999999999998</v>
      </c>
      <c r="F6" s="1116">
        <v>1.135</v>
      </c>
    </row>
    <row r="7" spans="2:6">
      <c r="B7" s="1117" t="s">
        <v>220</v>
      </c>
      <c r="C7" s="1116">
        <v>24.638000000000002</v>
      </c>
      <c r="D7" s="1116">
        <v>5.9560000000000004</v>
      </c>
      <c r="E7" s="1116">
        <v>6.5739999999999998</v>
      </c>
      <c r="F7" s="1116">
        <v>30.106999999999999</v>
      </c>
    </row>
    <row r="8" spans="2:6">
      <c r="B8" s="1117" t="s">
        <v>222</v>
      </c>
      <c r="C8" s="1116">
        <v>21.853999999999999</v>
      </c>
      <c r="D8" s="1116">
        <v>1.627</v>
      </c>
      <c r="E8" s="1116">
        <v>17.693999999999999</v>
      </c>
      <c r="F8" s="1116">
        <v>7.0259999999999998</v>
      </c>
    </row>
    <row r="9" spans="2:6">
      <c r="B9" s="1117" t="s">
        <v>230</v>
      </c>
      <c r="C9" s="1116">
        <v>1.3580000000000001</v>
      </c>
      <c r="D9" s="1116">
        <v>5.4710000000000001</v>
      </c>
      <c r="E9" s="1116">
        <v>11.696</v>
      </c>
      <c r="F9" s="1116">
        <v>0.159</v>
      </c>
    </row>
    <row r="10" spans="2:6">
      <c r="B10" s="1117" t="s">
        <v>221</v>
      </c>
      <c r="C10" s="1116">
        <v>4.218</v>
      </c>
      <c r="D10" s="1116">
        <v>0.13400000000000001</v>
      </c>
      <c r="E10" s="1116">
        <v>0.378</v>
      </c>
      <c r="F10" s="1116">
        <v>5.4279999999999999</v>
      </c>
    </row>
    <row r="11" spans="2:6">
      <c r="B11" s="1117" t="s">
        <v>232</v>
      </c>
      <c r="C11" s="1079">
        <v>1.1910000000000001</v>
      </c>
      <c r="D11" s="1079">
        <v>2.629</v>
      </c>
      <c r="E11" s="1079">
        <v>4.3319999999999999</v>
      </c>
      <c r="F11" s="1079">
        <v>0.20300000000000001</v>
      </c>
    </row>
    <row r="12" spans="2:6">
      <c r="B12" s="1117" t="s">
        <v>231</v>
      </c>
      <c r="C12" s="1079">
        <v>0.69099999999999995</v>
      </c>
      <c r="D12" s="1079">
        <v>2.6840000000000002</v>
      </c>
      <c r="E12" s="1079">
        <v>3.1909999999999998</v>
      </c>
      <c r="F12" s="1079">
        <v>0.13300000000000001</v>
      </c>
    </row>
    <row r="13" spans="2:6">
      <c r="B13" s="1117" t="s">
        <v>2</v>
      </c>
      <c r="C13" s="1079">
        <v>1.482</v>
      </c>
      <c r="D13" s="1079">
        <v>9.9000000000000005E-2</v>
      </c>
      <c r="E13" s="1079">
        <v>0.33600000000000002</v>
      </c>
      <c r="F13" s="1079">
        <v>2.339</v>
      </c>
    </row>
    <row r="14" spans="2:6">
      <c r="B14" s="1117" t="s">
        <v>223</v>
      </c>
      <c r="C14" s="1079">
        <v>0.66600000000000004</v>
      </c>
      <c r="D14" s="1079">
        <v>7.0999999999999994E-2</v>
      </c>
      <c r="E14" s="1079">
        <v>0.13800000000000001</v>
      </c>
      <c r="F14" s="1079">
        <v>1.9390000000000001</v>
      </c>
    </row>
    <row r="15" spans="2:6">
      <c r="B15" s="1117" t="s">
        <v>229</v>
      </c>
      <c r="C15" s="1079">
        <v>6.4000000000000001E-2</v>
      </c>
      <c r="D15" s="1079">
        <v>0.59099999999999997</v>
      </c>
      <c r="E15" s="1079">
        <v>0.157</v>
      </c>
      <c r="F15" s="1079">
        <v>0.56299999999999994</v>
      </c>
    </row>
    <row r="16" spans="2:6">
      <c r="B16" s="1117" t="s">
        <v>226</v>
      </c>
      <c r="C16" s="1079">
        <v>0.30399999999999999</v>
      </c>
      <c r="D16" s="1079">
        <v>0.30199999999999999</v>
      </c>
      <c r="E16" s="1079">
        <v>0.17299999999999999</v>
      </c>
      <c r="F16" s="1079">
        <v>0.46500000000000002</v>
      </c>
    </row>
    <row r="17" spans="2:6">
      <c r="B17" s="1117" t="s">
        <v>238</v>
      </c>
      <c r="C17" s="1079">
        <v>0.17699999999999999</v>
      </c>
      <c r="D17" s="1079">
        <v>0.29299999999999998</v>
      </c>
      <c r="E17" s="1079">
        <v>0.51600000000000001</v>
      </c>
      <c r="F17" s="1079">
        <v>0.10299999999999999</v>
      </c>
    </row>
    <row r="18" spans="2:6">
      <c r="B18" s="1117" t="s">
        <v>225</v>
      </c>
      <c r="C18" s="1079">
        <v>0.38600000000000001</v>
      </c>
      <c r="D18" s="1079">
        <v>4.5999999999999999E-2</v>
      </c>
      <c r="E18" s="1079">
        <v>4.3999999999999997E-2</v>
      </c>
      <c r="F18" s="1079">
        <v>0.55100000000000005</v>
      </c>
    </row>
    <row r="19" spans="2:6">
      <c r="B19" s="1117" t="s">
        <v>249</v>
      </c>
      <c r="C19" s="1079">
        <v>0.124</v>
      </c>
      <c r="D19" s="1079">
        <v>0.192</v>
      </c>
      <c r="E19" s="1079">
        <v>3.0000000000000001E-3</v>
      </c>
      <c r="F19" s="1079">
        <v>0.24</v>
      </c>
    </row>
    <row r="20" spans="2:6">
      <c r="B20" s="1117" t="s">
        <v>227</v>
      </c>
      <c r="C20" s="1079">
        <v>0.22700000000000001</v>
      </c>
      <c r="D20" s="1079">
        <v>5.0999999999999997E-2</v>
      </c>
      <c r="E20" s="1079">
        <v>4.1000000000000002E-2</v>
      </c>
      <c r="F20" s="1079">
        <v>0.19900000000000001</v>
      </c>
    </row>
    <row r="21" spans="2:6">
      <c r="B21" s="1117" t="s">
        <v>3</v>
      </c>
      <c r="C21" s="1079">
        <v>1.4E-2</v>
      </c>
      <c r="D21" s="1079">
        <v>0.24099999999999999</v>
      </c>
      <c r="E21" s="1079">
        <v>0.13900000000000001</v>
      </c>
      <c r="F21" s="1079">
        <v>2.1000000000000001E-2</v>
      </c>
    </row>
    <row r="22" spans="2:6">
      <c r="B22" s="1117" t="s">
        <v>233</v>
      </c>
      <c r="C22" s="1079">
        <v>9.0999999999999998E-2</v>
      </c>
      <c r="D22" s="1079">
        <v>9.2999999999999999E-2</v>
      </c>
      <c r="E22" s="1079">
        <v>6.4000000000000001E-2</v>
      </c>
      <c r="F22" s="1079">
        <v>5.0999999999999997E-2</v>
      </c>
    </row>
    <row r="23" spans="2:6">
      <c r="B23" s="1117" t="s">
        <v>228</v>
      </c>
      <c r="C23" s="1079">
        <v>4.9000000000000002E-2</v>
      </c>
      <c r="D23" s="1079">
        <v>9.0999999999999998E-2</v>
      </c>
      <c r="E23" s="1079">
        <v>2.3E-2</v>
      </c>
      <c r="F23" s="1079">
        <v>0.09</v>
      </c>
    </row>
    <row r="24" spans="2:6">
      <c r="B24" s="1117" t="s">
        <v>250</v>
      </c>
      <c r="C24" s="1079">
        <v>2.4E-2</v>
      </c>
      <c r="D24" s="1079">
        <v>0.10100000000000001</v>
      </c>
      <c r="E24" s="1079">
        <v>0.105</v>
      </c>
      <c r="F24" s="1079">
        <v>0</v>
      </c>
    </row>
    <row r="25" spans="2:6">
      <c r="B25" s="1117" t="s">
        <v>234</v>
      </c>
      <c r="C25" s="1079">
        <v>4.2999999999999997E-2</v>
      </c>
      <c r="D25" s="1079">
        <v>8.1000000000000003E-2</v>
      </c>
      <c r="E25" s="1079">
        <v>6.0000000000000001E-3</v>
      </c>
      <c r="F25" s="1079">
        <v>6.0999999999999999E-2</v>
      </c>
    </row>
    <row r="26" spans="2:6">
      <c r="B26" s="1117" t="s">
        <v>235</v>
      </c>
      <c r="C26" s="1079">
        <v>5.6000000000000001E-2</v>
      </c>
      <c r="D26" s="1079">
        <v>1.6E-2</v>
      </c>
      <c r="E26" s="1079">
        <v>3.2000000000000001E-2</v>
      </c>
      <c r="F26" s="1079">
        <v>3.1E-2</v>
      </c>
    </row>
    <row r="27" spans="2:6">
      <c r="B27" s="1117" t="s">
        <v>237</v>
      </c>
      <c r="C27" s="1079">
        <v>1.7000000000000001E-2</v>
      </c>
      <c r="D27" s="1079">
        <v>2.8000000000000001E-2</v>
      </c>
      <c r="E27" s="1079">
        <v>1.4E-2</v>
      </c>
      <c r="F27" s="1079">
        <v>1.0999999999999999E-2</v>
      </c>
    </row>
    <row r="28" spans="2:6">
      <c r="B28" s="1117" t="s">
        <v>239</v>
      </c>
      <c r="C28" s="1079">
        <v>2.4E-2</v>
      </c>
      <c r="D28" s="1079">
        <v>0</v>
      </c>
      <c r="E28" s="1079">
        <v>1.2999999999999999E-2</v>
      </c>
      <c r="F28" s="1079">
        <v>0.01</v>
      </c>
    </row>
    <row r="29" spans="2:6">
      <c r="B29" s="1117" t="s">
        <v>1016</v>
      </c>
      <c r="C29" s="1079">
        <v>1E-3</v>
      </c>
      <c r="D29" s="1079">
        <v>2.1000000000000001E-2</v>
      </c>
      <c r="E29" s="1079">
        <v>1E-3</v>
      </c>
      <c r="F29" s="1079">
        <v>0.02</v>
      </c>
    </row>
    <row r="30" spans="2:6">
      <c r="B30" s="1117" t="s">
        <v>244</v>
      </c>
      <c r="C30" s="1079">
        <v>7.1999999999999995E-2</v>
      </c>
      <c r="D30" s="1079">
        <v>4.4999999999999998E-2</v>
      </c>
      <c r="E30" s="1079">
        <v>4.2000000000000003E-2</v>
      </c>
      <c r="F30" s="1079">
        <v>0.02</v>
      </c>
    </row>
    <row r="31" spans="2:6">
      <c r="B31" s="1117" t="s">
        <v>30</v>
      </c>
      <c r="C31" s="1079">
        <v>100</v>
      </c>
      <c r="D31" s="1079">
        <v>100</v>
      </c>
      <c r="E31" s="1079">
        <v>100</v>
      </c>
      <c r="F31" s="1079">
        <v>100</v>
      </c>
    </row>
  </sheetData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8F9F5-5077-404A-80C1-CC8A4F1D8049}">
  <dimension ref="A1:E13"/>
  <sheetViews>
    <sheetView workbookViewId="0"/>
  </sheetViews>
  <sheetFormatPr baseColWidth="10" defaultRowHeight="14.5"/>
  <sheetData>
    <row r="1" spans="1:5">
      <c r="A1" t="s">
        <v>1</v>
      </c>
      <c r="B1" t="s">
        <v>1134</v>
      </c>
      <c r="C1" t="s">
        <v>1135</v>
      </c>
      <c r="D1" t="s">
        <v>1134</v>
      </c>
      <c r="E1" t="s">
        <v>1135</v>
      </c>
    </row>
    <row r="2" spans="1:5">
      <c r="B2" s="1071">
        <v>45996</v>
      </c>
      <c r="C2" s="1071">
        <v>45996</v>
      </c>
      <c r="D2" s="1071">
        <v>45995</v>
      </c>
      <c r="E2" s="1071">
        <v>45995</v>
      </c>
    </row>
    <row r="4" spans="1:5">
      <c r="B4" s="1074" t="s">
        <v>1136</v>
      </c>
      <c r="C4" s="1074" t="s">
        <v>1137</v>
      </c>
      <c r="D4" s="1074" t="s">
        <v>1136</v>
      </c>
      <c r="E4" s="1074" t="s">
        <v>1137</v>
      </c>
    </row>
    <row r="5" spans="1:5">
      <c r="A5" s="1080" t="s">
        <v>224</v>
      </c>
      <c r="B5" s="1081">
        <v>60.886499999999998</v>
      </c>
      <c r="C5" s="1081">
        <v>70.019599999999997</v>
      </c>
      <c r="D5" s="1081">
        <v>54.407499999999999</v>
      </c>
      <c r="E5" s="1081">
        <v>50.32</v>
      </c>
    </row>
    <row r="6" spans="1:5">
      <c r="A6" s="1080" t="s">
        <v>230</v>
      </c>
      <c r="B6" s="1081">
        <v>27.1004</v>
      </c>
      <c r="C6" s="1081">
        <v>13.316800000000001</v>
      </c>
      <c r="D6" s="1081">
        <v>29.496600000000001</v>
      </c>
      <c r="E6" s="1081">
        <v>16.293099999999999</v>
      </c>
    </row>
    <row r="7" spans="1:5">
      <c r="A7" s="1080" t="s">
        <v>232</v>
      </c>
      <c r="B7" s="1081">
        <v>7.5510000000000002</v>
      </c>
      <c r="C7" s="1081">
        <v>7.7786999999999997</v>
      </c>
      <c r="D7" s="1081">
        <v>8.6602999999999994</v>
      </c>
      <c r="E7" s="1081">
        <v>16.480799999999999</v>
      </c>
    </row>
    <row r="8" spans="1:5">
      <c r="A8" s="1080" t="s">
        <v>231</v>
      </c>
      <c r="B8" s="1081">
        <v>3.5625</v>
      </c>
      <c r="C8" s="1081">
        <v>5.9005999999999998</v>
      </c>
      <c r="D8" s="1081">
        <v>6.6982999999999997</v>
      </c>
      <c r="E8" s="1081">
        <v>11.2773</v>
      </c>
    </row>
    <row r="9" spans="1:5">
      <c r="A9" s="1080" t="s">
        <v>238</v>
      </c>
      <c r="B9" s="1081">
        <v>0.8276</v>
      </c>
      <c r="C9" s="1081">
        <v>2.8893</v>
      </c>
      <c r="D9" s="1081">
        <v>0.73640000000000005</v>
      </c>
      <c r="E9" s="1081">
        <v>5.6288999999999998</v>
      </c>
    </row>
    <row r="10" spans="1:5">
      <c r="A10" s="1080" t="s">
        <v>244</v>
      </c>
      <c r="B10" s="1081">
        <v>7.2099999999999997E-2</v>
      </c>
      <c r="C10" s="1081">
        <v>9.5000000000000001E-2</v>
      </c>
      <c r="D10" s="1081">
        <v>8.0000000000000004E-4</v>
      </c>
      <c r="E10" s="1081">
        <v>0</v>
      </c>
    </row>
    <row r="11" spans="1:5">
      <c r="A11" s="1080" t="s">
        <v>30</v>
      </c>
      <c r="B11" s="1081">
        <v>100</v>
      </c>
      <c r="C11" s="1081">
        <v>100</v>
      </c>
      <c r="D11" s="1081">
        <v>100</v>
      </c>
      <c r="E11" s="1081">
        <v>100</v>
      </c>
    </row>
    <row r="12" spans="1:5">
      <c r="A12" s="1080"/>
      <c r="B12" s="1081"/>
      <c r="C12" s="1081"/>
      <c r="D12" s="1081"/>
      <c r="E12" s="1081"/>
    </row>
    <row r="13" spans="1:5">
      <c r="A13" s="1080"/>
      <c r="B13" s="1079"/>
      <c r="C13" s="1079"/>
      <c r="D13" s="1079"/>
      <c r="E13" s="1079"/>
    </row>
  </sheetData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9549B-EECE-4A16-80EA-0E139F1B6E6D}">
  <dimension ref="A1:O28"/>
  <sheetViews>
    <sheetView workbookViewId="0"/>
  </sheetViews>
  <sheetFormatPr baseColWidth="10" defaultRowHeight="14.5"/>
  <sheetData>
    <row r="1" spans="1:15">
      <c r="A1" s="1093"/>
      <c r="B1" s="1471" t="s">
        <v>1101</v>
      </c>
      <c r="C1" s="1093"/>
      <c r="D1" s="1093"/>
      <c r="E1" s="1471" t="s">
        <v>1102</v>
      </c>
      <c r="F1" s="1471"/>
      <c r="G1" s="1471"/>
      <c r="H1" s="1471"/>
      <c r="I1" s="1471"/>
      <c r="J1" s="1471"/>
      <c r="K1" s="1471"/>
      <c r="L1" s="1471"/>
      <c r="M1" s="1471"/>
      <c r="N1" s="1471"/>
      <c r="O1" s="1471"/>
    </row>
    <row r="2" spans="1:15">
      <c r="A2" s="1093"/>
      <c r="B2" s="1472"/>
      <c r="C2" s="1093"/>
      <c r="D2" s="1093"/>
      <c r="E2" s="1471"/>
      <c r="F2" s="1471"/>
      <c r="G2" s="1471"/>
      <c r="H2" s="1471"/>
      <c r="I2" s="1471"/>
      <c r="J2" s="1471"/>
      <c r="K2" s="1471"/>
      <c r="L2" s="1471"/>
      <c r="M2" s="1471"/>
      <c r="N2" s="1471"/>
      <c r="O2" s="1471"/>
    </row>
    <row r="3" spans="1:15">
      <c r="A3" s="1094" t="s">
        <v>1103</v>
      </c>
      <c r="B3" s="1094" t="s">
        <v>1104</v>
      </c>
      <c r="C3" s="1094"/>
      <c r="D3" s="1094"/>
      <c r="E3" s="1095" t="s">
        <v>1105</v>
      </c>
      <c r="F3" s="1096" t="s">
        <v>1106</v>
      </c>
      <c r="G3" s="1096" t="s">
        <v>1107</v>
      </c>
      <c r="H3" s="1096" t="s">
        <v>1108</v>
      </c>
      <c r="I3" s="1096" t="s">
        <v>1109</v>
      </c>
      <c r="J3" s="1096" t="s">
        <v>1110</v>
      </c>
      <c r="K3" s="1096" t="s">
        <v>1111</v>
      </c>
      <c r="L3" s="1096" t="s">
        <v>1112</v>
      </c>
      <c r="M3" s="1096" t="s">
        <v>1113</v>
      </c>
      <c r="N3" s="1096" t="s">
        <v>1114</v>
      </c>
      <c r="O3" s="1096" t="s">
        <v>1115</v>
      </c>
    </row>
    <row r="4" spans="1:15">
      <c r="A4" s="1097" t="s">
        <v>1019</v>
      </c>
      <c r="B4" s="1079" t="s">
        <v>224</v>
      </c>
      <c r="C4" s="1071">
        <v>45996</v>
      </c>
      <c r="D4" s="1074" t="s">
        <v>1136</v>
      </c>
      <c r="E4" s="1098">
        <v>3.9744000000000002</v>
      </c>
      <c r="F4" s="1098">
        <v>3.7351999999999999</v>
      </c>
      <c r="G4" s="1098">
        <v>5.6397000000000004</v>
      </c>
      <c r="H4" s="1098">
        <v>1.9162999999999999</v>
      </c>
      <c r="I4" s="1098">
        <v>3.3307000000000002</v>
      </c>
      <c r="J4" s="1098">
        <v>3.7883</v>
      </c>
      <c r="K4" s="1098">
        <v>5.5659000000000001</v>
      </c>
      <c r="L4" s="1098">
        <v>6.7765000000000004</v>
      </c>
      <c r="M4" s="1098">
        <v>10.6328</v>
      </c>
      <c r="N4" s="1098">
        <v>54.6402</v>
      </c>
      <c r="O4" s="1098">
        <v>100</v>
      </c>
    </row>
    <row r="5" spans="1:15">
      <c r="A5" s="1097" t="s">
        <v>1020</v>
      </c>
      <c r="B5" s="1079" t="s">
        <v>224</v>
      </c>
      <c r="C5" s="1071">
        <v>45996</v>
      </c>
      <c r="D5" s="1074" t="s">
        <v>1137</v>
      </c>
      <c r="E5" s="1098">
        <v>11.0169</v>
      </c>
      <c r="F5" s="1098">
        <v>0</v>
      </c>
      <c r="G5" s="1098">
        <v>5.9321999999999999</v>
      </c>
      <c r="H5" s="1098">
        <v>0</v>
      </c>
      <c r="I5" s="1098">
        <v>1.6949000000000001</v>
      </c>
      <c r="J5" s="1098">
        <v>0</v>
      </c>
      <c r="K5" s="1098">
        <v>0</v>
      </c>
      <c r="L5" s="1098">
        <v>13.5593</v>
      </c>
      <c r="M5" s="1098">
        <v>0</v>
      </c>
      <c r="N5" s="1098">
        <v>67.796599999999998</v>
      </c>
      <c r="O5" s="1098">
        <v>100</v>
      </c>
    </row>
    <row r="6" spans="1:15">
      <c r="A6" s="1097" t="s">
        <v>1021</v>
      </c>
      <c r="B6" s="1079" t="s">
        <v>224</v>
      </c>
      <c r="C6" s="1071">
        <v>45995</v>
      </c>
      <c r="D6" s="1074" t="s">
        <v>1136</v>
      </c>
      <c r="E6" s="1098">
        <v>0.39960000000000001</v>
      </c>
      <c r="F6" s="1098">
        <v>0.81730000000000003</v>
      </c>
      <c r="G6" s="1098">
        <v>1.6577</v>
      </c>
      <c r="H6" s="1098">
        <v>1.9317</v>
      </c>
      <c r="I6" s="1098">
        <v>3.2368000000000001</v>
      </c>
      <c r="J6" s="1098">
        <v>4.2343000000000002</v>
      </c>
      <c r="K6" s="1098">
        <v>6.6013999999999999</v>
      </c>
      <c r="L6" s="1098">
        <v>7.1627999999999998</v>
      </c>
      <c r="M6" s="1098">
        <v>6.2702</v>
      </c>
      <c r="N6" s="1098">
        <v>67.688299999999998</v>
      </c>
      <c r="O6" s="1098">
        <v>100</v>
      </c>
    </row>
    <row r="7" spans="1:15">
      <c r="A7" s="1097" t="s">
        <v>1022</v>
      </c>
      <c r="B7" s="1079" t="s">
        <v>224</v>
      </c>
      <c r="C7" s="1071">
        <v>45995</v>
      </c>
      <c r="D7" s="1074" t="s">
        <v>1137</v>
      </c>
      <c r="E7" s="1098">
        <v>1.0456000000000001</v>
      </c>
      <c r="F7" s="1098">
        <v>2.2073999999999998</v>
      </c>
      <c r="G7" s="1098">
        <v>0</v>
      </c>
      <c r="H7" s="1098">
        <v>1.8588</v>
      </c>
      <c r="I7" s="1098">
        <v>0</v>
      </c>
      <c r="J7" s="1098">
        <v>0</v>
      </c>
      <c r="K7" s="1098">
        <v>2.2073999999999998</v>
      </c>
      <c r="L7" s="1098">
        <v>0</v>
      </c>
      <c r="M7" s="1098">
        <v>0</v>
      </c>
      <c r="N7" s="1098">
        <v>92.680899999999994</v>
      </c>
      <c r="O7" s="1098">
        <v>100</v>
      </c>
    </row>
    <row r="8" spans="1:15">
      <c r="A8" s="1097" t="str">
        <f t="shared" ref="A8:A27" si="0">A4</f>
        <v>PUNTO 1: ALIMENTACION 1° CLEANER TURNO_NOCHE 01-09-25</v>
      </c>
      <c r="B8" s="1079" t="s">
        <v>230</v>
      </c>
      <c r="C8" s="1071">
        <v>45996</v>
      </c>
      <c r="D8" s="1074" t="s">
        <v>1136</v>
      </c>
      <c r="E8" s="1098">
        <v>3.9744000000000002</v>
      </c>
      <c r="F8" s="1098">
        <v>3.7351999999999999</v>
      </c>
      <c r="G8" s="1098">
        <v>5.6397000000000004</v>
      </c>
      <c r="H8" s="1098">
        <v>1.9162999999999999</v>
      </c>
      <c r="I8" s="1098">
        <v>3.3307000000000002</v>
      </c>
      <c r="J8" s="1098">
        <v>3.7883</v>
      </c>
      <c r="K8" s="1098">
        <v>5.5659000000000001</v>
      </c>
      <c r="L8" s="1098">
        <v>6.7765000000000004</v>
      </c>
      <c r="M8" s="1098">
        <v>10.6328</v>
      </c>
      <c r="N8" s="1098">
        <v>54.6402</v>
      </c>
      <c r="O8" s="1098">
        <v>100</v>
      </c>
    </row>
    <row r="9" spans="1:15">
      <c r="A9" s="1097" t="str">
        <f t="shared" si="0"/>
        <v>PUNTO 2: CONCENTRADO 1° CLEANER TURNO_NOCHE 01-09-25</v>
      </c>
      <c r="B9" s="1079" t="s">
        <v>230</v>
      </c>
      <c r="C9" s="1071">
        <v>45996</v>
      </c>
      <c r="D9" s="1074" t="s">
        <v>1137</v>
      </c>
      <c r="E9" s="1098">
        <v>11.0169</v>
      </c>
      <c r="F9" s="1098">
        <v>0</v>
      </c>
      <c r="G9" s="1098">
        <v>5.9321999999999999</v>
      </c>
      <c r="H9" s="1098">
        <v>0</v>
      </c>
      <c r="I9" s="1098">
        <v>1.6949000000000001</v>
      </c>
      <c r="J9" s="1098">
        <v>0</v>
      </c>
      <c r="K9" s="1098">
        <v>0</v>
      </c>
      <c r="L9" s="1098">
        <v>13.5593</v>
      </c>
      <c r="M9" s="1098">
        <v>0</v>
      </c>
      <c r="N9" s="1098">
        <v>67.796599999999998</v>
      </c>
      <c r="O9" s="1098">
        <v>100</v>
      </c>
    </row>
    <row r="10" spans="1:15">
      <c r="A10" s="1097" t="str">
        <f t="shared" si="0"/>
        <v>PUNTO 5: CONCENTRADO CLNR SCV TURNO_NOCHE 01-09-25</v>
      </c>
      <c r="B10" s="1079" t="s">
        <v>230</v>
      </c>
      <c r="C10" s="1071">
        <v>45995</v>
      </c>
      <c r="D10" s="1074" t="s">
        <v>1136</v>
      </c>
      <c r="E10" s="1098">
        <v>0.80769999999999997</v>
      </c>
      <c r="F10" s="1098">
        <v>1.2419</v>
      </c>
      <c r="G10" s="1098">
        <v>3.0819999999999999</v>
      </c>
      <c r="H10" s="1098">
        <v>2.3077000000000001</v>
      </c>
      <c r="I10" s="1098">
        <v>3.1124000000000001</v>
      </c>
      <c r="J10" s="1098">
        <v>4.4089999999999998</v>
      </c>
      <c r="K10" s="1098">
        <v>6.4676999999999998</v>
      </c>
      <c r="L10" s="1098">
        <v>3.7044999999999999</v>
      </c>
      <c r="M10" s="1098">
        <v>9.2734000000000005</v>
      </c>
      <c r="N10" s="1098">
        <v>65.593800000000002</v>
      </c>
      <c r="O10" s="1098">
        <v>100</v>
      </c>
    </row>
    <row r="11" spans="1:15">
      <c r="A11" s="1097" t="str">
        <f t="shared" si="0"/>
        <v>PUNTO 8: RELAVE SCAVENGER TURNO_NOCHE 01-09-25</v>
      </c>
      <c r="B11" s="1079" t="s">
        <v>230</v>
      </c>
      <c r="C11" s="1071">
        <v>45995</v>
      </c>
      <c r="D11" s="1074" t="s">
        <v>1137</v>
      </c>
      <c r="E11" s="1098">
        <v>0</v>
      </c>
      <c r="F11" s="1098">
        <v>0</v>
      </c>
      <c r="G11" s="1098">
        <v>0</v>
      </c>
      <c r="H11" s="1098">
        <v>0</v>
      </c>
      <c r="I11" s="1098">
        <v>4.8193000000000001</v>
      </c>
      <c r="J11" s="1098">
        <v>10.843400000000001</v>
      </c>
      <c r="K11" s="1098">
        <v>0</v>
      </c>
      <c r="L11" s="1098">
        <v>0</v>
      </c>
      <c r="M11" s="1098">
        <v>0</v>
      </c>
      <c r="N11" s="1098">
        <v>84.337299999999999</v>
      </c>
      <c r="O11" s="1098">
        <v>100</v>
      </c>
    </row>
    <row r="12" spans="1:15">
      <c r="A12" s="1097" t="str">
        <f t="shared" si="0"/>
        <v>PUNTO 1: ALIMENTACION 1° CLEANER TURNO_NOCHE 01-09-25</v>
      </c>
      <c r="B12" s="1079" t="s">
        <v>232</v>
      </c>
      <c r="C12" s="1071">
        <v>45996</v>
      </c>
      <c r="D12" s="1074" t="s">
        <v>1136</v>
      </c>
      <c r="E12" s="1098">
        <v>10.6334</v>
      </c>
      <c r="F12" s="1098">
        <v>8.9719999999999995</v>
      </c>
      <c r="G12" s="1098">
        <v>8.5496999999999996</v>
      </c>
      <c r="H12" s="1098">
        <v>7.8010999999999999</v>
      </c>
      <c r="I12" s="1098">
        <v>3.7105999999999999</v>
      </c>
      <c r="J12" s="1098">
        <v>6.1984000000000004</v>
      </c>
      <c r="K12" s="1098">
        <v>7.8224999999999998</v>
      </c>
      <c r="L12" s="1098">
        <v>5.2282999999999999</v>
      </c>
      <c r="M12" s="1098">
        <v>7.3513000000000002</v>
      </c>
      <c r="N12" s="1098">
        <v>33.732599999999998</v>
      </c>
      <c r="O12" s="1098">
        <v>100</v>
      </c>
    </row>
    <row r="13" spans="1:15">
      <c r="A13" s="1097" t="str">
        <f t="shared" si="0"/>
        <v>PUNTO 2: CONCENTRADO 1° CLEANER TURNO_NOCHE 01-09-25</v>
      </c>
      <c r="B13" s="1079" t="s">
        <v>232</v>
      </c>
      <c r="C13" s="1071">
        <v>45996</v>
      </c>
      <c r="D13" s="1074" t="s">
        <v>1137</v>
      </c>
      <c r="E13" s="1098">
        <v>19.422000000000001</v>
      </c>
      <c r="F13" s="1098">
        <v>0</v>
      </c>
      <c r="G13" s="1098">
        <v>0</v>
      </c>
      <c r="H13" s="1098">
        <v>0</v>
      </c>
      <c r="I13" s="1098">
        <v>0</v>
      </c>
      <c r="J13" s="1098">
        <v>0</v>
      </c>
      <c r="K13" s="1098">
        <v>6.8785999999999996</v>
      </c>
      <c r="L13" s="1098">
        <v>12.7746</v>
      </c>
      <c r="M13" s="1098">
        <v>0</v>
      </c>
      <c r="N13" s="1098">
        <v>60.924900000000001</v>
      </c>
      <c r="O13" s="1098">
        <v>100</v>
      </c>
    </row>
    <row r="14" spans="1:15">
      <c r="A14" s="1097" t="str">
        <f t="shared" si="0"/>
        <v>PUNTO 5: CONCENTRADO CLNR SCV TURNO_NOCHE 01-09-25</v>
      </c>
      <c r="B14" s="1079" t="s">
        <v>232</v>
      </c>
      <c r="C14" s="1071">
        <v>45995</v>
      </c>
      <c r="D14" s="1074" t="s">
        <v>1136</v>
      </c>
      <c r="E14" s="1098">
        <v>3.8494999999999999</v>
      </c>
      <c r="F14" s="1098">
        <v>5.5961999999999996</v>
      </c>
      <c r="G14" s="1098">
        <v>5.7051999999999996</v>
      </c>
      <c r="H14" s="1098">
        <v>7.4954000000000001</v>
      </c>
      <c r="I14" s="1098">
        <v>8.6890000000000001</v>
      </c>
      <c r="J14" s="1098">
        <v>7.4454000000000002</v>
      </c>
      <c r="K14" s="1098">
        <v>5.4874000000000001</v>
      </c>
      <c r="L14" s="1098">
        <v>5.8585000000000003</v>
      </c>
      <c r="M14" s="1098">
        <v>3.8969</v>
      </c>
      <c r="N14" s="1098">
        <v>45.976500000000001</v>
      </c>
      <c r="O14" s="1098">
        <v>100</v>
      </c>
    </row>
    <row r="15" spans="1:15">
      <c r="A15" s="1097" t="str">
        <f t="shared" si="0"/>
        <v>PUNTO 8: RELAVE SCAVENGER TURNO_NOCHE 01-09-25</v>
      </c>
      <c r="B15" s="1079" t="s">
        <v>232</v>
      </c>
      <c r="C15" s="1071">
        <v>45995</v>
      </c>
      <c r="D15" s="1074" t="s">
        <v>1137</v>
      </c>
      <c r="E15" s="1098">
        <v>0</v>
      </c>
      <c r="F15" s="1098">
        <v>0</v>
      </c>
      <c r="G15" s="1098">
        <v>0</v>
      </c>
      <c r="H15" s="1098">
        <v>0</v>
      </c>
      <c r="I15" s="1098">
        <v>3.2267999999999999</v>
      </c>
      <c r="J15" s="1098">
        <v>0</v>
      </c>
      <c r="K15" s="1098">
        <v>13.714</v>
      </c>
      <c r="L15" s="1098">
        <v>0</v>
      </c>
      <c r="M15" s="1098">
        <v>0</v>
      </c>
      <c r="N15" s="1098">
        <v>83.059200000000004</v>
      </c>
      <c r="O15" s="1098">
        <v>100</v>
      </c>
    </row>
    <row r="16" spans="1:15">
      <c r="A16" s="1097" t="str">
        <f t="shared" si="0"/>
        <v>PUNTO 1: ALIMENTACION 1° CLEANER TURNO_NOCHE 01-09-25</v>
      </c>
      <c r="B16" s="1079" t="s">
        <v>231</v>
      </c>
      <c r="C16" s="1071">
        <v>45996</v>
      </c>
      <c r="D16" s="1074" t="s">
        <v>1136</v>
      </c>
      <c r="E16" s="1098">
        <v>10.511799999999999</v>
      </c>
      <c r="F16" s="1098">
        <v>11.932700000000001</v>
      </c>
      <c r="G16" s="1098">
        <v>6.8291000000000004</v>
      </c>
      <c r="H16" s="1098">
        <v>6.8581000000000003</v>
      </c>
      <c r="I16" s="1098">
        <v>6.7420999999999998</v>
      </c>
      <c r="J16" s="1098">
        <v>3.3927999999999998</v>
      </c>
      <c r="K16" s="1098">
        <v>2.5373000000000001</v>
      </c>
      <c r="L16" s="1098">
        <v>12.295199999999999</v>
      </c>
      <c r="M16" s="1098">
        <v>3.5087999999999999</v>
      </c>
      <c r="N16" s="1098">
        <v>35.392200000000003</v>
      </c>
      <c r="O16" s="1098">
        <v>100</v>
      </c>
    </row>
    <row r="17" spans="1:15">
      <c r="A17" s="1097" t="str">
        <f t="shared" si="0"/>
        <v>PUNTO 2: CONCENTRADO 1° CLEANER TURNO_NOCHE 01-09-25</v>
      </c>
      <c r="B17" s="1079" t="s">
        <v>231</v>
      </c>
      <c r="C17" s="1071">
        <v>45996</v>
      </c>
      <c r="D17" s="1074" t="s">
        <v>1137</v>
      </c>
      <c r="E17" s="1098">
        <v>38.271599999999999</v>
      </c>
      <c r="F17" s="1098">
        <v>0</v>
      </c>
      <c r="G17" s="1098">
        <v>17.283999999999999</v>
      </c>
      <c r="H17" s="1098">
        <v>0</v>
      </c>
      <c r="I17" s="1098">
        <v>0</v>
      </c>
      <c r="J17" s="1098">
        <v>0</v>
      </c>
      <c r="K17" s="1098">
        <v>3.7037</v>
      </c>
      <c r="L17" s="1098">
        <v>30.8642</v>
      </c>
      <c r="M17" s="1098">
        <v>0</v>
      </c>
      <c r="N17" s="1098">
        <v>9.8765000000000001</v>
      </c>
      <c r="O17" s="1098">
        <v>100</v>
      </c>
    </row>
    <row r="18" spans="1:15">
      <c r="A18" s="1097" t="str">
        <f t="shared" si="0"/>
        <v>PUNTO 5: CONCENTRADO CLNR SCV TURNO_NOCHE 01-09-25</v>
      </c>
      <c r="B18" s="1079" t="s">
        <v>231</v>
      </c>
      <c r="C18" s="1071">
        <v>45995</v>
      </c>
      <c r="D18" s="1074" t="s">
        <v>1136</v>
      </c>
      <c r="E18" s="1098">
        <v>2.0369000000000002</v>
      </c>
      <c r="F18" s="1098">
        <v>4.3242000000000003</v>
      </c>
      <c r="G18" s="1098">
        <v>5.17</v>
      </c>
      <c r="H18" s="1098">
        <v>5.7138</v>
      </c>
      <c r="I18" s="1098">
        <v>5.0406000000000004</v>
      </c>
      <c r="J18" s="1098">
        <v>6.1280999999999999</v>
      </c>
      <c r="K18" s="1098">
        <v>5.9208999999999996</v>
      </c>
      <c r="L18" s="1098">
        <v>4.7211999999999996</v>
      </c>
      <c r="M18" s="1098">
        <v>11.488</v>
      </c>
      <c r="N18" s="1098">
        <v>49.456200000000003</v>
      </c>
      <c r="O18" s="1098">
        <v>100</v>
      </c>
    </row>
    <row r="19" spans="1:15">
      <c r="A19" s="1097" t="str">
        <f t="shared" si="0"/>
        <v>PUNTO 8: RELAVE SCAVENGER TURNO_NOCHE 01-09-25</v>
      </c>
      <c r="B19" s="1079" t="s">
        <v>231</v>
      </c>
      <c r="C19" s="1071">
        <v>45995</v>
      </c>
      <c r="D19" s="1074" t="s">
        <v>1137</v>
      </c>
      <c r="E19" s="1098">
        <v>0</v>
      </c>
      <c r="F19" s="1098">
        <v>0</v>
      </c>
      <c r="G19" s="1098">
        <v>2.2471999999999999</v>
      </c>
      <c r="H19" s="1098">
        <v>0</v>
      </c>
      <c r="I19" s="1098">
        <v>6.7416</v>
      </c>
      <c r="J19" s="1098">
        <v>0</v>
      </c>
      <c r="K19" s="1098">
        <v>0</v>
      </c>
      <c r="L19" s="1098">
        <v>0</v>
      </c>
      <c r="M19" s="1098">
        <v>0</v>
      </c>
      <c r="N19" s="1098">
        <v>91.011200000000002</v>
      </c>
      <c r="O19" s="1098">
        <v>100</v>
      </c>
    </row>
    <row r="20" spans="1:15">
      <c r="A20" s="1097" t="str">
        <f t="shared" si="0"/>
        <v>PUNTO 1: ALIMENTACION 1° CLEANER TURNO_NOCHE 01-09-25</v>
      </c>
      <c r="B20" s="1079" t="s">
        <v>222</v>
      </c>
      <c r="C20" s="1071">
        <v>45996</v>
      </c>
      <c r="D20" s="1074" t="s">
        <v>1136</v>
      </c>
      <c r="E20" s="1098">
        <v>0.70199999999999996</v>
      </c>
      <c r="F20" s="1098">
        <v>1.2397</v>
      </c>
      <c r="G20" s="1098">
        <v>1.4222999999999999</v>
      </c>
      <c r="H20" s="1098">
        <v>1.7828999999999999</v>
      </c>
      <c r="I20" s="1098">
        <v>1.8632</v>
      </c>
      <c r="J20" s="1098">
        <v>1.8539000000000001</v>
      </c>
      <c r="K20" s="1098">
        <v>3.1191</v>
      </c>
      <c r="L20" s="1098">
        <v>4.0103999999999997</v>
      </c>
      <c r="M20" s="1098">
        <v>7.7245999999999997</v>
      </c>
      <c r="N20" s="1098">
        <v>76.281700000000001</v>
      </c>
      <c r="O20" s="1098">
        <v>100</v>
      </c>
    </row>
    <row r="21" spans="1:15">
      <c r="A21" s="1097" t="str">
        <f t="shared" si="0"/>
        <v>PUNTO 2: CONCENTRADO 1° CLEANER TURNO_NOCHE 01-09-25</v>
      </c>
      <c r="B21" s="1079" t="s">
        <v>222</v>
      </c>
      <c r="C21" s="1071">
        <v>45996</v>
      </c>
      <c r="D21" s="1074" t="s">
        <v>1137</v>
      </c>
      <c r="E21" s="1098">
        <v>0</v>
      </c>
      <c r="F21" s="1098">
        <v>3.1537000000000002</v>
      </c>
      <c r="G21" s="1098">
        <v>0</v>
      </c>
      <c r="H21" s="1098">
        <v>0</v>
      </c>
      <c r="I21" s="1098">
        <v>0</v>
      </c>
      <c r="J21" s="1098">
        <v>0</v>
      </c>
      <c r="K21" s="1098">
        <v>7.5305999999999997</v>
      </c>
      <c r="L21" s="1098">
        <v>1.7945</v>
      </c>
      <c r="M21" s="1098">
        <v>9.4853000000000005</v>
      </c>
      <c r="N21" s="1098">
        <v>78.035899999999998</v>
      </c>
      <c r="O21" s="1098">
        <v>100</v>
      </c>
    </row>
    <row r="22" spans="1:15">
      <c r="A22" s="1097" t="str">
        <f t="shared" si="0"/>
        <v>PUNTO 5: CONCENTRADO CLNR SCV TURNO_NOCHE 01-09-25</v>
      </c>
      <c r="B22" s="1079" t="s">
        <v>222</v>
      </c>
      <c r="C22" s="1071">
        <v>45995</v>
      </c>
      <c r="D22" s="1074" t="s">
        <v>1136</v>
      </c>
      <c r="E22" s="1098">
        <v>0.66869999999999996</v>
      </c>
      <c r="F22" s="1098">
        <v>1.3239000000000001</v>
      </c>
      <c r="G22" s="1098">
        <v>1.3138000000000001</v>
      </c>
      <c r="H22" s="1098">
        <v>2.4136000000000002</v>
      </c>
      <c r="I22" s="1098">
        <v>2.8452999999999999</v>
      </c>
      <c r="J22" s="1098">
        <v>3.5017</v>
      </c>
      <c r="K22" s="1098">
        <v>4.4699</v>
      </c>
      <c r="L22" s="1098">
        <v>6.2545000000000002</v>
      </c>
      <c r="M22" s="1098">
        <v>8.4009</v>
      </c>
      <c r="N22" s="1098">
        <v>68.807699999999997</v>
      </c>
      <c r="O22" s="1098">
        <v>100</v>
      </c>
    </row>
    <row r="23" spans="1:15">
      <c r="A23" s="1097" t="str">
        <f t="shared" si="0"/>
        <v>PUNTO 8: RELAVE SCAVENGER TURNO_NOCHE 01-09-25</v>
      </c>
      <c r="B23" s="1079" t="s">
        <v>222</v>
      </c>
      <c r="C23" s="1071">
        <v>45995</v>
      </c>
      <c r="D23" s="1074" t="s">
        <v>1137</v>
      </c>
      <c r="E23" s="1098">
        <v>2.29E-2</v>
      </c>
      <c r="F23" s="1098">
        <v>2.5682999999999998</v>
      </c>
      <c r="G23" s="1098">
        <v>1.1007</v>
      </c>
      <c r="H23" s="1098">
        <v>9.1700000000000004E-2</v>
      </c>
      <c r="I23" s="1098">
        <v>0</v>
      </c>
      <c r="J23" s="1098">
        <v>0</v>
      </c>
      <c r="K23" s="1098">
        <v>0</v>
      </c>
      <c r="L23" s="1098">
        <v>0</v>
      </c>
      <c r="M23" s="1098">
        <v>0</v>
      </c>
      <c r="N23" s="1098">
        <v>96.216300000000004</v>
      </c>
      <c r="O23" s="1098">
        <v>100</v>
      </c>
    </row>
    <row r="24" spans="1:15">
      <c r="A24" s="1097" t="str">
        <f t="shared" si="0"/>
        <v>PUNTO 1: ALIMENTACION 1° CLEANER TURNO_NOCHE 01-09-25</v>
      </c>
      <c r="B24" s="1079" t="s">
        <v>238</v>
      </c>
      <c r="C24" s="1071">
        <v>45996</v>
      </c>
      <c r="D24" s="1074" t="s">
        <v>1136</v>
      </c>
      <c r="E24" s="1098">
        <v>26.689699999999998</v>
      </c>
      <c r="F24" s="1098">
        <v>5.2145000000000001</v>
      </c>
      <c r="G24" s="1098">
        <v>6.7404000000000002</v>
      </c>
      <c r="H24" s="1098">
        <v>5.2328999999999999</v>
      </c>
      <c r="I24" s="1098">
        <v>4.4287000000000001</v>
      </c>
      <c r="J24" s="1098">
        <v>1.7185999999999999</v>
      </c>
      <c r="K24" s="1098">
        <v>1.3494999999999999</v>
      </c>
      <c r="L24" s="1098">
        <v>1.6929000000000001</v>
      </c>
      <c r="M24" s="1098">
        <v>1.0391999999999999</v>
      </c>
      <c r="N24" s="1098">
        <v>45.893500000000003</v>
      </c>
      <c r="O24" s="1098">
        <v>100</v>
      </c>
    </row>
    <row r="25" spans="1:15">
      <c r="A25" s="1097" t="str">
        <f t="shared" si="0"/>
        <v>PUNTO 2: CONCENTRADO 1° CLEANER TURNO_NOCHE 01-09-25</v>
      </c>
      <c r="B25" s="1079" t="s">
        <v>238</v>
      </c>
      <c r="C25" s="1071">
        <v>45996</v>
      </c>
      <c r="D25" s="1074" t="s">
        <v>1137</v>
      </c>
      <c r="E25" s="1098">
        <v>22.354700000000001</v>
      </c>
      <c r="F25" s="1098">
        <v>6.7064000000000004</v>
      </c>
      <c r="G25" s="1098">
        <v>1.1176999999999999</v>
      </c>
      <c r="H25" s="1098">
        <v>45.901600000000002</v>
      </c>
      <c r="I25" s="1098">
        <v>0</v>
      </c>
      <c r="J25" s="1098">
        <v>0</v>
      </c>
      <c r="K25" s="1098">
        <v>0</v>
      </c>
      <c r="L25" s="1098">
        <v>0</v>
      </c>
      <c r="M25" s="1098">
        <v>0</v>
      </c>
      <c r="N25" s="1098">
        <v>23.919499999999999</v>
      </c>
      <c r="O25" s="1098">
        <v>100</v>
      </c>
    </row>
    <row r="26" spans="1:15">
      <c r="A26" s="1097" t="str">
        <f t="shared" si="0"/>
        <v>PUNTO 5: CONCENTRADO CLNR SCV TURNO_NOCHE 01-09-25</v>
      </c>
      <c r="B26" s="1079" t="s">
        <v>238</v>
      </c>
      <c r="C26" s="1071">
        <v>45995</v>
      </c>
      <c r="D26" s="1074" t="s">
        <v>1136</v>
      </c>
      <c r="E26" s="1098">
        <v>9.0923999999999996</v>
      </c>
      <c r="F26" s="1098">
        <v>9.7015999999999991</v>
      </c>
      <c r="G26" s="1098">
        <v>11.448499999999999</v>
      </c>
      <c r="H26" s="1098">
        <v>1.4215</v>
      </c>
      <c r="I26" s="1098">
        <v>2.4207999999999998</v>
      </c>
      <c r="J26" s="1098">
        <v>3.8445999999999998</v>
      </c>
      <c r="K26" s="1098">
        <v>4.2346000000000004</v>
      </c>
      <c r="L26" s="1098">
        <v>7.0800999999999998</v>
      </c>
      <c r="M26" s="1098">
        <v>7.7793000000000001</v>
      </c>
      <c r="N26" s="1098">
        <v>42.976500000000001</v>
      </c>
      <c r="O26" s="1098">
        <v>100</v>
      </c>
    </row>
    <row r="27" spans="1:15">
      <c r="A27" s="1097" t="str">
        <f t="shared" si="0"/>
        <v>PUNTO 8: RELAVE SCAVENGER TURNO_NOCHE 01-09-25</v>
      </c>
      <c r="B27" s="1079" t="s">
        <v>238</v>
      </c>
      <c r="C27" s="1071">
        <v>45995</v>
      </c>
      <c r="D27" s="1074" t="s">
        <v>1137</v>
      </c>
      <c r="E27" s="1098">
        <v>0.94040000000000001</v>
      </c>
      <c r="F27" s="1098">
        <v>0</v>
      </c>
      <c r="G27" s="1098">
        <v>0</v>
      </c>
      <c r="H27" s="1098">
        <v>0</v>
      </c>
      <c r="I27" s="1098">
        <v>0</v>
      </c>
      <c r="J27" s="1098">
        <v>0</v>
      </c>
      <c r="K27" s="1098">
        <v>0</v>
      </c>
      <c r="L27" s="1098">
        <v>0</v>
      </c>
      <c r="M27" s="1098">
        <v>0</v>
      </c>
      <c r="N27" s="1098">
        <v>99.059600000000003</v>
      </c>
      <c r="O27" s="1098">
        <v>100</v>
      </c>
    </row>
    <row r="28" spans="1:15">
      <c r="B28" s="652"/>
      <c r="E28" s="652"/>
      <c r="F28" s="652"/>
      <c r="G28" s="652"/>
      <c r="H28" s="652"/>
      <c r="I28" s="652"/>
      <c r="J28" s="652"/>
      <c r="K28" s="652"/>
      <c r="L28" s="652"/>
      <c r="M28" s="652"/>
      <c r="N28" s="652"/>
    </row>
  </sheetData>
  <mergeCells count="2">
    <mergeCell ref="B1:B2"/>
    <mergeCell ref="E1:O2"/>
  </mergeCells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B6B08-D7DD-4C70-9B5D-B790786C3552}">
  <dimension ref="A1:AP159"/>
  <sheetViews>
    <sheetView workbookViewId="0"/>
  </sheetViews>
  <sheetFormatPr baseColWidth="10" defaultRowHeight="14.5"/>
  <cols>
    <col min="35" max="35" width="10.81640625" style="1124"/>
  </cols>
  <sheetData>
    <row r="1" spans="1:42">
      <c r="A1" s="1099" t="s">
        <v>248</v>
      </c>
      <c r="B1" s="1097" t="s">
        <v>233</v>
      </c>
      <c r="C1" s="1097" t="s">
        <v>220</v>
      </c>
      <c r="D1" s="1097" t="s">
        <v>223</v>
      </c>
      <c r="E1" s="1097" t="s">
        <v>249</v>
      </c>
      <c r="F1" s="1097" t="s">
        <v>221</v>
      </c>
      <c r="G1" s="1097" t="s">
        <v>234</v>
      </c>
      <c r="H1" s="1097" t="s">
        <v>242</v>
      </c>
      <c r="I1" s="1097" t="s">
        <v>225</v>
      </c>
      <c r="J1" s="1097" t="s">
        <v>12</v>
      </c>
      <c r="K1" s="1097" t="s">
        <v>236</v>
      </c>
      <c r="L1" s="1097" t="s">
        <v>227</v>
      </c>
      <c r="M1" s="1097" t="s">
        <v>2</v>
      </c>
      <c r="N1" s="1097" t="s">
        <v>232</v>
      </c>
      <c r="O1" s="1097" t="s">
        <v>230</v>
      </c>
      <c r="P1" s="1097" t="s">
        <v>238</v>
      </c>
      <c r="Q1" s="1097" t="s">
        <v>226</v>
      </c>
      <c r="R1" s="1097" t="s">
        <v>3</v>
      </c>
      <c r="S1" s="1097" t="s">
        <v>235</v>
      </c>
      <c r="T1" s="1097" t="s">
        <v>250</v>
      </c>
      <c r="U1" s="1097" t="s">
        <v>228</v>
      </c>
      <c r="V1" s="1097" t="s">
        <v>224</v>
      </c>
      <c r="W1" s="1097" t="s">
        <v>219</v>
      </c>
      <c r="X1" s="1097" t="s">
        <v>229</v>
      </c>
      <c r="Y1" s="1097" t="s">
        <v>222</v>
      </c>
      <c r="Z1" s="1097" t="s">
        <v>231</v>
      </c>
      <c r="AB1" s="1099" t="s">
        <v>248</v>
      </c>
      <c r="AC1" s="1097" t="s">
        <v>232</v>
      </c>
      <c r="AD1" s="1097" t="s">
        <v>230</v>
      </c>
      <c r="AE1" s="1097" t="s">
        <v>238</v>
      </c>
      <c r="AF1" s="1097" t="s">
        <v>224</v>
      </c>
      <c r="AG1" s="1097" t="s">
        <v>222</v>
      </c>
      <c r="AH1" s="1120" t="s">
        <v>231</v>
      </c>
      <c r="AI1" s="1118"/>
      <c r="AJ1" s="1122" t="s">
        <v>248</v>
      </c>
      <c r="AK1" s="1097" t="s">
        <v>232</v>
      </c>
      <c r="AL1" s="1097" t="s">
        <v>230</v>
      </c>
      <c r="AM1" s="1097" t="s">
        <v>238</v>
      </c>
      <c r="AN1" s="1097" t="s">
        <v>224</v>
      </c>
      <c r="AO1" s="1097" t="s">
        <v>222</v>
      </c>
      <c r="AP1" s="1120" t="s">
        <v>231</v>
      </c>
    </row>
    <row r="2" spans="1:42">
      <c r="A2" s="1100" t="s">
        <v>1134</v>
      </c>
      <c r="B2" s="1079"/>
      <c r="C2" s="1079"/>
      <c r="D2" s="1079"/>
      <c r="E2" s="1079"/>
      <c r="F2" s="1079"/>
      <c r="G2" s="1079"/>
      <c r="H2" s="1079"/>
      <c r="I2" s="1079"/>
      <c r="J2" s="1079"/>
      <c r="K2" s="1079"/>
      <c r="L2" s="1079"/>
      <c r="M2" s="1079"/>
      <c r="N2" s="1079"/>
      <c r="O2" s="1079"/>
      <c r="P2" s="1079"/>
      <c r="Q2" s="1079"/>
      <c r="R2" s="1079"/>
      <c r="S2" s="1079"/>
      <c r="T2" s="1079"/>
      <c r="U2" s="1079"/>
      <c r="V2" s="1079"/>
      <c r="W2" s="1079"/>
      <c r="X2" s="1079"/>
      <c r="Y2" s="1079"/>
      <c r="Z2" s="1079"/>
      <c r="AB2" s="1100" t="s">
        <v>1134</v>
      </c>
      <c r="AC2" s="1079"/>
      <c r="AD2" s="1079"/>
      <c r="AE2" s="1079"/>
      <c r="AF2" s="1079"/>
      <c r="AG2" s="1079"/>
      <c r="AH2" s="1112"/>
      <c r="AI2" s="1119"/>
      <c r="AJ2" s="1101" t="s">
        <v>251</v>
      </c>
      <c r="AK2" s="1102">
        <v>26.22</v>
      </c>
      <c r="AL2" s="1102">
        <v>42.99</v>
      </c>
      <c r="AM2" s="1102">
        <v>38.42</v>
      </c>
      <c r="AN2" s="1102">
        <v>33.29</v>
      </c>
      <c r="AO2" s="1102">
        <v>63.68</v>
      </c>
      <c r="AP2" s="1121">
        <v>28.37</v>
      </c>
    </row>
    <row r="3" spans="1:42">
      <c r="A3" s="1101" t="s">
        <v>251</v>
      </c>
      <c r="B3" s="1102">
        <v>17.62</v>
      </c>
      <c r="C3" s="1102">
        <v>18.68</v>
      </c>
      <c r="D3" s="1102">
        <v>33.83</v>
      </c>
      <c r="E3" s="1102">
        <v>98.77</v>
      </c>
      <c r="F3" s="1102">
        <v>14.45</v>
      </c>
      <c r="G3" s="1102">
        <v>5.99</v>
      </c>
      <c r="H3" s="1102">
        <v>0</v>
      </c>
      <c r="I3" s="1102">
        <v>40.35</v>
      </c>
      <c r="J3" s="1102">
        <v>11.11</v>
      </c>
      <c r="K3" s="1102">
        <v>61.96</v>
      </c>
      <c r="L3" s="1102">
        <v>4.3099999999999996</v>
      </c>
      <c r="M3" s="1102">
        <v>7.95</v>
      </c>
      <c r="N3" s="1102">
        <v>26.22</v>
      </c>
      <c r="O3" s="1102">
        <v>42.99</v>
      </c>
      <c r="P3" s="1102">
        <v>38.42</v>
      </c>
      <c r="Q3" s="1102">
        <v>35.119999999999997</v>
      </c>
      <c r="R3" s="1102">
        <v>75.22</v>
      </c>
      <c r="S3" s="1102">
        <v>27.81</v>
      </c>
      <c r="T3" s="1102">
        <v>80.010000000000005</v>
      </c>
      <c r="U3" s="1102">
        <v>4.21</v>
      </c>
      <c r="V3" s="1102">
        <v>33.29</v>
      </c>
      <c r="W3" s="1102">
        <v>15.33</v>
      </c>
      <c r="X3" s="1102">
        <v>9.3800000000000008</v>
      </c>
      <c r="Y3" s="1102">
        <v>63.68</v>
      </c>
      <c r="Z3" s="1102">
        <v>28.37</v>
      </c>
      <c r="AB3" s="1101" t="s">
        <v>251</v>
      </c>
      <c r="AC3" s="1102">
        <v>26.22</v>
      </c>
      <c r="AD3" s="1102">
        <v>42.99</v>
      </c>
      <c r="AE3" s="1102">
        <v>38.42</v>
      </c>
      <c r="AF3" s="1102">
        <v>33.29</v>
      </c>
      <c r="AG3" s="1102">
        <v>63.68</v>
      </c>
      <c r="AH3" s="1121">
        <v>28.37</v>
      </c>
      <c r="AI3" s="1119"/>
      <c r="AJ3" s="1101" t="s">
        <v>1116</v>
      </c>
      <c r="AK3" s="1102">
        <v>27.3</v>
      </c>
      <c r="AL3" s="1102">
        <v>30.47</v>
      </c>
      <c r="AM3" s="1102">
        <v>18.72</v>
      </c>
      <c r="AN3" s="1102">
        <v>32.479999999999997</v>
      </c>
      <c r="AO3" s="1102">
        <v>21.84</v>
      </c>
      <c r="AP3" s="1121">
        <v>22</v>
      </c>
    </row>
    <row r="4" spans="1:42">
      <c r="A4" s="1101" t="s">
        <v>1116</v>
      </c>
      <c r="B4" s="1102">
        <v>13.37</v>
      </c>
      <c r="C4" s="1102">
        <v>37.020000000000003</v>
      </c>
      <c r="D4" s="1102">
        <v>16.670000000000002</v>
      </c>
      <c r="E4" s="1102">
        <v>0</v>
      </c>
      <c r="F4" s="1102">
        <v>14.46</v>
      </c>
      <c r="G4" s="1102">
        <v>10.56</v>
      </c>
      <c r="H4" s="1102">
        <v>0</v>
      </c>
      <c r="I4" s="1102">
        <v>4.55</v>
      </c>
      <c r="J4" s="1102">
        <v>66.67</v>
      </c>
      <c r="K4" s="1102">
        <v>1.56</v>
      </c>
      <c r="L4" s="1102">
        <v>4.9800000000000004</v>
      </c>
      <c r="M4" s="1102">
        <v>10.71</v>
      </c>
      <c r="N4" s="1102">
        <v>27.3</v>
      </c>
      <c r="O4" s="1102">
        <v>30.47</v>
      </c>
      <c r="P4" s="1102">
        <v>18.72</v>
      </c>
      <c r="Q4" s="1102">
        <v>20.350000000000001</v>
      </c>
      <c r="R4" s="1102">
        <v>7.23</v>
      </c>
      <c r="S4" s="1102">
        <v>7.49</v>
      </c>
      <c r="T4" s="1102">
        <v>1.39</v>
      </c>
      <c r="U4" s="1102">
        <v>11.02</v>
      </c>
      <c r="V4" s="1102">
        <v>32.479999999999997</v>
      </c>
      <c r="W4" s="1102">
        <v>38.299999999999997</v>
      </c>
      <c r="X4" s="1102">
        <v>19.72</v>
      </c>
      <c r="Y4" s="1102">
        <v>21.84</v>
      </c>
      <c r="Z4" s="1102">
        <v>22</v>
      </c>
      <c r="AB4" s="1101" t="s">
        <v>1116</v>
      </c>
      <c r="AC4" s="1102">
        <v>27.3</v>
      </c>
      <c r="AD4" s="1102">
        <v>30.47</v>
      </c>
      <c r="AE4" s="1102">
        <v>18.72</v>
      </c>
      <c r="AF4" s="1102">
        <v>32.479999999999997</v>
      </c>
      <c r="AG4" s="1102">
        <v>21.84</v>
      </c>
      <c r="AH4" s="1121">
        <v>22</v>
      </c>
      <c r="AI4" s="1119"/>
      <c r="AJ4" s="1101" t="s">
        <v>253</v>
      </c>
      <c r="AK4" s="1102">
        <v>46.48</v>
      </c>
      <c r="AL4" s="1102">
        <v>26.55</v>
      </c>
      <c r="AM4" s="1102">
        <v>42.86</v>
      </c>
      <c r="AN4" s="1102">
        <v>34.229999999999997</v>
      </c>
      <c r="AO4" s="1102">
        <v>14.48</v>
      </c>
      <c r="AP4" s="1121">
        <v>49.63</v>
      </c>
    </row>
    <row r="5" spans="1:42">
      <c r="A5" s="1103" t="s">
        <v>233</v>
      </c>
      <c r="B5" s="1079"/>
      <c r="C5" s="1079">
        <v>0</v>
      </c>
      <c r="D5" s="1079">
        <v>0.01</v>
      </c>
      <c r="E5" s="1079">
        <v>0</v>
      </c>
      <c r="F5" s="1079">
        <v>0</v>
      </c>
      <c r="G5" s="1079">
        <v>0</v>
      </c>
      <c r="H5" s="1079">
        <v>0</v>
      </c>
      <c r="I5" s="1079">
        <v>0</v>
      </c>
      <c r="J5" s="1079">
        <v>0</v>
      </c>
      <c r="K5" s="1079">
        <v>0</v>
      </c>
      <c r="L5" s="1079">
        <v>0</v>
      </c>
      <c r="M5" s="1079">
        <v>0</v>
      </c>
      <c r="N5" s="1079">
        <v>0</v>
      </c>
      <c r="O5" s="1079">
        <v>0</v>
      </c>
      <c r="P5" s="1079">
        <v>0</v>
      </c>
      <c r="Q5" s="1079">
        <v>0</v>
      </c>
      <c r="R5" s="1079">
        <v>0</v>
      </c>
      <c r="S5" s="1079">
        <v>0</v>
      </c>
      <c r="T5" s="1079">
        <v>0</v>
      </c>
      <c r="U5" s="1079">
        <v>0</v>
      </c>
      <c r="V5" s="1079">
        <v>0</v>
      </c>
      <c r="W5" s="1079">
        <v>0.01</v>
      </c>
      <c r="X5" s="1079">
        <v>0</v>
      </c>
      <c r="Y5" s="1079">
        <v>0.11</v>
      </c>
      <c r="Z5" s="1079">
        <v>0</v>
      </c>
      <c r="AB5" s="1103" t="s">
        <v>233</v>
      </c>
      <c r="AC5" s="1079">
        <v>0</v>
      </c>
      <c r="AD5" s="1079">
        <v>0</v>
      </c>
      <c r="AE5" s="1079">
        <v>0</v>
      </c>
      <c r="AF5" s="1079">
        <v>0</v>
      </c>
      <c r="AG5" s="1079">
        <v>0.11</v>
      </c>
      <c r="AH5" s="1112">
        <v>0</v>
      </c>
      <c r="AI5" s="1119"/>
    </row>
    <row r="6" spans="1:42">
      <c r="A6" s="1103" t="s">
        <v>220</v>
      </c>
      <c r="B6" s="1079">
        <v>11.37</v>
      </c>
      <c r="C6" s="1079"/>
      <c r="D6" s="1079">
        <v>8.91</v>
      </c>
      <c r="E6" s="1079">
        <v>0</v>
      </c>
      <c r="F6" s="1079">
        <v>7.01</v>
      </c>
      <c r="G6" s="1079">
        <v>1.55</v>
      </c>
      <c r="H6" s="1079">
        <v>0</v>
      </c>
      <c r="I6" s="1079">
        <v>0.17</v>
      </c>
      <c r="J6" s="1079">
        <v>0</v>
      </c>
      <c r="K6" s="1079">
        <v>0</v>
      </c>
      <c r="L6" s="1079">
        <v>0.31</v>
      </c>
      <c r="M6" s="1079">
        <v>3.98</v>
      </c>
      <c r="N6" s="1079">
        <v>6.31</v>
      </c>
      <c r="O6" s="1079">
        <v>14.84</v>
      </c>
      <c r="P6" s="1079">
        <v>8.1999999999999993</v>
      </c>
      <c r="Q6" s="1079">
        <v>7.05</v>
      </c>
      <c r="R6" s="1079">
        <v>0.56999999999999995</v>
      </c>
      <c r="S6" s="1079">
        <v>1.6</v>
      </c>
      <c r="T6" s="1079">
        <v>0</v>
      </c>
      <c r="U6" s="1079">
        <v>1.84</v>
      </c>
      <c r="V6" s="1079">
        <v>24.14</v>
      </c>
      <c r="W6" s="1079">
        <v>32.19</v>
      </c>
      <c r="X6" s="1079">
        <v>7.78</v>
      </c>
      <c r="Y6" s="1079">
        <v>6.14</v>
      </c>
      <c r="Z6" s="1079">
        <v>3.32</v>
      </c>
      <c r="AB6" s="1103" t="s">
        <v>220</v>
      </c>
      <c r="AC6" s="1079">
        <v>6.31</v>
      </c>
      <c r="AD6" s="1079">
        <v>14.84</v>
      </c>
      <c r="AE6" s="1079">
        <v>8.1999999999999993</v>
      </c>
      <c r="AF6" s="1079">
        <v>24.14</v>
      </c>
      <c r="AG6" s="1079">
        <v>6.14</v>
      </c>
      <c r="AH6" s="1112">
        <v>3.32</v>
      </c>
      <c r="AI6" s="1119"/>
      <c r="AJ6" s="1123" t="s">
        <v>220</v>
      </c>
      <c r="AK6" s="1079">
        <v>7.84</v>
      </c>
      <c r="AL6" s="1079">
        <v>4.2300000000000004</v>
      </c>
      <c r="AM6" s="1079">
        <v>10.33</v>
      </c>
      <c r="AN6" s="1079">
        <v>8.56</v>
      </c>
      <c r="AO6" s="1079">
        <v>8.77</v>
      </c>
    </row>
    <row r="7" spans="1:42">
      <c r="A7" s="1103" t="s">
        <v>223</v>
      </c>
      <c r="B7" s="1079">
        <v>1.1299999999999999</v>
      </c>
      <c r="C7" s="1079">
        <v>1.21</v>
      </c>
      <c r="D7" s="1079"/>
      <c r="E7" s="1079">
        <v>0</v>
      </c>
      <c r="F7" s="1079">
        <v>0.39</v>
      </c>
      <c r="G7" s="1079">
        <v>0</v>
      </c>
      <c r="H7" s="1079">
        <v>0</v>
      </c>
      <c r="I7" s="1079">
        <v>0</v>
      </c>
      <c r="J7" s="1079">
        <v>0</v>
      </c>
      <c r="K7" s="1079">
        <v>0</v>
      </c>
      <c r="L7" s="1079">
        <v>0</v>
      </c>
      <c r="M7" s="1079">
        <v>0.15</v>
      </c>
      <c r="N7" s="1079">
        <v>0.12</v>
      </c>
      <c r="O7" s="1079">
        <v>0.81</v>
      </c>
      <c r="P7" s="1079">
        <v>0.17</v>
      </c>
      <c r="Q7" s="1079">
        <v>1.32</v>
      </c>
      <c r="R7" s="1079">
        <v>0</v>
      </c>
      <c r="S7" s="1079">
        <v>0</v>
      </c>
      <c r="T7" s="1079">
        <v>0</v>
      </c>
      <c r="U7" s="1079">
        <v>0</v>
      </c>
      <c r="V7" s="1079">
        <v>0.25</v>
      </c>
      <c r="W7" s="1079">
        <v>0.18</v>
      </c>
      <c r="X7" s="1079">
        <v>0.75</v>
      </c>
      <c r="Y7" s="1079">
        <v>0.44</v>
      </c>
      <c r="Z7" s="1079">
        <v>0.01</v>
      </c>
      <c r="AB7" s="1103" t="s">
        <v>223</v>
      </c>
      <c r="AC7" s="1079">
        <v>0.12</v>
      </c>
      <c r="AD7" s="1079">
        <v>0.81</v>
      </c>
      <c r="AE7" s="1079">
        <v>0.17</v>
      </c>
      <c r="AF7" s="1079">
        <v>0.25</v>
      </c>
      <c r="AG7" s="1079">
        <v>0.44</v>
      </c>
      <c r="AH7" s="1112">
        <v>0.01</v>
      </c>
      <c r="AI7" s="1119"/>
      <c r="AJ7" s="1123" t="s">
        <v>219</v>
      </c>
      <c r="AK7" s="1079">
        <v>0</v>
      </c>
      <c r="AL7" s="1079">
        <v>5.71</v>
      </c>
      <c r="AM7" s="1079">
        <v>3.27</v>
      </c>
      <c r="AN7" s="1079">
        <v>0.98</v>
      </c>
      <c r="AO7" s="1079">
        <v>0</v>
      </c>
    </row>
    <row r="8" spans="1:42">
      <c r="A8" s="1103" t="s">
        <v>221</v>
      </c>
      <c r="B8" s="1079">
        <v>0</v>
      </c>
      <c r="C8" s="1079">
        <v>0.3</v>
      </c>
      <c r="D8" s="1079">
        <v>2.39</v>
      </c>
      <c r="E8" s="1079">
        <v>0</v>
      </c>
      <c r="F8" s="1079"/>
      <c r="G8" s="1079">
        <v>0</v>
      </c>
      <c r="H8" s="1079">
        <v>0</v>
      </c>
      <c r="I8" s="1079">
        <v>0</v>
      </c>
      <c r="J8" s="1079">
        <v>0</v>
      </c>
      <c r="K8" s="1079">
        <v>0.28999999999999998</v>
      </c>
      <c r="L8" s="1079">
        <v>0</v>
      </c>
      <c r="M8" s="1079">
        <v>1.48</v>
      </c>
      <c r="N8" s="1079">
        <v>1.03</v>
      </c>
      <c r="O8" s="1079">
        <v>0.06</v>
      </c>
      <c r="P8" s="1079">
        <v>0</v>
      </c>
      <c r="Q8" s="1079">
        <v>0</v>
      </c>
      <c r="R8" s="1079">
        <v>0</v>
      </c>
      <c r="S8" s="1079">
        <v>0</v>
      </c>
      <c r="T8" s="1079">
        <v>0</v>
      </c>
      <c r="U8" s="1079">
        <v>0</v>
      </c>
      <c r="V8" s="1079">
        <v>0.52</v>
      </c>
      <c r="W8" s="1079">
        <v>0.19</v>
      </c>
      <c r="X8" s="1079">
        <v>0</v>
      </c>
      <c r="Y8" s="1079">
        <v>0.18</v>
      </c>
      <c r="Z8" s="1079">
        <v>0</v>
      </c>
      <c r="AB8" s="1103" t="s">
        <v>221</v>
      </c>
      <c r="AC8" s="1079">
        <v>1.03</v>
      </c>
      <c r="AD8" s="1079">
        <v>0.06</v>
      </c>
      <c r="AE8" s="1079">
        <v>0</v>
      </c>
      <c r="AF8" s="1079">
        <v>0.52</v>
      </c>
      <c r="AG8" s="1079">
        <v>0.18</v>
      </c>
      <c r="AH8" s="1112">
        <v>0</v>
      </c>
      <c r="AI8" s="1119"/>
      <c r="AJ8" s="1123" t="s">
        <v>230</v>
      </c>
      <c r="AK8" s="1079">
        <v>0.65</v>
      </c>
      <c r="AL8" s="1079"/>
      <c r="AM8" s="1079">
        <v>0</v>
      </c>
      <c r="AN8" s="1079">
        <v>0</v>
      </c>
      <c r="AO8" s="1079">
        <v>12.09</v>
      </c>
    </row>
    <row r="9" spans="1:42">
      <c r="A9" s="1103" t="s">
        <v>234</v>
      </c>
      <c r="B9" s="1079">
        <v>0</v>
      </c>
      <c r="C9" s="1079">
        <v>0</v>
      </c>
      <c r="D9" s="1079">
        <v>0</v>
      </c>
      <c r="E9" s="1079">
        <v>0</v>
      </c>
      <c r="F9" s="1079">
        <v>0</v>
      </c>
      <c r="G9" s="1079"/>
      <c r="H9" s="1079">
        <v>0</v>
      </c>
      <c r="I9" s="1079">
        <v>0</v>
      </c>
      <c r="J9" s="1079">
        <v>0</v>
      </c>
      <c r="K9" s="1079">
        <v>0</v>
      </c>
      <c r="L9" s="1079">
        <v>0</v>
      </c>
      <c r="M9" s="1079">
        <v>0.06</v>
      </c>
      <c r="N9" s="1079">
        <v>0</v>
      </c>
      <c r="O9" s="1079">
        <v>0</v>
      </c>
      <c r="P9" s="1079">
        <v>0</v>
      </c>
      <c r="Q9" s="1079">
        <v>0</v>
      </c>
      <c r="R9" s="1079">
        <v>0</v>
      </c>
      <c r="S9" s="1079">
        <v>0</v>
      </c>
      <c r="T9" s="1079">
        <v>0</v>
      </c>
      <c r="U9" s="1079">
        <v>0</v>
      </c>
      <c r="V9" s="1079">
        <v>0</v>
      </c>
      <c r="W9" s="1079">
        <v>0.01</v>
      </c>
      <c r="X9" s="1079">
        <v>0</v>
      </c>
      <c r="Y9" s="1079">
        <v>0</v>
      </c>
      <c r="Z9" s="1079">
        <v>0</v>
      </c>
      <c r="AB9" s="1103" t="s">
        <v>234</v>
      </c>
      <c r="AC9" s="1079">
        <v>0</v>
      </c>
      <c r="AD9" s="1079">
        <v>0</v>
      </c>
      <c r="AE9" s="1079">
        <v>0</v>
      </c>
      <c r="AF9" s="1079">
        <v>0</v>
      </c>
      <c r="AG9" s="1079">
        <v>0</v>
      </c>
      <c r="AH9" s="1112">
        <v>0</v>
      </c>
      <c r="AI9" s="1119"/>
      <c r="AJ9" s="1123" t="s">
        <v>224</v>
      </c>
      <c r="AK9" s="1079">
        <v>2.83</v>
      </c>
      <c r="AL9" s="1079">
        <v>0</v>
      </c>
      <c r="AM9" s="1079"/>
      <c r="AN9" s="1079">
        <v>10.77</v>
      </c>
      <c r="AO9" s="1079">
        <v>2.13</v>
      </c>
    </row>
    <row r="10" spans="1:42">
      <c r="A10" s="1103" t="s">
        <v>225</v>
      </c>
      <c r="B10" s="1079">
        <v>0</v>
      </c>
      <c r="C10" s="1079">
        <v>0.04</v>
      </c>
      <c r="D10" s="1079">
        <v>0</v>
      </c>
      <c r="E10" s="1079">
        <v>0</v>
      </c>
      <c r="F10" s="1079">
        <v>0</v>
      </c>
      <c r="G10" s="1079">
        <v>0</v>
      </c>
      <c r="H10" s="1079">
        <v>0</v>
      </c>
      <c r="I10" s="1079"/>
      <c r="J10" s="1079">
        <v>0</v>
      </c>
      <c r="K10" s="1079">
        <v>0</v>
      </c>
      <c r="L10" s="1079">
        <v>0</v>
      </c>
      <c r="M10" s="1079">
        <v>0</v>
      </c>
      <c r="N10" s="1079">
        <v>0</v>
      </c>
      <c r="O10" s="1079">
        <v>0</v>
      </c>
      <c r="P10" s="1079">
        <v>0</v>
      </c>
      <c r="Q10" s="1079">
        <v>0</v>
      </c>
      <c r="R10" s="1079">
        <v>0</v>
      </c>
      <c r="S10" s="1079">
        <v>0</v>
      </c>
      <c r="T10" s="1079">
        <v>0</v>
      </c>
      <c r="U10" s="1079">
        <v>0</v>
      </c>
      <c r="V10" s="1079">
        <v>0</v>
      </c>
      <c r="W10" s="1079">
        <v>0</v>
      </c>
      <c r="X10" s="1079">
        <v>0</v>
      </c>
      <c r="Y10" s="1079">
        <v>0.03</v>
      </c>
      <c r="Z10" s="1079">
        <v>0</v>
      </c>
      <c r="AB10" s="1103" t="s">
        <v>225</v>
      </c>
      <c r="AC10" s="1079">
        <v>0</v>
      </c>
      <c r="AD10" s="1079">
        <v>0</v>
      </c>
      <c r="AE10" s="1079">
        <v>0</v>
      </c>
      <c r="AF10" s="1079">
        <v>0</v>
      </c>
      <c r="AG10" s="1079">
        <v>0.03</v>
      </c>
      <c r="AH10" s="1112">
        <v>0</v>
      </c>
      <c r="AI10" s="1119"/>
      <c r="AJ10" s="1123" t="s">
        <v>231</v>
      </c>
      <c r="AK10" s="1079">
        <v>6.54</v>
      </c>
      <c r="AL10" s="1079">
        <v>1.1399999999999999</v>
      </c>
      <c r="AM10" s="1079">
        <v>0.4</v>
      </c>
      <c r="AN10" s="1079">
        <v>0</v>
      </c>
      <c r="AO10" s="1079"/>
    </row>
    <row r="11" spans="1:42">
      <c r="A11" s="1103" t="s">
        <v>12</v>
      </c>
      <c r="B11" s="1079">
        <v>0</v>
      </c>
      <c r="C11" s="1079">
        <v>0</v>
      </c>
      <c r="D11" s="1079">
        <v>0</v>
      </c>
      <c r="E11" s="1079">
        <v>0</v>
      </c>
      <c r="F11" s="1079">
        <v>0</v>
      </c>
      <c r="G11" s="1079">
        <v>0</v>
      </c>
      <c r="H11" s="1079">
        <v>0</v>
      </c>
      <c r="I11" s="1079">
        <v>0</v>
      </c>
      <c r="J11" s="1079"/>
      <c r="K11" s="1079">
        <v>0</v>
      </c>
      <c r="L11" s="1079">
        <v>0</v>
      </c>
      <c r="M11" s="1079">
        <v>0</v>
      </c>
      <c r="N11" s="1079">
        <v>0</v>
      </c>
      <c r="O11" s="1079">
        <v>0</v>
      </c>
      <c r="P11" s="1079">
        <v>0</v>
      </c>
      <c r="Q11" s="1079">
        <v>0</v>
      </c>
      <c r="R11" s="1079">
        <v>0</v>
      </c>
      <c r="S11" s="1079">
        <v>0</v>
      </c>
      <c r="T11" s="1079">
        <v>0</v>
      </c>
      <c r="U11" s="1079">
        <v>0</v>
      </c>
      <c r="V11" s="1079">
        <v>0</v>
      </c>
      <c r="W11" s="1079">
        <v>0</v>
      </c>
      <c r="X11" s="1079">
        <v>0</v>
      </c>
      <c r="Y11" s="1079">
        <v>0.03</v>
      </c>
      <c r="Z11" s="1079">
        <v>0</v>
      </c>
      <c r="AB11" s="1103" t="s">
        <v>12</v>
      </c>
      <c r="AC11" s="1079">
        <v>0</v>
      </c>
      <c r="AD11" s="1079">
        <v>0</v>
      </c>
      <c r="AE11" s="1079">
        <v>0</v>
      </c>
      <c r="AF11" s="1079">
        <v>0</v>
      </c>
      <c r="AG11" s="1079">
        <v>0.03</v>
      </c>
      <c r="AH11" s="1112">
        <v>0</v>
      </c>
      <c r="AI11" s="1119"/>
    </row>
    <row r="12" spans="1:42">
      <c r="A12" s="1103" t="s">
        <v>236</v>
      </c>
      <c r="B12" s="1079">
        <v>0</v>
      </c>
      <c r="C12" s="1079">
        <v>0</v>
      </c>
      <c r="D12" s="1079">
        <v>0</v>
      </c>
      <c r="E12" s="1079">
        <v>0</v>
      </c>
      <c r="F12" s="1079">
        <v>0.01</v>
      </c>
      <c r="G12" s="1079">
        <v>0</v>
      </c>
      <c r="H12" s="1079">
        <v>0</v>
      </c>
      <c r="I12" s="1079">
        <v>0</v>
      </c>
      <c r="J12" s="1079">
        <v>0</v>
      </c>
      <c r="K12" s="1079"/>
      <c r="L12" s="1079">
        <v>0</v>
      </c>
      <c r="M12" s="1079">
        <v>0</v>
      </c>
      <c r="N12" s="1079">
        <v>0</v>
      </c>
      <c r="O12" s="1079">
        <v>0</v>
      </c>
      <c r="P12" s="1079">
        <v>0</v>
      </c>
      <c r="Q12" s="1079">
        <v>0</v>
      </c>
      <c r="R12" s="1079">
        <v>0</v>
      </c>
      <c r="S12" s="1079">
        <v>0</v>
      </c>
      <c r="T12" s="1079">
        <v>0</v>
      </c>
      <c r="U12" s="1079">
        <v>0</v>
      </c>
      <c r="V12" s="1079">
        <v>0</v>
      </c>
      <c r="W12" s="1079">
        <v>0.03</v>
      </c>
      <c r="X12" s="1079">
        <v>0</v>
      </c>
      <c r="Y12" s="1079">
        <v>0</v>
      </c>
      <c r="Z12" s="1079">
        <v>0</v>
      </c>
      <c r="AB12" s="1103" t="s">
        <v>236</v>
      </c>
      <c r="AC12" s="1079">
        <v>0</v>
      </c>
      <c r="AD12" s="1079">
        <v>0</v>
      </c>
      <c r="AE12" s="1079">
        <v>0</v>
      </c>
      <c r="AF12" s="1079">
        <v>0</v>
      </c>
      <c r="AG12" s="1079">
        <v>0</v>
      </c>
      <c r="AH12" s="1112">
        <v>0</v>
      </c>
      <c r="AI12" s="1119"/>
    </row>
    <row r="13" spans="1:42">
      <c r="A13" s="1103" t="s">
        <v>227</v>
      </c>
      <c r="B13" s="1079">
        <v>0</v>
      </c>
      <c r="C13" s="1079">
        <v>0.02</v>
      </c>
      <c r="D13" s="1079">
        <v>0</v>
      </c>
      <c r="E13" s="1079">
        <v>0</v>
      </c>
      <c r="F13" s="1079">
        <v>0</v>
      </c>
      <c r="G13" s="1079">
        <v>0</v>
      </c>
      <c r="H13" s="1079">
        <v>0</v>
      </c>
      <c r="I13" s="1079">
        <v>0</v>
      </c>
      <c r="J13" s="1079">
        <v>0</v>
      </c>
      <c r="K13" s="1079">
        <v>0</v>
      </c>
      <c r="L13" s="1079"/>
      <c r="M13" s="1079">
        <v>0.33</v>
      </c>
      <c r="N13" s="1079">
        <v>0</v>
      </c>
      <c r="O13" s="1079">
        <v>0</v>
      </c>
      <c r="P13" s="1079">
        <v>0</v>
      </c>
      <c r="Q13" s="1079">
        <v>0</v>
      </c>
      <c r="R13" s="1079">
        <v>0</v>
      </c>
      <c r="S13" s="1079">
        <v>0</v>
      </c>
      <c r="T13" s="1079">
        <v>0</v>
      </c>
      <c r="U13" s="1079">
        <v>0</v>
      </c>
      <c r="V13" s="1079">
        <v>0.04</v>
      </c>
      <c r="W13" s="1079">
        <v>0.02</v>
      </c>
      <c r="X13" s="1079">
        <v>0</v>
      </c>
      <c r="Y13" s="1079">
        <v>0</v>
      </c>
      <c r="Z13" s="1079">
        <v>0</v>
      </c>
      <c r="AB13" s="1103" t="s">
        <v>227</v>
      </c>
      <c r="AC13" s="1079">
        <v>0</v>
      </c>
      <c r="AD13" s="1079">
        <v>0</v>
      </c>
      <c r="AE13" s="1079">
        <v>0</v>
      </c>
      <c r="AF13" s="1079">
        <v>0.04</v>
      </c>
      <c r="AG13" s="1079">
        <v>0</v>
      </c>
      <c r="AH13" s="1112">
        <v>0</v>
      </c>
      <c r="AI13" s="1119"/>
    </row>
    <row r="14" spans="1:42">
      <c r="A14" s="1103" t="s">
        <v>2</v>
      </c>
      <c r="B14" s="1079">
        <v>0</v>
      </c>
      <c r="C14" s="1079">
        <v>0.64</v>
      </c>
      <c r="D14" s="1079">
        <v>0.24</v>
      </c>
      <c r="E14" s="1079">
        <v>0</v>
      </c>
      <c r="F14" s="1079">
        <v>1.04</v>
      </c>
      <c r="G14" s="1079">
        <v>1.94</v>
      </c>
      <c r="H14" s="1079">
        <v>0</v>
      </c>
      <c r="I14" s="1079">
        <v>0</v>
      </c>
      <c r="J14" s="1079">
        <v>0</v>
      </c>
      <c r="K14" s="1079">
        <v>0</v>
      </c>
      <c r="L14" s="1079">
        <v>2.75</v>
      </c>
      <c r="M14" s="1079"/>
      <c r="N14" s="1079">
        <v>0.73</v>
      </c>
      <c r="O14" s="1079">
        <v>0</v>
      </c>
      <c r="P14" s="1079">
        <v>0.25</v>
      </c>
      <c r="Q14" s="1079">
        <v>0</v>
      </c>
      <c r="R14" s="1079">
        <v>0</v>
      </c>
      <c r="S14" s="1079">
        <v>0</v>
      </c>
      <c r="T14" s="1079">
        <v>0</v>
      </c>
      <c r="U14" s="1079">
        <v>0</v>
      </c>
      <c r="V14" s="1079">
        <v>0.43</v>
      </c>
      <c r="W14" s="1079">
        <v>0.3</v>
      </c>
      <c r="X14" s="1079">
        <v>0</v>
      </c>
      <c r="Y14" s="1079">
        <v>0.04</v>
      </c>
      <c r="Z14" s="1079">
        <v>0</v>
      </c>
      <c r="AB14" s="1103" t="s">
        <v>2</v>
      </c>
      <c r="AC14" s="1079">
        <v>0.73</v>
      </c>
      <c r="AD14" s="1079">
        <v>0</v>
      </c>
      <c r="AE14" s="1079">
        <v>0.25</v>
      </c>
      <c r="AF14" s="1079">
        <v>0.43</v>
      </c>
      <c r="AG14" s="1079">
        <v>0.04</v>
      </c>
      <c r="AH14" s="1112">
        <v>0</v>
      </c>
      <c r="AI14" s="1119"/>
    </row>
    <row r="15" spans="1:42">
      <c r="A15" s="1103" t="s">
        <v>232</v>
      </c>
      <c r="B15" s="1079">
        <v>0</v>
      </c>
      <c r="C15" s="1079">
        <v>0.44</v>
      </c>
      <c r="D15" s="1079">
        <v>0.08</v>
      </c>
      <c r="E15" s="1079">
        <v>0</v>
      </c>
      <c r="F15" s="1079">
        <v>1.32</v>
      </c>
      <c r="G15" s="1079">
        <v>0</v>
      </c>
      <c r="H15" s="1079">
        <v>0</v>
      </c>
      <c r="I15" s="1079">
        <v>0</v>
      </c>
      <c r="J15" s="1079">
        <v>0</v>
      </c>
      <c r="K15" s="1079">
        <v>0</v>
      </c>
      <c r="L15" s="1079">
        <v>0</v>
      </c>
      <c r="M15" s="1079">
        <v>0.37</v>
      </c>
      <c r="N15" s="1079"/>
      <c r="O15" s="1079">
        <v>0.92</v>
      </c>
      <c r="P15" s="1079">
        <v>0.08</v>
      </c>
      <c r="Q15" s="1079">
        <v>0.55000000000000004</v>
      </c>
      <c r="R15" s="1079">
        <v>0</v>
      </c>
      <c r="S15" s="1079">
        <v>0</v>
      </c>
      <c r="T15" s="1079">
        <v>0</v>
      </c>
      <c r="U15" s="1079">
        <v>0</v>
      </c>
      <c r="V15" s="1079">
        <v>0.68</v>
      </c>
      <c r="W15" s="1079">
        <v>0.2</v>
      </c>
      <c r="X15" s="1079">
        <v>0</v>
      </c>
      <c r="Y15" s="1079">
        <v>1.22</v>
      </c>
      <c r="Z15" s="1079">
        <v>3.18</v>
      </c>
      <c r="AB15" s="1103" t="s">
        <v>232</v>
      </c>
      <c r="AC15" s="1079"/>
      <c r="AD15" s="1079">
        <v>0.92</v>
      </c>
      <c r="AE15" s="1079">
        <v>0.08</v>
      </c>
      <c r="AF15" s="1079">
        <v>0.68</v>
      </c>
      <c r="AG15" s="1079">
        <v>1.22</v>
      </c>
      <c r="AH15" s="1112">
        <v>3.18</v>
      </c>
      <c r="AI15" s="1119"/>
    </row>
    <row r="16" spans="1:42">
      <c r="A16" s="1103" t="s">
        <v>230</v>
      </c>
      <c r="B16" s="1079">
        <v>0</v>
      </c>
      <c r="C16" s="1079">
        <v>0.99</v>
      </c>
      <c r="D16" s="1079">
        <v>0.36</v>
      </c>
      <c r="E16" s="1079">
        <v>0</v>
      </c>
      <c r="F16" s="1079">
        <v>0.12</v>
      </c>
      <c r="G16" s="1079">
        <v>0</v>
      </c>
      <c r="H16" s="1079">
        <v>0</v>
      </c>
      <c r="I16" s="1079">
        <v>0</v>
      </c>
      <c r="J16" s="1079">
        <v>0</v>
      </c>
      <c r="K16" s="1079">
        <v>0</v>
      </c>
      <c r="L16" s="1079">
        <v>0</v>
      </c>
      <c r="M16" s="1079">
        <v>0</v>
      </c>
      <c r="N16" s="1079">
        <v>2.2400000000000002</v>
      </c>
      <c r="O16" s="1079"/>
      <c r="P16" s="1079">
        <v>0.63</v>
      </c>
      <c r="Q16" s="1079">
        <v>0.17</v>
      </c>
      <c r="R16" s="1079">
        <v>1.37</v>
      </c>
      <c r="S16" s="1079">
        <v>0</v>
      </c>
      <c r="T16" s="1079">
        <v>0</v>
      </c>
      <c r="U16" s="1079">
        <v>0</v>
      </c>
      <c r="V16" s="1079">
        <v>0.08</v>
      </c>
      <c r="W16" s="1079">
        <v>0.1</v>
      </c>
      <c r="X16" s="1079">
        <v>1.51</v>
      </c>
      <c r="Y16" s="1079">
        <v>0.79</v>
      </c>
      <c r="Z16" s="1079">
        <v>12.47</v>
      </c>
      <c r="AB16" s="1103" t="s">
        <v>230</v>
      </c>
      <c r="AC16" s="1079">
        <v>2.2400000000000002</v>
      </c>
      <c r="AD16" s="1079"/>
      <c r="AE16" s="1079">
        <v>0.63</v>
      </c>
      <c r="AF16" s="1079">
        <v>0.08</v>
      </c>
      <c r="AG16" s="1079">
        <v>0.79</v>
      </c>
      <c r="AH16" s="1112">
        <v>12.47</v>
      </c>
      <c r="AI16" s="1119"/>
    </row>
    <row r="17" spans="1:42">
      <c r="A17" s="1103" t="s">
        <v>238</v>
      </c>
      <c r="B17" s="1079">
        <v>0</v>
      </c>
      <c r="C17" s="1079">
        <v>0.04</v>
      </c>
      <c r="D17" s="1079">
        <v>0.01</v>
      </c>
      <c r="E17" s="1079">
        <v>0</v>
      </c>
      <c r="F17" s="1079">
        <v>0</v>
      </c>
      <c r="G17" s="1079">
        <v>0</v>
      </c>
      <c r="H17" s="1079">
        <v>0</v>
      </c>
      <c r="I17" s="1079">
        <v>0</v>
      </c>
      <c r="J17" s="1079">
        <v>0</v>
      </c>
      <c r="K17" s="1079">
        <v>0</v>
      </c>
      <c r="L17" s="1079">
        <v>0</v>
      </c>
      <c r="M17" s="1079">
        <v>0.02</v>
      </c>
      <c r="N17" s="1079">
        <v>0.16</v>
      </c>
      <c r="O17" s="1079">
        <v>0.22</v>
      </c>
      <c r="P17" s="1079"/>
      <c r="Q17" s="1079">
        <v>0</v>
      </c>
      <c r="R17" s="1079">
        <v>0.03</v>
      </c>
      <c r="S17" s="1079">
        <v>5.75</v>
      </c>
      <c r="T17" s="1079">
        <v>0</v>
      </c>
      <c r="U17" s="1079">
        <v>0</v>
      </c>
      <c r="V17" s="1079">
        <v>0.38</v>
      </c>
      <c r="W17" s="1079">
        <v>7.0000000000000007E-2</v>
      </c>
      <c r="X17" s="1079">
        <v>0</v>
      </c>
      <c r="Y17" s="1079">
        <v>0.09</v>
      </c>
      <c r="Z17" s="1079">
        <v>0.39</v>
      </c>
      <c r="AB17" s="1103" t="s">
        <v>238</v>
      </c>
      <c r="AC17" s="1079">
        <v>0.16</v>
      </c>
      <c r="AD17" s="1079">
        <v>0.22</v>
      </c>
      <c r="AE17" s="1079"/>
      <c r="AF17" s="1079">
        <v>0.38</v>
      </c>
      <c r="AG17" s="1079">
        <v>0.09</v>
      </c>
      <c r="AH17" s="1112">
        <v>0.39</v>
      </c>
      <c r="AI17" s="1119"/>
    </row>
    <row r="18" spans="1:42">
      <c r="A18" s="1103" t="s">
        <v>226</v>
      </c>
      <c r="B18" s="1079">
        <v>0</v>
      </c>
      <c r="C18" s="1079">
        <v>0.21</v>
      </c>
      <c r="D18" s="1079">
        <v>0.21</v>
      </c>
      <c r="E18" s="1079">
        <v>0</v>
      </c>
      <c r="F18" s="1079">
        <v>0</v>
      </c>
      <c r="G18" s="1079">
        <v>0</v>
      </c>
      <c r="H18" s="1079">
        <v>0</v>
      </c>
      <c r="I18" s="1079">
        <v>0</v>
      </c>
      <c r="J18" s="1079">
        <v>0</v>
      </c>
      <c r="K18" s="1079">
        <v>0</v>
      </c>
      <c r="L18" s="1079">
        <v>0</v>
      </c>
      <c r="M18" s="1079">
        <v>0</v>
      </c>
      <c r="N18" s="1079">
        <v>0.09</v>
      </c>
      <c r="O18" s="1079">
        <v>0.1</v>
      </c>
      <c r="P18" s="1079">
        <v>0</v>
      </c>
      <c r="Q18" s="1079"/>
      <c r="R18" s="1079">
        <v>0</v>
      </c>
      <c r="S18" s="1079">
        <v>0</v>
      </c>
      <c r="T18" s="1079">
        <v>0</v>
      </c>
      <c r="U18" s="1079">
        <v>0</v>
      </c>
      <c r="V18" s="1079">
        <v>0.15</v>
      </c>
      <c r="W18" s="1079">
        <v>0.37</v>
      </c>
      <c r="X18" s="1079">
        <v>0</v>
      </c>
      <c r="Y18" s="1079">
        <v>0</v>
      </c>
      <c r="Z18" s="1079">
        <v>0</v>
      </c>
      <c r="AB18" s="1103" t="s">
        <v>226</v>
      </c>
      <c r="AC18" s="1079">
        <v>0.09</v>
      </c>
      <c r="AD18" s="1079">
        <v>0.1</v>
      </c>
      <c r="AE18" s="1079">
        <v>0</v>
      </c>
      <c r="AF18" s="1079">
        <v>0.15</v>
      </c>
      <c r="AG18" s="1079">
        <v>0</v>
      </c>
      <c r="AH18" s="1112">
        <v>0</v>
      </c>
      <c r="AI18" s="1119"/>
    </row>
    <row r="19" spans="1:42">
      <c r="A19" s="1103" t="s">
        <v>3</v>
      </c>
      <c r="B19" s="1079">
        <v>0</v>
      </c>
      <c r="C19" s="1079">
        <v>0</v>
      </c>
      <c r="D19" s="1079">
        <v>0</v>
      </c>
      <c r="E19" s="1079">
        <v>0</v>
      </c>
      <c r="F19" s="1079">
        <v>0</v>
      </c>
      <c r="G19" s="1079">
        <v>0</v>
      </c>
      <c r="H19" s="1079">
        <v>0</v>
      </c>
      <c r="I19" s="1079">
        <v>0</v>
      </c>
      <c r="J19" s="1079">
        <v>0</v>
      </c>
      <c r="K19" s="1079">
        <v>0</v>
      </c>
      <c r="L19" s="1079">
        <v>0</v>
      </c>
      <c r="M19" s="1079">
        <v>0</v>
      </c>
      <c r="N19" s="1079">
        <v>0</v>
      </c>
      <c r="O19" s="1079">
        <v>0.08</v>
      </c>
      <c r="P19" s="1079">
        <v>0.08</v>
      </c>
      <c r="Q19" s="1079">
        <v>0</v>
      </c>
      <c r="R19" s="1079"/>
      <c r="S19" s="1079">
        <v>0</v>
      </c>
      <c r="T19" s="1079">
        <v>0</v>
      </c>
      <c r="U19" s="1079">
        <v>0</v>
      </c>
      <c r="V19" s="1079">
        <v>0</v>
      </c>
      <c r="W19" s="1079">
        <v>0.04</v>
      </c>
      <c r="X19" s="1079">
        <v>0</v>
      </c>
      <c r="Y19" s="1079">
        <v>0.15</v>
      </c>
      <c r="Z19" s="1079">
        <v>0</v>
      </c>
      <c r="AB19" s="1103" t="s">
        <v>3</v>
      </c>
      <c r="AC19" s="1079">
        <v>0</v>
      </c>
      <c r="AD19" s="1079">
        <v>0.08</v>
      </c>
      <c r="AE19" s="1079">
        <v>0.08</v>
      </c>
      <c r="AF19" s="1079">
        <v>0</v>
      </c>
      <c r="AG19" s="1079">
        <v>0.15</v>
      </c>
      <c r="AH19" s="1112">
        <v>0</v>
      </c>
      <c r="AI19" s="1119"/>
    </row>
    <row r="20" spans="1:42">
      <c r="A20" s="1103" t="s">
        <v>235</v>
      </c>
      <c r="B20" s="1079">
        <v>0</v>
      </c>
      <c r="C20" s="1079">
        <v>0</v>
      </c>
      <c r="D20" s="1079">
        <v>0</v>
      </c>
      <c r="E20" s="1079">
        <v>0</v>
      </c>
      <c r="F20" s="1079">
        <v>0</v>
      </c>
      <c r="G20" s="1079">
        <v>0</v>
      </c>
      <c r="H20" s="1079">
        <v>0</v>
      </c>
      <c r="I20" s="1079">
        <v>0</v>
      </c>
      <c r="J20" s="1079">
        <v>0</v>
      </c>
      <c r="K20" s="1079">
        <v>0</v>
      </c>
      <c r="L20" s="1079">
        <v>0</v>
      </c>
      <c r="M20" s="1079">
        <v>0</v>
      </c>
      <c r="N20" s="1079">
        <v>0</v>
      </c>
      <c r="O20" s="1079">
        <v>0</v>
      </c>
      <c r="P20" s="1079">
        <v>0.36</v>
      </c>
      <c r="Q20" s="1079">
        <v>0</v>
      </c>
      <c r="R20" s="1079">
        <v>0</v>
      </c>
      <c r="S20" s="1079"/>
      <c r="T20" s="1079">
        <v>0</v>
      </c>
      <c r="U20" s="1079">
        <v>0</v>
      </c>
      <c r="V20" s="1079">
        <v>0</v>
      </c>
      <c r="W20" s="1079">
        <v>0</v>
      </c>
      <c r="X20" s="1079">
        <v>0</v>
      </c>
      <c r="Y20" s="1079">
        <v>0.06</v>
      </c>
      <c r="Z20" s="1079">
        <v>0</v>
      </c>
      <c r="AB20" s="1103" t="s">
        <v>235</v>
      </c>
      <c r="AC20" s="1079">
        <v>0</v>
      </c>
      <c r="AD20" s="1079">
        <v>0</v>
      </c>
      <c r="AE20" s="1079">
        <v>0.36</v>
      </c>
      <c r="AF20" s="1079">
        <v>0</v>
      </c>
      <c r="AG20" s="1079">
        <v>0.06</v>
      </c>
      <c r="AH20" s="1112">
        <v>0</v>
      </c>
      <c r="AI20" s="1119"/>
    </row>
    <row r="21" spans="1:42">
      <c r="A21" s="1103" t="s">
        <v>250</v>
      </c>
      <c r="B21" s="1079">
        <v>0</v>
      </c>
      <c r="C21" s="1079">
        <v>0</v>
      </c>
      <c r="D21" s="1079">
        <v>0</v>
      </c>
      <c r="E21" s="1079">
        <v>0</v>
      </c>
      <c r="F21" s="1079">
        <v>0</v>
      </c>
      <c r="G21" s="1079">
        <v>0</v>
      </c>
      <c r="H21" s="1079">
        <v>0</v>
      </c>
      <c r="I21" s="1079">
        <v>0</v>
      </c>
      <c r="J21" s="1079">
        <v>0</v>
      </c>
      <c r="K21" s="1079">
        <v>0</v>
      </c>
      <c r="L21" s="1079">
        <v>0</v>
      </c>
      <c r="M21" s="1079">
        <v>0</v>
      </c>
      <c r="N21" s="1079">
        <v>0</v>
      </c>
      <c r="O21" s="1079">
        <v>0</v>
      </c>
      <c r="P21" s="1079">
        <v>0</v>
      </c>
      <c r="Q21" s="1079">
        <v>0</v>
      </c>
      <c r="R21" s="1079">
        <v>0</v>
      </c>
      <c r="S21" s="1079">
        <v>0</v>
      </c>
      <c r="T21" s="1079"/>
      <c r="U21" s="1079">
        <v>0</v>
      </c>
      <c r="V21" s="1079">
        <v>0</v>
      </c>
      <c r="W21" s="1079">
        <v>0</v>
      </c>
      <c r="X21" s="1079">
        <v>0</v>
      </c>
      <c r="Y21" s="1079">
        <v>0.03</v>
      </c>
      <c r="Z21" s="1079">
        <v>0</v>
      </c>
      <c r="AB21" s="1103" t="s">
        <v>250</v>
      </c>
      <c r="AC21" s="1079">
        <v>0</v>
      </c>
      <c r="AD21" s="1079">
        <v>0</v>
      </c>
      <c r="AE21" s="1079">
        <v>0</v>
      </c>
      <c r="AF21" s="1079">
        <v>0</v>
      </c>
      <c r="AG21" s="1079">
        <v>0.03</v>
      </c>
      <c r="AH21" s="1112">
        <v>0</v>
      </c>
      <c r="AI21" s="1119"/>
    </row>
    <row r="22" spans="1:42">
      <c r="A22" s="1103" t="s">
        <v>228</v>
      </c>
      <c r="B22" s="1079">
        <v>0</v>
      </c>
      <c r="C22" s="1079">
        <v>0.04</v>
      </c>
      <c r="D22" s="1079">
        <v>0</v>
      </c>
      <c r="E22" s="1079">
        <v>0</v>
      </c>
      <c r="F22" s="1079">
        <v>0</v>
      </c>
      <c r="G22" s="1079">
        <v>0</v>
      </c>
      <c r="H22" s="1079">
        <v>0</v>
      </c>
      <c r="I22" s="1079">
        <v>0</v>
      </c>
      <c r="J22" s="1079">
        <v>0</v>
      </c>
      <c r="K22" s="1079">
        <v>0</v>
      </c>
      <c r="L22" s="1079">
        <v>0</v>
      </c>
      <c r="M22" s="1079">
        <v>0</v>
      </c>
      <c r="N22" s="1079">
        <v>0</v>
      </c>
      <c r="O22" s="1079">
        <v>0</v>
      </c>
      <c r="P22" s="1079">
        <v>0</v>
      </c>
      <c r="Q22" s="1079">
        <v>0</v>
      </c>
      <c r="R22" s="1079">
        <v>0</v>
      </c>
      <c r="S22" s="1079">
        <v>0</v>
      </c>
      <c r="T22" s="1079">
        <v>0</v>
      </c>
      <c r="U22" s="1079"/>
      <c r="V22" s="1079">
        <v>0.05</v>
      </c>
      <c r="W22" s="1079">
        <v>0</v>
      </c>
      <c r="X22" s="1079">
        <v>0</v>
      </c>
      <c r="Y22" s="1079">
        <v>0.1</v>
      </c>
      <c r="Z22" s="1079">
        <v>0</v>
      </c>
      <c r="AB22" s="1103" t="s">
        <v>228</v>
      </c>
      <c r="AC22" s="1079">
        <v>0</v>
      </c>
      <c r="AD22" s="1079">
        <v>0</v>
      </c>
      <c r="AE22" s="1079">
        <v>0</v>
      </c>
      <c r="AF22" s="1079">
        <v>0.05</v>
      </c>
      <c r="AG22" s="1079">
        <v>0.1</v>
      </c>
      <c r="AH22" s="1112">
        <v>0</v>
      </c>
      <c r="AI22" s="1119"/>
    </row>
    <row r="23" spans="1:42">
      <c r="A23" s="1103" t="s">
        <v>224</v>
      </c>
      <c r="B23" s="1079">
        <v>0</v>
      </c>
      <c r="C23" s="1079">
        <v>14.84</v>
      </c>
      <c r="D23" s="1079">
        <v>1.59</v>
      </c>
      <c r="E23" s="1079">
        <v>0</v>
      </c>
      <c r="F23" s="1079">
        <v>3.35</v>
      </c>
      <c r="G23" s="1079">
        <v>0</v>
      </c>
      <c r="H23" s="1079">
        <v>0</v>
      </c>
      <c r="I23" s="1079">
        <v>0</v>
      </c>
      <c r="J23" s="1079">
        <v>0</v>
      </c>
      <c r="K23" s="1079">
        <v>0</v>
      </c>
      <c r="L23" s="1079">
        <v>1.35</v>
      </c>
      <c r="M23" s="1079">
        <v>1.97</v>
      </c>
      <c r="N23" s="1079">
        <v>9.3699999999999992</v>
      </c>
      <c r="O23" s="1079">
        <v>0.69</v>
      </c>
      <c r="P23" s="1079">
        <v>6.62</v>
      </c>
      <c r="Q23" s="1079">
        <v>4.96</v>
      </c>
      <c r="R23" s="1079">
        <v>1.1599999999999999</v>
      </c>
      <c r="S23" s="1079">
        <v>0</v>
      </c>
      <c r="T23" s="1079">
        <v>0</v>
      </c>
      <c r="U23" s="1079">
        <v>3.13</v>
      </c>
      <c r="V23" s="1079"/>
      <c r="W23" s="1079">
        <v>3.56</v>
      </c>
      <c r="X23" s="1079">
        <v>6.17</v>
      </c>
      <c r="Y23" s="1079">
        <v>10.64</v>
      </c>
      <c r="Z23" s="1079">
        <v>1.25</v>
      </c>
      <c r="AB23" s="1103" t="s">
        <v>224</v>
      </c>
      <c r="AC23" s="1079">
        <v>9.3699999999999992</v>
      </c>
      <c r="AD23" s="1079">
        <v>0.69</v>
      </c>
      <c r="AE23" s="1079">
        <v>6.62</v>
      </c>
      <c r="AF23" s="1079"/>
      <c r="AG23" s="1079">
        <v>10.64</v>
      </c>
      <c r="AH23" s="1112">
        <v>1.25</v>
      </c>
      <c r="AI23" s="1119"/>
    </row>
    <row r="24" spans="1:42">
      <c r="A24" s="1103" t="s">
        <v>219</v>
      </c>
      <c r="B24" s="1079">
        <v>0.5</v>
      </c>
      <c r="C24" s="1079">
        <v>15.74</v>
      </c>
      <c r="D24" s="1079">
        <v>2.15</v>
      </c>
      <c r="E24" s="1079">
        <v>0</v>
      </c>
      <c r="F24" s="1079">
        <v>1</v>
      </c>
      <c r="G24" s="1079">
        <v>3.94</v>
      </c>
      <c r="H24" s="1079">
        <v>0</v>
      </c>
      <c r="I24" s="1079">
        <v>3.54</v>
      </c>
      <c r="J24" s="1079">
        <v>0</v>
      </c>
      <c r="K24" s="1079">
        <v>1.27</v>
      </c>
      <c r="L24" s="1079">
        <v>0.56999999999999995</v>
      </c>
      <c r="M24" s="1079">
        <v>2.11</v>
      </c>
      <c r="N24" s="1079">
        <v>1.43</v>
      </c>
      <c r="O24" s="1079">
        <v>3.27</v>
      </c>
      <c r="P24" s="1079">
        <v>0.55000000000000004</v>
      </c>
      <c r="Q24" s="1079">
        <v>6.27</v>
      </c>
      <c r="R24" s="1079">
        <v>1.19</v>
      </c>
      <c r="S24" s="1079">
        <v>0</v>
      </c>
      <c r="T24" s="1079">
        <v>0</v>
      </c>
      <c r="U24" s="1079">
        <v>3.78</v>
      </c>
      <c r="V24" s="1079">
        <v>2.56</v>
      </c>
      <c r="W24" s="1079"/>
      <c r="X24" s="1079">
        <v>2.0099999999999998</v>
      </c>
      <c r="Y24" s="1079">
        <v>0.95</v>
      </c>
      <c r="Z24" s="1079">
        <v>0.35</v>
      </c>
      <c r="AB24" s="1103" t="s">
        <v>219</v>
      </c>
      <c r="AC24" s="1079">
        <v>1.43</v>
      </c>
      <c r="AD24" s="1079">
        <v>3.27</v>
      </c>
      <c r="AE24" s="1079">
        <v>0.55000000000000004</v>
      </c>
      <c r="AF24" s="1079">
        <v>2.56</v>
      </c>
      <c r="AG24" s="1079">
        <v>0.95</v>
      </c>
      <c r="AH24" s="1112">
        <v>0.35</v>
      </c>
      <c r="AI24" s="1119"/>
    </row>
    <row r="25" spans="1:42">
      <c r="A25" s="1103" t="s">
        <v>229</v>
      </c>
      <c r="B25" s="1079">
        <v>0</v>
      </c>
      <c r="C25" s="1079">
        <v>0.63</v>
      </c>
      <c r="D25" s="1079">
        <v>0.02</v>
      </c>
      <c r="E25" s="1079">
        <v>0</v>
      </c>
      <c r="F25" s="1079">
        <v>0</v>
      </c>
      <c r="G25" s="1079">
        <v>0</v>
      </c>
      <c r="H25" s="1079">
        <v>0</v>
      </c>
      <c r="I25" s="1079">
        <v>0</v>
      </c>
      <c r="J25" s="1079">
        <v>0</v>
      </c>
      <c r="K25" s="1079">
        <v>0</v>
      </c>
      <c r="L25" s="1079">
        <v>0</v>
      </c>
      <c r="M25" s="1079">
        <v>0</v>
      </c>
      <c r="N25" s="1079">
        <v>0</v>
      </c>
      <c r="O25" s="1079">
        <v>0.44</v>
      </c>
      <c r="P25" s="1079">
        <v>0</v>
      </c>
      <c r="Q25" s="1079">
        <v>0</v>
      </c>
      <c r="R25" s="1079">
        <v>0</v>
      </c>
      <c r="S25" s="1079">
        <v>0</v>
      </c>
      <c r="T25" s="1079">
        <v>0</v>
      </c>
      <c r="U25" s="1079">
        <v>0</v>
      </c>
      <c r="V25" s="1079">
        <v>0.2</v>
      </c>
      <c r="W25" s="1079">
        <v>0.06</v>
      </c>
      <c r="X25" s="1079"/>
      <c r="Y25" s="1079">
        <v>0.19</v>
      </c>
      <c r="Z25" s="1079">
        <v>0</v>
      </c>
      <c r="AB25" s="1103" t="s">
        <v>229</v>
      </c>
      <c r="AC25" s="1079">
        <v>0</v>
      </c>
      <c r="AD25" s="1079">
        <v>0.44</v>
      </c>
      <c r="AE25" s="1079">
        <v>0</v>
      </c>
      <c r="AF25" s="1079">
        <v>0.2</v>
      </c>
      <c r="AG25" s="1079">
        <v>0.19</v>
      </c>
      <c r="AH25" s="1112">
        <v>0</v>
      </c>
      <c r="AI25" s="1119"/>
    </row>
    <row r="26" spans="1:42">
      <c r="A26" s="1103" t="s">
        <v>222</v>
      </c>
      <c r="B26" s="1079">
        <v>0.38</v>
      </c>
      <c r="C26" s="1079">
        <v>1.46</v>
      </c>
      <c r="D26" s="1079">
        <v>0.65</v>
      </c>
      <c r="E26" s="1079">
        <v>0</v>
      </c>
      <c r="F26" s="1079">
        <v>0.16</v>
      </c>
      <c r="G26" s="1079">
        <v>0</v>
      </c>
      <c r="H26" s="1079">
        <v>0</v>
      </c>
      <c r="I26" s="1079">
        <v>0.51</v>
      </c>
      <c r="J26" s="1079">
        <v>66.67</v>
      </c>
      <c r="K26" s="1079">
        <v>0</v>
      </c>
      <c r="L26" s="1079">
        <v>0</v>
      </c>
      <c r="M26" s="1079">
        <v>0.23</v>
      </c>
      <c r="N26" s="1079">
        <v>1.34</v>
      </c>
      <c r="O26" s="1079">
        <v>1.76</v>
      </c>
      <c r="P26" s="1079">
        <v>1.1299999999999999</v>
      </c>
      <c r="Q26" s="1079">
        <v>0.04</v>
      </c>
      <c r="R26" s="1079">
        <v>2.92</v>
      </c>
      <c r="S26" s="1079">
        <v>0.13</v>
      </c>
      <c r="T26" s="1079">
        <v>1.39</v>
      </c>
      <c r="U26" s="1079">
        <v>2.27</v>
      </c>
      <c r="V26" s="1079">
        <v>2.62</v>
      </c>
      <c r="W26" s="1079">
        <v>0.82</v>
      </c>
      <c r="X26" s="1079">
        <v>1.51</v>
      </c>
      <c r="Y26" s="1079"/>
      <c r="Z26" s="1079">
        <v>0.96</v>
      </c>
      <c r="AB26" s="1103" t="s">
        <v>222</v>
      </c>
      <c r="AC26" s="1079">
        <v>1.34</v>
      </c>
      <c r="AD26" s="1079">
        <v>1.76</v>
      </c>
      <c r="AE26" s="1079">
        <v>1.1299999999999999</v>
      </c>
      <c r="AF26" s="1079">
        <v>2.62</v>
      </c>
      <c r="AG26" s="1079"/>
      <c r="AH26" s="1112">
        <v>0.96</v>
      </c>
      <c r="AI26" s="1119"/>
    </row>
    <row r="27" spans="1:42">
      <c r="A27" s="1103" t="s">
        <v>231</v>
      </c>
      <c r="B27" s="1079">
        <v>0</v>
      </c>
      <c r="C27" s="1079">
        <v>0.24</v>
      </c>
      <c r="D27" s="1079">
        <v>0.04</v>
      </c>
      <c r="E27" s="1079">
        <v>0</v>
      </c>
      <c r="F27" s="1079">
        <v>0</v>
      </c>
      <c r="G27" s="1079">
        <v>0</v>
      </c>
      <c r="H27" s="1079">
        <v>0</v>
      </c>
      <c r="I27" s="1079">
        <v>0</v>
      </c>
      <c r="J27" s="1079">
        <v>0</v>
      </c>
      <c r="K27" s="1079">
        <v>0</v>
      </c>
      <c r="L27" s="1079">
        <v>0</v>
      </c>
      <c r="M27" s="1079">
        <v>0</v>
      </c>
      <c r="N27" s="1079">
        <v>4.1500000000000004</v>
      </c>
      <c r="O27" s="1079">
        <v>6.82</v>
      </c>
      <c r="P27" s="1079">
        <v>0.64</v>
      </c>
      <c r="Q27" s="1079">
        <v>0</v>
      </c>
      <c r="R27" s="1079">
        <v>0</v>
      </c>
      <c r="S27" s="1079">
        <v>0</v>
      </c>
      <c r="T27" s="1079">
        <v>0</v>
      </c>
      <c r="U27" s="1079">
        <v>0</v>
      </c>
      <c r="V27" s="1079">
        <v>0.08</v>
      </c>
      <c r="W27" s="1079">
        <v>0</v>
      </c>
      <c r="X27" s="1079">
        <v>0</v>
      </c>
      <c r="Y27" s="1079">
        <v>0.38</v>
      </c>
      <c r="Z27" s="1079"/>
      <c r="AB27" s="1103" t="s">
        <v>231</v>
      </c>
      <c r="AC27" s="1079">
        <v>4.1500000000000004</v>
      </c>
      <c r="AD27" s="1079">
        <v>6.82</v>
      </c>
      <c r="AE27" s="1079">
        <v>0.64</v>
      </c>
      <c r="AF27" s="1079">
        <v>0.08</v>
      </c>
      <c r="AG27" s="1079">
        <v>0.38</v>
      </c>
      <c r="AH27" s="1112"/>
      <c r="AI27" s="1119"/>
    </row>
    <row r="28" spans="1:42">
      <c r="A28" s="1103" t="s">
        <v>244</v>
      </c>
      <c r="B28" s="1079">
        <v>0</v>
      </c>
      <c r="C28" s="1079">
        <v>0.18</v>
      </c>
      <c r="D28" s="1079">
        <v>0.01</v>
      </c>
      <c r="E28" s="1079">
        <v>0</v>
      </c>
      <c r="F28" s="1079">
        <v>0.06</v>
      </c>
      <c r="G28" s="1079">
        <v>3.13</v>
      </c>
      <c r="H28" s="1079">
        <v>0</v>
      </c>
      <c r="I28" s="1079">
        <v>0.33</v>
      </c>
      <c r="J28" s="1079">
        <v>0</v>
      </c>
      <c r="K28" s="1079">
        <v>0</v>
      </c>
      <c r="L28" s="1079">
        <v>0</v>
      </c>
      <c r="M28" s="1079">
        <v>0.01</v>
      </c>
      <c r="N28" s="1079">
        <v>0.33</v>
      </c>
      <c r="O28" s="1079">
        <v>0.46</v>
      </c>
      <c r="P28" s="1079">
        <v>0.01</v>
      </c>
      <c r="Q28" s="1079">
        <v>0</v>
      </c>
      <c r="R28" s="1079">
        <v>0</v>
      </c>
      <c r="S28" s="1079">
        <v>0.01</v>
      </c>
      <c r="T28" s="1079">
        <v>0</v>
      </c>
      <c r="U28" s="1079">
        <v>0</v>
      </c>
      <c r="V28" s="1079">
        <v>0.3</v>
      </c>
      <c r="W28" s="1079">
        <v>0.15</v>
      </c>
      <c r="X28" s="1079">
        <v>0</v>
      </c>
      <c r="Y28" s="1079">
        <v>0.27</v>
      </c>
      <c r="Z28" s="1079">
        <v>7.0000000000000007E-2</v>
      </c>
      <c r="AB28" s="1103" t="s">
        <v>244</v>
      </c>
      <c r="AC28" s="1079">
        <v>0.33</v>
      </c>
      <c r="AD28" s="1079">
        <v>0.46</v>
      </c>
      <c r="AE28" s="1079">
        <v>0.01</v>
      </c>
      <c r="AF28" s="1079">
        <v>0.3</v>
      </c>
      <c r="AG28" s="1079">
        <v>0.27</v>
      </c>
      <c r="AH28" s="1112">
        <v>7.0000000000000007E-2</v>
      </c>
      <c r="AI28" s="1119"/>
    </row>
    <row r="29" spans="1:42">
      <c r="A29" s="1101" t="s">
        <v>253</v>
      </c>
      <c r="B29" s="1102">
        <v>69</v>
      </c>
      <c r="C29" s="1102">
        <v>44.29</v>
      </c>
      <c r="D29" s="1102">
        <v>49.49</v>
      </c>
      <c r="E29" s="1102">
        <v>1.23</v>
      </c>
      <c r="F29" s="1102">
        <v>71.09</v>
      </c>
      <c r="G29" s="1102">
        <v>83.45</v>
      </c>
      <c r="H29" s="1102">
        <v>0</v>
      </c>
      <c r="I29" s="1102">
        <v>55.1</v>
      </c>
      <c r="J29" s="1102">
        <v>22.22</v>
      </c>
      <c r="K29" s="1102">
        <v>36.479999999999997</v>
      </c>
      <c r="L29" s="1102">
        <v>90.71</v>
      </c>
      <c r="M29" s="1102">
        <v>81.34</v>
      </c>
      <c r="N29" s="1102">
        <v>46.48</v>
      </c>
      <c r="O29" s="1102">
        <v>26.55</v>
      </c>
      <c r="P29" s="1102">
        <v>42.86</v>
      </c>
      <c r="Q29" s="1102">
        <v>44.53</v>
      </c>
      <c r="R29" s="1102">
        <v>17.55</v>
      </c>
      <c r="S29" s="1102">
        <v>64.709999999999994</v>
      </c>
      <c r="T29" s="1102">
        <v>18.600000000000001</v>
      </c>
      <c r="U29" s="1102">
        <v>84.77</v>
      </c>
      <c r="V29" s="1102">
        <v>34.229999999999997</v>
      </c>
      <c r="W29" s="1102">
        <v>46.37</v>
      </c>
      <c r="X29" s="1102">
        <v>70.900000000000006</v>
      </c>
      <c r="Y29" s="1102">
        <v>14.48</v>
      </c>
      <c r="Z29" s="1102">
        <v>49.63</v>
      </c>
      <c r="AB29" s="1101" t="s">
        <v>253</v>
      </c>
      <c r="AC29" s="1102">
        <v>46.48</v>
      </c>
      <c r="AD29" s="1102">
        <v>26.55</v>
      </c>
      <c r="AE29" s="1102">
        <v>42.86</v>
      </c>
      <c r="AF29" s="1102">
        <v>34.229999999999997</v>
      </c>
      <c r="AG29" s="1102">
        <v>14.48</v>
      </c>
      <c r="AH29" s="1121">
        <v>49.63</v>
      </c>
      <c r="AI29" s="1119"/>
    </row>
    <row r="30" spans="1:42">
      <c r="A30" s="1101" t="s">
        <v>30</v>
      </c>
      <c r="B30" s="1102">
        <v>100</v>
      </c>
      <c r="C30" s="1102">
        <v>100</v>
      </c>
      <c r="D30" s="1102">
        <v>100</v>
      </c>
      <c r="E30" s="1102">
        <v>100</v>
      </c>
      <c r="F30" s="1102">
        <v>100</v>
      </c>
      <c r="G30" s="1102">
        <v>100</v>
      </c>
      <c r="H30" s="1102">
        <v>0</v>
      </c>
      <c r="I30" s="1102">
        <v>100</v>
      </c>
      <c r="J30" s="1102">
        <v>100</v>
      </c>
      <c r="K30" s="1102">
        <v>100</v>
      </c>
      <c r="L30" s="1102">
        <v>100</v>
      </c>
      <c r="M30" s="1102">
        <v>100</v>
      </c>
      <c r="N30" s="1102">
        <v>100</v>
      </c>
      <c r="O30" s="1102">
        <v>100</v>
      </c>
      <c r="P30" s="1102">
        <v>100</v>
      </c>
      <c r="Q30" s="1102">
        <v>100</v>
      </c>
      <c r="R30" s="1102">
        <v>100</v>
      </c>
      <c r="S30" s="1102">
        <v>100</v>
      </c>
      <c r="T30" s="1102">
        <v>100</v>
      </c>
      <c r="U30" s="1102">
        <v>100</v>
      </c>
      <c r="V30" s="1102">
        <v>100</v>
      </c>
      <c r="W30" s="1102">
        <v>100</v>
      </c>
      <c r="X30" s="1102">
        <v>100</v>
      </c>
      <c r="Y30" s="1102">
        <v>100</v>
      </c>
      <c r="Z30" s="1102">
        <v>100</v>
      </c>
      <c r="AB30" s="1101" t="s">
        <v>30</v>
      </c>
      <c r="AC30" s="1102">
        <v>100</v>
      </c>
      <c r="AD30" s="1102">
        <v>100</v>
      </c>
      <c r="AE30" s="1102">
        <v>100</v>
      </c>
      <c r="AF30" s="1102">
        <v>100</v>
      </c>
      <c r="AG30" s="1102">
        <v>100</v>
      </c>
      <c r="AH30" s="1121">
        <v>100</v>
      </c>
      <c r="AI30" s="1119"/>
    </row>
    <row r="31" spans="1:42">
      <c r="A31" s="1099" t="s">
        <v>248</v>
      </c>
      <c r="B31" s="1097" t="s">
        <v>233</v>
      </c>
      <c r="C31" s="1097" t="s">
        <v>220</v>
      </c>
      <c r="D31" s="1097" t="s">
        <v>223</v>
      </c>
      <c r="E31" s="1097" t="s">
        <v>249</v>
      </c>
      <c r="F31" s="1097" t="s">
        <v>221</v>
      </c>
      <c r="G31" s="1097" t="s">
        <v>234</v>
      </c>
      <c r="H31" s="1097" t="s">
        <v>242</v>
      </c>
      <c r="I31" s="1097" t="s">
        <v>225</v>
      </c>
      <c r="J31" s="1097" t="s">
        <v>12</v>
      </c>
      <c r="K31" s="1097" t="s">
        <v>236</v>
      </c>
      <c r="L31" s="1097" t="s">
        <v>227</v>
      </c>
      <c r="M31" s="1097" t="s">
        <v>2</v>
      </c>
      <c r="N31" s="1097" t="s">
        <v>232</v>
      </c>
      <c r="O31" s="1097" t="s">
        <v>230</v>
      </c>
      <c r="P31" s="1097" t="s">
        <v>238</v>
      </c>
      <c r="Q31" s="1097" t="s">
        <v>226</v>
      </c>
      <c r="R31" s="1097" t="s">
        <v>3</v>
      </c>
      <c r="S31" s="1097" t="s">
        <v>235</v>
      </c>
      <c r="T31" s="1097" t="s">
        <v>250</v>
      </c>
      <c r="U31" s="1097" t="s">
        <v>228</v>
      </c>
      <c r="V31" s="1097" t="s">
        <v>224</v>
      </c>
      <c r="W31" s="1097" t="s">
        <v>219</v>
      </c>
      <c r="X31" s="1097" t="s">
        <v>229</v>
      </c>
      <c r="Y31" s="1097" t="s">
        <v>222</v>
      </c>
      <c r="Z31" s="1097" t="s">
        <v>231</v>
      </c>
      <c r="AB31" s="1099" t="s">
        <v>248</v>
      </c>
      <c r="AC31" s="1097" t="s">
        <v>232</v>
      </c>
      <c r="AD31" s="1097" t="s">
        <v>230</v>
      </c>
      <c r="AE31" s="1097" t="s">
        <v>238</v>
      </c>
      <c r="AF31" s="1097" t="s">
        <v>224</v>
      </c>
      <c r="AG31" s="1097" t="s">
        <v>222</v>
      </c>
      <c r="AH31" s="1120" t="s">
        <v>231</v>
      </c>
      <c r="AI31" s="1118"/>
      <c r="AJ31" s="1099" t="s">
        <v>248</v>
      </c>
      <c r="AK31" s="1097" t="s">
        <v>232</v>
      </c>
      <c r="AL31" s="1097" t="s">
        <v>230</v>
      </c>
      <c r="AM31" s="1097" t="s">
        <v>238</v>
      </c>
      <c r="AN31" s="1097" t="s">
        <v>224</v>
      </c>
      <c r="AO31" s="1097" t="s">
        <v>222</v>
      </c>
      <c r="AP31" s="1120" t="s">
        <v>231</v>
      </c>
    </row>
    <row r="32" spans="1:42">
      <c r="A32" s="1100" t="s">
        <v>1135</v>
      </c>
      <c r="B32" s="1079"/>
      <c r="C32" s="1079"/>
      <c r="D32" s="1079"/>
      <c r="E32" s="1079"/>
      <c r="F32" s="1079"/>
      <c r="G32" s="1079"/>
      <c r="H32" s="1079"/>
      <c r="I32" s="1079"/>
      <c r="J32" s="1079"/>
      <c r="K32" s="1079"/>
      <c r="L32" s="1079"/>
      <c r="M32" s="1079"/>
      <c r="N32" s="1079"/>
      <c r="O32" s="1079"/>
      <c r="P32" s="1079"/>
      <c r="Q32" s="1079"/>
      <c r="R32" s="1079"/>
      <c r="S32" s="1079"/>
      <c r="T32" s="1079"/>
      <c r="U32" s="1079"/>
      <c r="V32" s="1079"/>
      <c r="W32" s="1079"/>
      <c r="X32" s="1079"/>
      <c r="Y32" s="1079"/>
      <c r="Z32" s="1079"/>
      <c r="AB32" s="1100" t="s">
        <v>1135</v>
      </c>
      <c r="AC32" s="1079"/>
      <c r="AD32" s="1079"/>
      <c r="AE32" s="1079"/>
      <c r="AF32" s="1079"/>
      <c r="AG32" s="1079"/>
      <c r="AH32" s="1112"/>
      <c r="AI32" s="1119"/>
      <c r="AJ32" s="1101" t="s">
        <v>251</v>
      </c>
      <c r="AK32" s="1102">
        <v>60.92</v>
      </c>
      <c r="AL32" s="1102">
        <v>67.8</v>
      </c>
      <c r="AM32" s="1102">
        <v>23.92</v>
      </c>
      <c r="AN32" s="1102">
        <v>54.39</v>
      </c>
      <c r="AO32" s="1102">
        <v>59.08</v>
      </c>
      <c r="AP32" s="1121">
        <v>9.8800000000000008</v>
      </c>
    </row>
    <row r="33" spans="1:42">
      <c r="A33" s="1101" t="s">
        <v>251</v>
      </c>
      <c r="B33" s="1102">
        <v>16.87</v>
      </c>
      <c r="C33" s="1102">
        <v>74.959999999999994</v>
      </c>
      <c r="D33" s="1102">
        <v>67.67</v>
      </c>
      <c r="E33" s="1102">
        <v>99.36</v>
      </c>
      <c r="F33" s="1102">
        <v>70.150000000000006</v>
      </c>
      <c r="G33" s="1102">
        <v>62.96</v>
      </c>
      <c r="H33" s="1102">
        <v>100</v>
      </c>
      <c r="I33" s="1102">
        <v>91.24</v>
      </c>
      <c r="J33" s="1102">
        <v>0</v>
      </c>
      <c r="K33" s="1102">
        <v>29.53</v>
      </c>
      <c r="L33" s="1102">
        <v>39.26</v>
      </c>
      <c r="M33" s="1102">
        <v>58.62</v>
      </c>
      <c r="N33" s="1102">
        <v>60.92</v>
      </c>
      <c r="O33" s="1102">
        <v>67.8</v>
      </c>
      <c r="P33" s="1102">
        <v>23.92</v>
      </c>
      <c r="Q33" s="1102">
        <v>89.85</v>
      </c>
      <c r="R33" s="1102">
        <v>100</v>
      </c>
      <c r="S33" s="1102">
        <v>96.71</v>
      </c>
      <c r="T33" s="1102">
        <v>0</v>
      </c>
      <c r="U33" s="1102">
        <v>41.35</v>
      </c>
      <c r="V33" s="1102">
        <v>54.39</v>
      </c>
      <c r="W33" s="1102">
        <v>71.87</v>
      </c>
      <c r="X33" s="1102">
        <v>69.61</v>
      </c>
      <c r="Y33" s="1102">
        <v>59.08</v>
      </c>
      <c r="Z33" s="1102">
        <v>9.8800000000000008</v>
      </c>
      <c r="AB33" s="1101" t="s">
        <v>251</v>
      </c>
      <c r="AC33" s="1102">
        <v>60.92</v>
      </c>
      <c r="AD33" s="1102">
        <v>67.8</v>
      </c>
      <c r="AE33" s="1102">
        <v>23.92</v>
      </c>
      <c r="AF33" s="1102">
        <v>54.39</v>
      </c>
      <c r="AG33" s="1102">
        <v>59.08</v>
      </c>
      <c r="AH33" s="1121">
        <v>9.8800000000000008</v>
      </c>
      <c r="AI33" s="1119"/>
      <c r="AJ33" s="1101" t="s">
        <v>1116</v>
      </c>
      <c r="AK33" s="1102">
        <v>19.649999999999999</v>
      </c>
      <c r="AL33" s="1102">
        <v>21.19</v>
      </c>
      <c r="AM33" s="1102">
        <v>53.73</v>
      </c>
      <c r="AN33" s="1102">
        <v>12.18</v>
      </c>
      <c r="AO33" s="1102">
        <v>37.770000000000003</v>
      </c>
      <c r="AP33" s="1121">
        <v>34.57</v>
      </c>
    </row>
    <row r="34" spans="1:42">
      <c r="A34" s="1101" t="s">
        <v>1116</v>
      </c>
      <c r="B34" s="1102">
        <v>83.13</v>
      </c>
      <c r="C34" s="1102">
        <v>17.11</v>
      </c>
      <c r="D34" s="1102">
        <v>24.29</v>
      </c>
      <c r="E34" s="1102">
        <v>0.64</v>
      </c>
      <c r="F34" s="1102">
        <v>16.7</v>
      </c>
      <c r="G34" s="1102">
        <v>37.04</v>
      </c>
      <c r="H34" s="1102">
        <v>0</v>
      </c>
      <c r="I34" s="1102">
        <v>6.61</v>
      </c>
      <c r="J34" s="1102">
        <v>0</v>
      </c>
      <c r="K34" s="1102">
        <v>63.1</v>
      </c>
      <c r="L34" s="1102">
        <v>24.54</v>
      </c>
      <c r="M34" s="1102">
        <v>14.42</v>
      </c>
      <c r="N34" s="1102">
        <v>19.649999999999999</v>
      </c>
      <c r="O34" s="1102">
        <v>21.19</v>
      </c>
      <c r="P34" s="1102">
        <v>53.73</v>
      </c>
      <c r="Q34" s="1102">
        <v>9.17</v>
      </c>
      <c r="R34" s="1102">
        <v>0</v>
      </c>
      <c r="S34" s="1102">
        <v>0</v>
      </c>
      <c r="T34" s="1102">
        <v>0</v>
      </c>
      <c r="U34" s="1102">
        <v>54.81</v>
      </c>
      <c r="V34" s="1102">
        <v>12.18</v>
      </c>
      <c r="W34" s="1102">
        <v>22.18</v>
      </c>
      <c r="X34" s="1102">
        <v>24.31</v>
      </c>
      <c r="Y34" s="1102">
        <v>37.770000000000003</v>
      </c>
      <c r="Z34" s="1102">
        <v>34.57</v>
      </c>
      <c r="AB34" s="1101" t="s">
        <v>1116</v>
      </c>
      <c r="AC34" s="1102">
        <v>19.649999999999999</v>
      </c>
      <c r="AD34" s="1102">
        <v>21.19</v>
      </c>
      <c r="AE34" s="1102">
        <v>53.73</v>
      </c>
      <c r="AF34" s="1102">
        <v>12.18</v>
      </c>
      <c r="AG34" s="1102">
        <v>37.770000000000003</v>
      </c>
      <c r="AH34" s="1121">
        <v>34.57</v>
      </c>
      <c r="AI34" s="1119"/>
      <c r="AJ34" s="1101" t="s">
        <v>253</v>
      </c>
      <c r="AK34" s="1102">
        <v>19.420000000000002</v>
      </c>
      <c r="AL34" s="1102">
        <v>11.02</v>
      </c>
      <c r="AM34" s="1102">
        <v>22.35</v>
      </c>
      <c r="AN34" s="1102">
        <v>33.43</v>
      </c>
      <c r="AO34" s="1102">
        <v>3.15</v>
      </c>
      <c r="AP34" s="1121">
        <v>55.56</v>
      </c>
    </row>
    <row r="35" spans="1:42">
      <c r="A35" s="1103" t="s">
        <v>233</v>
      </c>
      <c r="B35" s="1079"/>
      <c r="C35" s="1079">
        <v>0</v>
      </c>
      <c r="D35" s="1079">
        <v>0</v>
      </c>
      <c r="E35" s="1079">
        <v>0</v>
      </c>
      <c r="F35" s="1079">
        <v>1.01</v>
      </c>
      <c r="G35" s="1079">
        <v>0</v>
      </c>
      <c r="H35" s="1079">
        <v>0</v>
      </c>
      <c r="I35" s="1079">
        <v>0</v>
      </c>
      <c r="J35" s="1079">
        <v>0</v>
      </c>
      <c r="K35" s="1079">
        <v>0</v>
      </c>
      <c r="L35" s="1079">
        <v>0</v>
      </c>
      <c r="M35" s="1079">
        <v>0</v>
      </c>
      <c r="N35" s="1079">
        <v>0</v>
      </c>
      <c r="O35" s="1079">
        <v>0</v>
      </c>
      <c r="P35" s="1079">
        <v>0</v>
      </c>
      <c r="Q35" s="1079">
        <v>0</v>
      </c>
      <c r="R35" s="1079">
        <v>0</v>
      </c>
      <c r="S35" s="1079">
        <v>0</v>
      </c>
      <c r="T35" s="1079">
        <v>0</v>
      </c>
      <c r="U35" s="1079">
        <v>0</v>
      </c>
      <c r="V35" s="1079">
        <v>0</v>
      </c>
      <c r="W35" s="1079">
        <v>0</v>
      </c>
      <c r="X35" s="1079">
        <v>0</v>
      </c>
      <c r="Y35" s="1079">
        <v>0</v>
      </c>
      <c r="Z35" s="1079">
        <v>0</v>
      </c>
      <c r="AB35" s="1103" t="s">
        <v>233</v>
      </c>
      <c r="AC35" s="1079">
        <v>0</v>
      </c>
      <c r="AD35" s="1079">
        <v>0</v>
      </c>
      <c r="AE35" s="1079">
        <v>0</v>
      </c>
      <c r="AF35" s="1079">
        <v>0</v>
      </c>
      <c r="AG35" s="1079">
        <v>0</v>
      </c>
      <c r="AH35" s="1112">
        <v>0</v>
      </c>
      <c r="AI35" s="1119"/>
    </row>
    <row r="36" spans="1:42">
      <c r="A36" s="1103" t="s">
        <v>220</v>
      </c>
      <c r="B36" s="1079">
        <v>3.61</v>
      </c>
      <c r="C36" s="1079"/>
      <c r="D36" s="1079">
        <v>8.1</v>
      </c>
      <c r="E36" s="1079">
        <v>0</v>
      </c>
      <c r="F36" s="1079">
        <v>9.68</v>
      </c>
      <c r="G36" s="1079">
        <v>30.5</v>
      </c>
      <c r="H36" s="1079">
        <v>0</v>
      </c>
      <c r="I36" s="1079">
        <v>0.66</v>
      </c>
      <c r="J36" s="1079">
        <v>0</v>
      </c>
      <c r="K36" s="1079">
        <v>0</v>
      </c>
      <c r="L36" s="1079">
        <v>0.31</v>
      </c>
      <c r="M36" s="1079">
        <v>4.32</v>
      </c>
      <c r="N36" s="1079">
        <v>0</v>
      </c>
      <c r="O36" s="1079">
        <v>0</v>
      </c>
      <c r="P36" s="1079">
        <v>45.9</v>
      </c>
      <c r="Q36" s="1079">
        <v>0.87</v>
      </c>
      <c r="R36" s="1079">
        <v>0</v>
      </c>
      <c r="S36" s="1079">
        <v>0</v>
      </c>
      <c r="T36" s="1079">
        <v>0</v>
      </c>
      <c r="U36" s="1079">
        <v>0</v>
      </c>
      <c r="V36" s="1079">
        <v>9.7799999999999994</v>
      </c>
      <c r="W36" s="1079">
        <v>20.010000000000002</v>
      </c>
      <c r="X36" s="1079">
        <v>23.2</v>
      </c>
      <c r="Y36" s="1079">
        <v>20.83</v>
      </c>
      <c r="Z36" s="1079">
        <v>0</v>
      </c>
      <c r="AB36" s="1103" t="s">
        <v>220</v>
      </c>
      <c r="AC36" s="1079">
        <v>0</v>
      </c>
      <c r="AD36" s="1079">
        <v>0</v>
      </c>
      <c r="AE36" s="1079">
        <v>45.9</v>
      </c>
      <c r="AF36" s="1079">
        <v>9.7799999999999994</v>
      </c>
      <c r="AG36" s="1079">
        <v>20.83</v>
      </c>
      <c r="AH36" s="1112">
        <v>0</v>
      </c>
      <c r="AI36" s="1119"/>
      <c r="AJ36" s="1123" t="s">
        <v>220</v>
      </c>
      <c r="AK36" s="1079">
        <v>0.54</v>
      </c>
      <c r="AL36" s="1079">
        <v>23.99</v>
      </c>
      <c r="AM36" s="1079">
        <v>25.03</v>
      </c>
      <c r="AN36" s="1079">
        <v>7.41</v>
      </c>
      <c r="AO36" s="1079">
        <v>0.5</v>
      </c>
    </row>
    <row r="37" spans="1:42">
      <c r="A37" s="1103" t="s">
        <v>223</v>
      </c>
      <c r="B37" s="1079">
        <v>0</v>
      </c>
      <c r="C37" s="1079">
        <v>0.49</v>
      </c>
      <c r="D37" s="1079"/>
      <c r="E37" s="1079">
        <v>0</v>
      </c>
      <c r="F37" s="1079">
        <v>1.04</v>
      </c>
      <c r="G37" s="1079">
        <v>6.54</v>
      </c>
      <c r="H37" s="1079">
        <v>0</v>
      </c>
      <c r="I37" s="1079">
        <v>2.3199999999999998</v>
      </c>
      <c r="J37" s="1079">
        <v>0</v>
      </c>
      <c r="K37" s="1079">
        <v>0</v>
      </c>
      <c r="L37" s="1079">
        <v>0</v>
      </c>
      <c r="M37" s="1079">
        <v>0.92</v>
      </c>
      <c r="N37" s="1079">
        <v>0</v>
      </c>
      <c r="O37" s="1079">
        <v>0</v>
      </c>
      <c r="P37" s="1079">
        <v>0</v>
      </c>
      <c r="Q37" s="1079">
        <v>0</v>
      </c>
      <c r="R37" s="1079">
        <v>0</v>
      </c>
      <c r="S37" s="1079">
        <v>0</v>
      </c>
      <c r="T37" s="1079">
        <v>0</v>
      </c>
      <c r="U37" s="1079">
        <v>50.96</v>
      </c>
      <c r="V37" s="1079">
        <v>0</v>
      </c>
      <c r="W37" s="1079">
        <v>0.74</v>
      </c>
      <c r="X37" s="1079">
        <v>0</v>
      </c>
      <c r="Y37" s="1079">
        <v>0</v>
      </c>
      <c r="Z37" s="1079">
        <v>0</v>
      </c>
      <c r="AB37" s="1103" t="s">
        <v>223</v>
      </c>
      <c r="AC37" s="1079">
        <v>0</v>
      </c>
      <c r="AD37" s="1079">
        <v>0</v>
      </c>
      <c r="AE37" s="1079">
        <v>0</v>
      </c>
      <c r="AF37" s="1079">
        <v>0</v>
      </c>
      <c r="AG37" s="1079">
        <v>0</v>
      </c>
      <c r="AH37" s="1112">
        <v>0</v>
      </c>
      <c r="AI37" s="1119"/>
      <c r="AJ37" s="1123" t="s">
        <v>232</v>
      </c>
      <c r="AK37" s="1079"/>
      <c r="AL37" s="1079">
        <v>0.04</v>
      </c>
      <c r="AM37" s="1079">
        <v>0.86</v>
      </c>
      <c r="AN37" s="1079">
        <v>2.65</v>
      </c>
      <c r="AO37" s="1079">
        <v>0</v>
      </c>
    </row>
    <row r="38" spans="1:42">
      <c r="A38" s="1103" t="s">
        <v>249</v>
      </c>
      <c r="B38" s="1079">
        <v>0</v>
      </c>
      <c r="C38" s="1079">
        <v>0</v>
      </c>
      <c r="D38" s="1079">
        <v>0</v>
      </c>
      <c r="E38" s="1079"/>
      <c r="F38" s="1079">
        <v>0</v>
      </c>
      <c r="G38" s="1079">
        <v>0</v>
      </c>
      <c r="H38" s="1079">
        <v>0</v>
      </c>
      <c r="I38" s="1079">
        <v>0</v>
      </c>
      <c r="J38" s="1079">
        <v>0</v>
      </c>
      <c r="K38" s="1079">
        <v>0</v>
      </c>
      <c r="L38" s="1079">
        <v>0</v>
      </c>
      <c r="M38" s="1079">
        <v>0.13</v>
      </c>
      <c r="N38" s="1079">
        <v>0</v>
      </c>
      <c r="O38" s="1079">
        <v>0</v>
      </c>
      <c r="P38" s="1079">
        <v>0</v>
      </c>
      <c r="Q38" s="1079">
        <v>0</v>
      </c>
      <c r="R38" s="1079">
        <v>0</v>
      </c>
      <c r="S38" s="1079">
        <v>0</v>
      </c>
      <c r="T38" s="1079">
        <v>0</v>
      </c>
      <c r="U38" s="1079">
        <v>0</v>
      </c>
      <c r="V38" s="1079">
        <v>0</v>
      </c>
      <c r="W38" s="1079">
        <v>0</v>
      </c>
      <c r="X38" s="1079">
        <v>0</v>
      </c>
      <c r="Y38" s="1079">
        <v>0</v>
      </c>
      <c r="Z38" s="1079">
        <v>0</v>
      </c>
      <c r="AB38" s="1103" t="s">
        <v>249</v>
      </c>
      <c r="AC38" s="1079">
        <v>0</v>
      </c>
      <c r="AD38" s="1079">
        <v>0</v>
      </c>
      <c r="AE38" s="1079">
        <v>0</v>
      </c>
      <c r="AF38" s="1079">
        <v>0</v>
      </c>
      <c r="AG38" s="1079">
        <v>0</v>
      </c>
      <c r="AH38" s="1112">
        <v>0</v>
      </c>
      <c r="AI38" s="1119"/>
      <c r="AJ38" s="1123" t="s">
        <v>230</v>
      </c>
      <c r="AK38" s="1079">
        <v>0.11</v>
      </c>
      <c r="AL38" s="1079"/>
      <c r="AM38" s="1079">
        <v>0.05</v>
      </c>
      <c r="AN38" s="1079">
        <v>0.8</v>
      </c>
      <c r="AO38" s="1079">
        <v>6.57</v>
      </c>
    </row>
    <row r="39" spans="1:42">
      <c r="A39" s="1103" t="s">
        <v>221</v>
      </c>
      <c r="B39" s="1079">
        <v>79.52</v>
      </c>
      <c r="C39" s="1079">
        <v>0.66</v>
      </c>
      <c r="D39" s="1079">
        <v>7.2</v>
      </c>
      <c r="E39" s="1079">
        <v>0</v>
      </c>
      <c r="F39" s="1079"/>
      <c r="G39" s="1079">
        <v>0</v>
      </c>
      <c r="H39" s="1079">
        <v>0</v>
      </c>
      <c r="I39" s="1079">
        <v>0</v>
      </c>
      <c r="J39" s="1079">
        <v>0</v>
      </c>
      <c r="K39" s="1079">
        <v>0.48</v>
      </c>
      <c r="L39" s="1079">
        <v>4.5999999999999996</v>
      </c>
      <c r="M39" s="1079">
        <v>1.95</v>
      </c>
      <c r="N39" s="1079">
        <v>0</v>
      </c>
      <c r="O39" s="1079">
        <v>0</v>
      </c>
      <c r="P39" s="1079">
        <v>0</v>
      </c>
      <c r="Q39" s="1079">
        <v>0</v>
      </c>
      <c r="R39" s="1079">
        <v>0</v>
      </c>
      <c r="S39" s="1079">
        <v>0</v>
      </c>
      <c r="T39" s="1079">
        <v>0</v>
      </c>
      <c r="U39" s="1079">
        <v>0</v>
      </c>
      <c r="V39" s="1079">
        <v>0</v>
      </c>
      <c r="W39" s="1079">
        <v>0.53</v>
      </c>
      <c r="X39" s="1079">
        <v>0</v>
      </c>
      <c r="Y39" s="1079">
        <v>0</v>
      </c>
      <c r="Z39" s="1079">
        <v>0</v>
      </c>
      <c r="AB39" s="1103" t="s">
        <v>221</v>
      </c>
      <c r="AC39" s="1079">
        <v>0</v>
      </c>
      <c r="AD39" s="1079">
        <v>0</v>
      </c>
      <c r="AE39" s="1079">
        <v>0</v>
      </c>
      <c r="AF39" s="1079">
        <v>0</v>
      </c>
      <c r="AG39" s="1079">
        <v>0</v>
      </c>
      <c r="AH39" s="1112">
        <v>0</v>
      </c>
      <c r="AI39" s="1119"/>
      <c r="AJ39" s="1123" t="s">
        <v>224</v>
      </c>
      <c r="AK39" s="1079">
        <v>10.74</v>
      </c>
      <c r="AL39" s="1079">
        <v>0.36</v>
      </c>
      <c r="AM39" s="1079"/>
      <c r="AN39" s="1079">
        <v>11.5</v>
      </c>
      <c r="AO39" s="1079">
        <v>0.75</v>
      </c>
    </row>
    <row r="40" spans="1:42">
      <c r="A40" s="1103" t="s">
        <v>234</v>
      </c>
      <c r="B40" s="1079">
        <v>0</v>
      </c>
      <c r="C40" s="1079">
        <v>0.02</v>
      </c>
      <c r="D40" s="1079">
        <v>0.04</v>
      </c>
      <c r="E40" s="1079">
        <v>0</v>
      </c>
      <c r="F40" s="1079">
        <v>0</v>
      </c>
      <c r="G40" s="1079"/>
      <c r="H40" s="1079">
        <v>0</v>
      </c>
      <c r="I40" s="1079">
        <v>0</v>
      </c>
      <c r="J40" s="1079">
        <v>0</v>
      </c>
      <c r="K40" s="1079">
        <v>0</v>
      </c>
      <c r="L40" s="1079">
        <v>0</v>
      </c>
      <c r="M40" s="1079">
        <v>0</v>
      </c>
      <c r="N40" s="1079">
        <v>0</v>
      </c>
      <c r="O40" s="1079">
        <v>0</v>
      </c>
      <c r="P40" s="1079">
        <v>0</v>
      </c>
      <c r="Q40" s="1079">
        <v>0</v>
      </c>
      <c r="R40" s="1079">
        <v>0</v>
      </c>
      <c r="S40" s="1079">
        <v>0</v>
      </c>
      <c r="T40" s="1079">
        <v>0</v>
      </c>
      <c r="U40" s="1079">
        <v>0</v>
      </c>
      <c r="V40" s="1079">
        <v>0</v>
      </c>
      <c r="W40" s="1079">
        <v>0</v>
      </c>
      <c r="X40" s="1079">
        <v>0</v>
      </c>
      <c r="Y40" s="1079">
        <v>0</v>
      </c>
      <c r="Z40" s="1079">
        <v>0</v>
      </c>
      <c r="AB40" s="1103" t="s">
        <v>234</v>
      </c>
      <c r="AC40" s="1079">
        <v>0</v>
      </c>
      <c r="AD40" s="1079">
        <v>0</v>
      </c>
      <c r="AE40" s="1079">
        <v>0</v>
      </c>
      <c r="AF40" s="1079">
        <v>0</v>
      </c>
      <c r="AG40" s="1079">
        <v>0</v>
      </c>
      <c r="AH40" s="1112">
        <v>0</v>
      </c>
      <c r="AI40" s="1119"/>
      <c r="AJ40" s="1123" t="s">
        <v>219</v>
      </c>
      <c r="AK40" s="1079">
        <v>0.27</v>
      </c>
      <c r="AL40" s="1079">
        <v>0.28000000000000003</v>
      </c>
      <c r="AM40" s="1079">
        <v>2.0699999999999998</v>
      </c>
      <c r="AN40" s="1079">
        <v>2.97</v>
      </c>
      <c r="AO40" s="1079">
        <v>2.66</v>
      </c>
    </row>
    <row r="41" spans="1:42">
      <c r="A41" s="1103" t="s">
        <v>225</v>
      </c>
      <c r="B41" s="1079">
        <v>0</v>
      </c>
      <c r="C41" s="1079">
        <v>0.01</v>
      </c>
      <c r="D41" s="1079">
        <v>0.13</v>
      </c>
      <c r="E41" s="1079">
        <v>0</v>
      </c>
      <c r="F41" s="1079">
        <v>0</v>
      </c>
      <c r="G41" s="1079">
        <v>0</v>
      </c>
      <c r="H41" s="1079">
        <v>0</v>
      </c>
      <c r="I41" s="1079"/>
      <c r="J41" s="1079">
        <v>0</v>
      </c>
      <c r="K41" s="1079">
        <v>0</v>
      </c>
      <c r="L41" s="1079">
        <v>0</v>
      </c>
      <c r="M41" s="1079">
        <v>0.42</v>
      </c>
      <c r="N41" s="1079">
        <v>0</v>
      </c>
      <c r="O41" s="1079">
        <v>0</v>
      </c>
      <c r="P41" s="1079">
        <v>0</v>
      </c>
      <c r="Q41" s="1079">
        <v>0</v>
      </c>
      <c r="R41" s="1079">
        <v>0</v>
      </c>
      <c r="S41" s="1079">
        <v>0</v>
      </c>
      <c r="T41" s="1079">
        <v>0</v>
      </c>
      <c r="U41" s="1079">
        <v>0</v>
      </c>
      <c r="V41" s="1079">
        <v>0</v>
      </c>
      <c r="W41" s="1079">
        <v>0</v>
      </c>
      <c r="X41" s="1079">
        <v>0</v>
      </c>
      <c r="Y41" s="1079">
        <v>0</v>
      </c>
      <c r="Z41" s="1079">
        <v>0</v>
      </c>
      <c r="AB41" s="1103" t="s">
        <v>225</v>
      </c>
      <c r="AC41" s="1079">
        <v>0</v>
      </c>
      <c r="AD41" s="1079">
        <v>0</v>
      </c>
      <c r="AE41" s="1079">
        <v>0</v>
      </c>
      <c r="AF41" s="1079">
        <v>0</v>
      </c>
      <c r="AG41" s="1079">
        <v>0</v>
      </c>
      <c r="AH41" s="1112">
        <v>0</v>
      </c>
      <c r="AI41" s="1119"/>
      <c r="AJ41" s="1123" t="s">
        <v>231</v>
      </c>
      <c r="AK41" s="1079">
        <v>0</v>
      </c>
      <c r="AL41" s="1079">
        <v>12.35</v>
      </c>
      <c r="AM41" s="1079">
        <v>0.03</v>
      </c>
      <c r="AN41" s="1079">
        <v>0.13</v>
      </c>
      <c r="AO41" s="1079"/>
    </row>
    <row r="42" spans="1:42">
      <c r="A42" s="1103" t="s">
        <v>236</v>
      </c>
      <c r="B42" s="1079">
        <v>0</v>
      </c>
      <c r="C42" s="1079">
        <v>0</v>
      </c>
      <c r="D42" s="1079">
        <v>0</v>
      </c>
      <c r="E42" s="1079">
        <v>0</v>
      </c>
      <c r="F42" s="1079">
        <v>0.04</v>
      </c>
      <c r="G42" s="1079">
        <v>0</v>
      </c>
      <c r="H42" s="1079">
        <v>0</v>
      </c>
      <c r="I42" s="1079">
        <v>0</v>
      </c>
      <c r="J42" s="1079">
        <v>0</v>
      </c>
      <c r="K42" s="1079"/>
      <c r="L42" s="1079">
        <v>0</v>
      </c>
      <c r="M42" s="1079">
        <v>0</v>
      </c>
      <c r="N42" s="1079">
        <v>0</v>
      </c>
      <c r="O42" s="1079">
        <v>0</v>
      </c>
      <c r="P42" s="1079">
        <v>0</v>
      </c>
      <c r="Q42" s="1079">
        <v>0</v>
      </c>
      <c r="R42" s="1079">
        <v>0</v>
      </c>
      <c r="S42" s="1079">
        <v>0</v>
      </c>
      <c r="T42" s="1079">
        <v>0</v>
      </c>
      <c r="U42" s="1079">
        <v>0</v>
      </c>
      <c r="V42" s="1079">
        <v>0</v>
      </c>
      <c r="W42" s="1079">
        <v>0</v>
      </c>
      <c r="X42" s="1079">
        <v>0</v>
      </c>
      <c r="Y42" s="1079">
        <v>0</v>
      </c>
      <c r="Z42" s="1079">
        <v>0</v>
      </c>
      <c r="AB42" s="1103" t="s">
        <v>236</v>
      </c>
      <c r="AC42" s="1079">
        <v>0</v>
      </c>
      <c r="AD42" s="1079">
        <v>0</v>
      </c>
      <c r="AE42" s="1079">
        <v>0</v>
      </c>
      <c r="AF42" s="1079">
        <v>0</v>
      </c>
      <c r="AG42" s="1079">
        <v>0</v>
      </c>
      <c r="AH42" s="1112">
        <v>0</v>
      </c>
      <c r="AI42" s="1119"/>
    </row>
    <row r="43" spans="1:42">
      <c r="A43" s="1103" t="s">
        <v>227</v>
      </c>
      <c r="B43" s="1079">
        <v>0</v>
      </c>
      <c r="C43" s="1079">
        <v>0.01</v>
      </c>
      <c r="D43" s="1079">
        <v>0</v>
      </c>
      <c r="E43" s="1079">
        <v>0</v>
      </c>
      <c r="F43" s="1079">
        <v>0.47</v>
      </c>
      <c r="G43" s="1079">
        <v>0</v>
      </c>
      <c r="H43" s="1079">
        <v>0</v>
      </c>
      <c r="I43" s="1079">
        <v>0</v>
      </c>
      <c r="J43" s="1079">
        <v>0</v>
      </c>
      <c r="K43" s="1079">
        <v>0</v>
      </c>
      <c r="L43" s="1079"/>
      <c r="M43" s="1079">
        <v>3.21</v>
      </c>
      <c r="N43" s="1079">
        <v>0</v>
      </c>
      <c r="O43" s="1079">
        <v>0</v>
      </c>
      <c r="P43" s="1079">
        <v>0</v>
      </c>
      <c r="Q43" s="1079">
        <v>0</v>
      </c>
      <c r="R43" s="1079">
        <v>0</v>
      </c>
      <c r="S43" s="1079">
        <v>0</v>
      </c>
      <c r="T43" s="1079">
        <v>0</v>
      </c>
      <c r="U43" s="1079">
        <v>0</v>
      </c>
      <c r="V43" s="1079">
        <v>0</v>
      </c>
      <c r="W43" s="1079">
        <v>0.01</v>
      </c>
      <c r="X43" s="1079">
        <v>0</v>
      </c>
      <c r="Y43" s="1079">
        <v>0</v>
      </c>
      <c r="Z43" s="1079">
        <v>0</v>
      </c>
      <c r="AB43" s="1103" t="s">
        <v>227</v>
      </c>
      <c r="AC43" s="1079">
        <v>0</v>
      </c>
      <c r="AD43" s="1079">
        <v>0</v>
      </c>
      <c r="AE43" s="1079">
        <v>0</v>
      </c>
      <c r="AF43" s="1079">
        <v>0</v>
      </c>
      <c r="AG43" s="1079">
        <v>0</v>
      </c>
      <c r="AH43" s="1112">
        <v>0</v>
      </c>
      <c r="AI43" s="1119"/>
    </row>
    <row r="44" spans="1:42">
      <c r="A44" s="1103" t="s">
        <v>2</v>
      </c>
      <c r="B44" s="1079">
        <v>0</v>
      </c>
      <c r="C44" s="1079">
        <v>1.43</v>
      </c>
      <c r="D44" s="1079">
        <v>0.41</v>
      </c>
      <c r="E44" s="1079">
        <v>0.64</v>
      </c>
      <c r="F44" s="1079">
        <v>1.58</v>
      </c>
      <c r="G44" s="1079">
        <v>0</v>
      </c>
      <c r="H44" s="1079">
        <v>0</v>
      </c>
      <c r="I44" s="1079">
        <v>3.64</v>
      </c>
      <c r="J44" s="1079">
        <v>0</v>
      </c>
      <c r="K44" s="1079">
        <v>0</v>
      </c>
      <c r="L44" s="1079">
        <v>14.72</v>
      </c>
      <c r="M44" s="1079"/>
      <c r="N44" s="1079">
        <v>0</v>
      </c>
      <c r="O44" s="1079">
        <v>0</v>
      </c>
      <c r="P44" s="1079">
        <v>0</v>
      </c>
      <c r="Q44" s="1079">
        <v>0</v>
      </c>
      <c r="R44" s="1079">
        <v>0</v>
      </c>
      <c r="S44" s="1079">
        <v>0</v>
      </c>
      <c r="T44" s="1079">
        <v>0</v>
      </c>
      <c r="U44" s="1079">
        <v>3.85</v>
      </c>
      <c r="V44" s="1079">
        <v>0</v>
      </c>
      <c r="W44" s="1079">
        <v>0.53</v>
      </c>
      <c r="X44" s="1079">
        <v>0.83</v>
      </c>
      <c r="Y44" s="1079">
        <v>0</v>
      </c>
      <c r="Z44" s="1079">
        <v>0</v>
      </c>
      <c r="AB44" s="1103" t="s">
        <v>2</v>
      </c>
      <c r="AC44" s="1079">
        <v>0</v>
      </c>
      <c r="AD44" s="1079">
        <v>0</v>
      </c>
      <c r="AE44" s="1079">
        <v>0</v>
      </c>
      <c r="AF44" s="1079">
        <v>0</v>
      </c>
      <c r="AG44" s="1079">
        <v>0</v>
      </c>
      <c r="AH44" s="1112">
        <v>0</v>
      </c>
      <c r="AI44" s="1119"/>
    </row>
    <row r="45" spans="1:42">
      <c r="A45" s="1103" t="s">
        <v>232</v>
      </c>
      <c r="B45" s="1079">
        <v>0</v>
      </c>
      <c r="C45" s="1079">
        <v>0</v>
      </c>
      <c r="D45" s="1079">
        <v>0</v>
      </c>
      <c r="E45" s="1079">
        <v>0</v>
      </c>
      <c r="F45" s="1079">
        <v>0</v>
      </c>
      <c r="G45" s="1079">
        <v>0</v>
      </c>
      <c r="H45" s="1079">
        <v>0</v>
      </c>
      <c r="I45" s="1079">
        <v>0</v>
      </c>
      <c r="J45" s="1079">
        <v>0</v>
      </c>
      <c r="K45" s="1079">
        <v>0</v>
      </c>
      <c r="L45" s="1079">
        <v>0</v>
      </c>
      <c r="M45" s="1079">
        <v>0</v>
      </c>
      <c r="N45" s="1079"/>
      <c r="O45" s="1079">
        <v>0</v>
      </c>
      <c r="P45" s="1079">
        <v>0</v>
      </c>
      <c r="Q45" s="1079">
        <v>0</v>
      </c>
      <c r="R45" s="1079">
        <v>0</v>
      </c>
      <c r="S45" s="1079">
        <v>0</v>
      </c>
      <c r="T45" s="1079">
        <v>0</v>
      </c>
      <c r="U45" s="1079">
        <v>0</v>
      </c>
      <c r="V45" s="1079">
        <v>0.34</v>
      </c>
      <c r="W45" s="1079">
        <v>0</v>
      </c>
      <c r="X45" s="1079">
        <v>0</v>
      </c>
      <c r="Y45" s="1079">
        <v>0</v>
      </c>
      <c r="Z45" s="1079">
        <v>0</v>
      </c>
      <c r="AB45" s="1103" t="s">
        <v>232</v>
      </c>
      <c r="AC45" s="1079"/>
      <c r="AD45" s="1079">
        <v>0</v>
      </c>
      <c r="AE45" s="1079">
        <v>0</v>
      </c>
      <c r="AF45" s="1079">
        <v>0.34</v>
      </c>
      <c r="AG45" s="1079">
        <v>0</v>
      </c>
      <c r="AH45" s="1112">
        <v>0</v>
      </c>
      <c r="AI45" s="1119"/>
    </row>
    <row r="46" spans="1:42">
      <c r="A46" s="1103" t="s">
        <v>230</v>
      </c>
      <c r="B46" s="1079">
        <v>0</v>
      </c>
      <c r="C46" s="1079">
        <v>0</v>
      </c>
      <c r="D46" s="1079">
        <v>0</v>
      </c>
      <c r="E46" s="1079">
        <v>0</v>
      </c>
      <c r="F46" s="1079">
        <v>0</v>
      </c>
      <c r="G46" s="1079">
        <v>0</v>
      </c>
      <c r="H46" s="1079">
        <v>0</v>
      </c>
      <c r="I46" s="1079">
        <v>0</v>
      </c>
      <c r="J46" s="1079">
        <v>0</v>
      </c>
      <c r="K46" s="1079">
        <v>0</v>
      </c>
      <c r="L46" s="1079">
        <v>0</v>
      </c>
      <c r="M46" s="1079">
        <v>0</v>
      </c>
      <c r="N46" s="1079">
        <v>0</v>
      </c>
      <c r="O46" s="1079"/>
      <c r="P46" s="1079">
        <v>0</v>
      </c>
      <c r="Q46" s="1079">
        <v>0</v>
      </c>
      <c r="R46" s="1079">
        <v>0</v>
      </c>
      <c r="S46" s="1079">
        <v>0</v>
      </c>
      <c r="T46" s="1079">
        <v>0</v>
      </c>
      <c r="U46" s="1079">
        <v>0</v>
      </c>
      <c r="V46" s="1079">
        <v>0.24</v>
      </c>
      <c r="W46" s="1079">
        <v>0</v>
      </c>
      <c r="X46" s="1079">
        <v>0</v>
      </c>
      <c r="Y46" s="1079">
        <v>0</v>
      </c>
      <c r="Z46" s="1079">
        <v>34.57</v>
      </c>
      <c r="AB46" s="1103" t="s">
        <v>230</v>
      </c>
      <c r="AC46" s="1079">
        <v>0</v>
      </c>
      <c r="AD46" s="1079"/>
      <c r="AE46" s="1079">
        <v>0</v>
      </c>
      <c r="AF46" s="1079">
        <v>0.24</v>
      </c>
      <c r="AG46" s="1079">
        <v>0</v>
      </c>
      <c r="AH46" s="1112">
        <v>34.57</v>
      </c>
      <c r="AI46" s="1119"/>
    </row>
    <row r="47" spans="1:42">
      <c r="A47" s="1103" t="s">
        <v>238</v>
      </c>
      <c r="B47" s="1079">
        <v>0</v>
      </c>
      <c r="C47" s="1079">
        <v>0.05</v>
      </c>
      <c r="D47" s="1079">
        <v>0</v>
      </c>
      <c r="E47" s="1079">
        <v>0</v>
      </c>
      <c r="F47" s="1079">
        <v>0</v>
      </c>
      <c r="G47" s="1079">
        <v>0</v>
      </c>
      <c r="H47" s="1079">
        <v>0</v>
      </c>
      <c r="I47" s="1079">
        <v>0</v>
      </c>
      <c r="J47" s="1079">
        <v>0</v>
      </c>
      <c r="K47" s="1079">
        <v>0</v>
      </c>
      <c r="L47" s="1079">
        <v>0</v>
      </c>
      <c r="M47" s="1079">
        <v>0</v>
      </c>
      <c r="N47" s="1079">
        <v>0</v>
      </c>
      <c r="O47" s="1079">
        <v>0</v>
      </c>
      <c r="P47" s="1079"/>
      <c r="Q47" s="1079">
        <v>0</v>
      </c>
      <c r="R47" s="1079">
        <v>0</v>
      </c>
      <c r="S47" s="1079">
        <v>0</v>
      </c>
      <c r="T47" s="1079">
        <v>0</v>
      </c>
      <c r="U47" s="1079">
        <v>0</v>
      </c>
      <c r="V47" s="1079">
        <v>0.14000000000000001</v>
      </c>
      <c r="W47" s="1079">
        <v>0</v>
      </c>
      <c r="X47" s="1079">
        <v>0</v>
      </c>
      <c r="Y47" s="1079">
        <v>3.8</v>
      </c>
      <c r="Z47" s="1079">
        <v>0</v>
      </c>
      <c r="AB47" s="1103" t="s">
        <v>238</v>
      </c>
      <c r="AC47" s="1079">
        <v>0</v>
      </c>
      <c r="AD47" s="1079">
        <v>0</v>
      </c>
      <c r="AE47" s="1079"/>
      <c r="AF47" s="1079">
        <v>0.14000000000000001</v>
      </c>
      <c r="AG47" s="1079">
        <v>3.8</v>
      </c>
      <c r="AH47" s="1112">
        <v>0</v>
      </c>
      <c r="AI47" s="1119"/>
    </row>
    <row r="48" spans="1:42">
      <c r="A48" s="1103" t="s">
        <v>226</v>
      </c>
      <c r="B48" s="1079">
        <v>0</v>
      </c>
      <c r="C48" s="1079">
        <v>0.01</v>
      </c>
      <c r="D48" s="1079">
        <v>0</v>
      </c>
      <c r="E48" s="1079">
        <v>0</v>
      </c>
      <c r="F48" s="1079">
        <v>0</v>
      </c>
      <c r="G48" s="1079">
        <v>0</v>
      </c>
      <c r="H48" s="1079">
        <v>0</v>
      </c>
      <c r="I48" s="1079">
        <v>0</v>
      </c>
      <c r="J48" s="1079">
        <v>0</v>
      </c>
      <c r="K48" s="1079">
        <v>0</v>
      </c>
      <c r="L48" s="1079">
        <v>0</v>
      </c>
      <c r="M48" s="1079">
        <v>0</v>
      </c>
      <c r="N48" s="1079">
        <v>0</v>
      </c>
      <c r="O48" s="1079">
        <v>0</v>
      </c>
      <c r="P48" s="1079">
        <v>0</v>
      </c>
      <c r="Q48" s="1079"/>
      <c r="R48" s="1079">
        <v>0</v>
      </c>
      <c r="S48" s="1079">
        <v>0</v>
      </c>
      <c r="T48" s="1079">
        <v>0</v>
      </c>
      <c r="U48" s="1079">
        <v>0</v>
      </c>
      <c r="V48" s="1079">
        <v>0</v>
      </c>
      <c r="W48" s="1079">
        <v>0.12</v>
      </c>
      <c r="X48" s="1079">
        <v>0</v>
      </c>
      <c r="Y48" s="1079">
        <v>0.16</v>
      </c>
      <c r="Z48" s="1079">
        <v>0</v>
      </c>
      <c r="AB48" s="1103" t="s">
        <v>226</v>
      </c>
      <c r="AC48" s="1079">
        <v>0</v>
      </c>
      <c r="AD48" s="1079">
        <v>0</v>
      </c>
      <c r="AE48" s="1079">
        <v>0</v>
      </c>
      <c r="AF48" s="1079">
        <v>0</v>
      </c>
      <c r="AG48" s="1079">
        <v>0.16</v>
      </c>
      <c r="AH48" s="1112">
        <v>0</v>
      </c>
      <c r="AI48" s="1119"/>
    </row>
    <row r="49" spans="1:42">
      <c r="A49" s="1103" t="s">
        <v>228</v>
      </c>
      <c r="B49" s="1079">
        <v>0</v>
      </c>
      <c r="C49" s="1079">
        <v>0</v>
      </c>
      <c r="D49" s="1079">
        <v>0.04</v>
      </c>
      <c r="E49" s="1079">
        <v>0</v>
      </c>
      <c r="F49" s="1079">
        <v>0</v>
      </c>
      <c r="G49" s="1079">
        <v>0</v>
      </c>
      <c r="H49" s="1079">
        <v>0</v>
      </c>
      <c r="I49" s="1079">
        <v>0</v>
      </c>
      <c r="J49" s="1079">
        <v>0</v>
      </c>
      <c r="K49" s="1079">
        <v>0</v>
      </c>
      <c r="L49" s="1079">
        <v>0</v>
      </c>
      <c r="M49" s="1079">
        <v>0.92</v>
      </c>
      <c r="N49" s="1079">
        <v>0</v>
      </c>
      <c r="O49" s="1079">
        <v>0</v>
      </c>
      <c r="P49" s="1079">
        <v>0</v>
      </c>
      <c r="Q49" s="1079">
        <v>0</v>
      </c>
      <c r="R49" s="1079">
        <v>0</v>
      </c>
      <c r="S49" s="1079">
        <v>0</v>
      </c>
      <c r="T49" s="1079">
        <v>0</v>
      </c>
      <c r="U49" s="1079"/>
      <c r="V49" s="1079">
        <v>0</v>
      </c>
      <c r="W49" s="1079">
        <v>0</v>
      </c>
      <c r="X49" s="1079">
        <v>0</v>
      </c>
      <c r="Y49" s="1079">
        <v>0</v>
      </c>
      <c r="Z49" s="1079">
        <v>0</v>
      </c>
      <c r="AB49" s="1103" t="s">
        <v>228</v>
      </c>
      <c r="AC49" s="1079">
        <v>0</v>
      </c>
      <c r="AD49" s="1079">
        <v>0</v>
      </c>
      <c r="AE49" s="1079">
        <v>0</v>
      </c>
      <c r="AF49" s="1079">
        <v>0</v>
      </c>
      <c r="AG49" s="1079">
        <v>0</v>
      </c>
      <c r="AH49" s="1112">
        <v>0</v>
      </c>
      <c r="AI49" s="1119"/>
    </row>
    <row r="50" spans="1:42">
      <c r="A50" s="1103" t="s">
        <v>224</v>
      </c>
      <c r="B50" s="1079">
        <v>0</v>
      </c>
      <c r="C50" s="1079">
        <v>0.32</v>
      </c>
      <c r="D50" s="1079">
        <v>0</v>
      </c>
      <c r="E50" s="1079">
        <v>0</v>
      </c>
      <c r="F50" s="1079">
        <v>0</v>
      </c>
      <c r="G50" s="1079">
        <v>0</v>
      </c>
      <c r="H50" s="1079">
        <v>0</v>
      </c>
      <c r="I50" s="1079">
        <v>0</v>
      </c>
      <c r="J50" s="1079">
        <v>0</v>
      </c>
      <c r="K50" s="1079">
        <v>0</v>
      </c>
      <c r="L50" s="1079">
        <v>0</v>
      </c>
      <c r="M50" s="1079">
        <v>0</v>
      </c>
      <c r="N50" s="1079">
        <v>19.649999999999999</v>
      </c>
      <c r="O50" s="1079">
        <v>13.56</v>
      </c>
      <c r="P50" s="1079">
        <v>1.1200000000000001</v>
      </c>
      <c r="Q50" s="1079">
        <v>0</v>
      </c>
      <c r="R50" s="1079">
        <v>0</v>
      </c>
      <c r="S50" s="1079">
        <v>0</v>
      </c>
      <c r="T50" s="1079">
        <v>0</v>
      </c>
      <c r="U50" s="1079">
        <v>0</v>
      </c>
      <c r="V50" s="1079"/>
      <c r="W50" s="1079">
        <v>0.01</v>
      </c>
      <c r="X50" s="1079">
        <v>0</v>
      </c>
      <c r="Y50" s="1079">
        <v>9.4499999999999993</v>
      </c>
      <c r="Z50" s="1079">
        <v>0</v>
      </c>
      <c r="AB50" s="1103" t="s">
        <v>224</v>
      </c>
      <c r="AC50" s="1079">
        <v>19.649999999999999</v>
      </c>
      <c r="AD50" s="1079">
        <v>13.56</v>
      </c>
      <c r="AE50" s="1079">
        <v>1.1200000000000001</v>
      </c>
      <c r="AF50" s="1079"/>
      <c r="AG50" s="1079">
        <v>9.4499999999999993</v>
      </c>
      <c r="AH50" s="1112">
        <v>0</v>
      </c>
      <c r="AI50" s="1119"/>
    </row>
    <row r="51" spans="1:42">
      <c r="A51" s="1103" t="s">
        <v>219</v>
      </c>
      <c r="B51" s="1079">
        <v>0</v>
      </c>
      <c r="C51" s="1079">
        <v>13.58</v>
      </c>
      <c r="D51" s="1079">
        <v>8.3699999999999992</v>
      </c>
      <c r="E51" s="1079">
        <v>0</v>
      </c>
      <c r="F51" s="1079">
        <v>2.61</v>
      </c>
      <c r="G51" s="1079">
        <v>0</v>
      </c>
      <c r="H51" s="1079">
        <v>0</v>
      </c>
      <c r="I51" s="1079">
        <v>0</v>
      </c>
      <c r="J51" s="1079">
        <v>0</v>
      </c>
      <c r="K51" s="1079">
        <v>62.62</v>
      </c>
      <c r="L51" s="1079">
        <v>4.91</v>
      </c>
      <c r="M51" s="1079">
        <v>2.38</v>
      </c>
      <c r="N51" s="1079">
        <v>0</v>
      </c>
      <c r="O51" s="1079">
        <v>0</v>
      </c>
      <c r="P51" s="1079">
        <v>0</v>
      </c>
      <c r="Q51" s="1079">
        <v>7.95</v>
      </c>
      <c r="R51" s="1079">
        <v>0</v>
      </c>
      <c r="S51" s="1079">
        <v>0</v>
      </c>
      <c r="T51" s="1079">
        <v>0</v>
      </c>
      <c r="U51" s="1079">
        <v>0</v>
      </c>
      <c r="V51" s="1079">
        <v>0.72</v>
      </c>
      <c r="W51" s="1079"/>
      <c r="X51" s="1079">
        <v>0.28000000000000003</v>
      </c>
      <c r="Y51" s="1079">
        <v>3.52</v>
      </c>
      <c r="Z51" s="1079">
        <v>0</v>
      </c>
      <c r="AB51" s="1103" t="s">
        <v>219</v>
      </c>
      <c r="AC51" s="1079">
        <v>0</v>
      </c>
      <c r="AD51" s="1079">
        <v>0</v>
      </c>
      <c r="AE51" s="1079">
        <v>0</v>
      </c>
      <c r="AF51" s="1079">
        <v>0.72</v>
      </c>
      <c r="AG51" s="1079">
        <v>3.52</v>
      </c>
      <c r="AH51" s="1112">
        <v>0</v>
      </c>
      <c r="AI51" s="1119"/>
    </row>
    <row r="52" spans="1:42">
      <c r="A52" s="1103" t="s">
        <v>229</v>
      </c>
      <c r="B52" s="1079">
        <v>0</v>
      </c>
      <c r="C52" s="1079">
        <v>0.13</v>
      </c>
      <c r="D52" s="1079">
        <v>0</v>
      </c>
      <c r="E52" s="1079">
        <v>0</v>
      </c>
      <c r="F52" s="1079">
        <v>0</v>
      </c>
      <c r="G52" s="1079">
        <v>0</v>
      </c>
      <c r="H52" s="1079">
        <v>0</v>
      </c>
      <c r="I52" s="1079">
        <v>0</v>
      </c>
      <c r="J52" s="1079">
        <v>0</v>
      </c>
      <c r="K52" s="1079">
        <v>0</v>
      </c>
      <c r="L52" s="1079">
        <v>0</v>
      </c>
      <c r="M52" s="1079">
        <v>0.17</v>
      </c>
      <c r="N52" s="1079">
        <v>0</v>
      </c>
      <c r="O52" s="1079">
        <v>0</v>
      </c>
      <c r="P52" s="1079">
        <v>0</v>
      </c>
      <c r="Q52" s="1079">
        <v>0</v>
      </c>
      <c r="R52" s="1079">
        <v>0</v>
      </c>
      <c r="S52" s="1079">
        <v>0</v>
      </c>
      <c r="T52" s="1079">
        <v>0</v>
      </c>
      <c r="U52" s="1079">
        <v>0</v>
      </c>
      <c r="V52" s="1079">
        <v>0</v>
      </c>
      <c r="W52" s="1079">
        <v>0.02</v>
      </c>
      <c r="X52" s="1079"/>
      <c r="Y52" s="1079">
        <v>0</v>
      </c>
      <c r="Z52" s="1079">
        <v>0</v>
      </c>
      <c r="AB52" s="1103" t="s">
        <v>229</v>
      </c>
      <c r="AC52" s="1079">
        <v>0</v>
      </c>
      <c r="AD52" s="1079">
        <v>0</v>
      </c>
      <c r="AE52" s="1079">
        <v>0</v>
      </c>
      <c r="AF52" s="1079">
        <v>0</v>
      </c>
      <c r="AG52" s="1079">
        <v>0</v>
      </c>
      <c r="AH52" s="1112">
        <v>0</v>
      </c>
      <c r="AI52" s="1119"/>
    </row>
    <row r="53" spans="1:42">
      <c r="A53" s="1103" t="s">
        <v>222</v>
      </c>
      <c r="B53" s="1079">
        <v>0</v>
      </c>
      <c r="C53" s="1079">
        <v>0.39</v>
      </c>
      <c r="D53" s="1079">
        <v>0</v>
      </c>
      <c r="E53" s="1079">
        <v>0</v>
      </c>
      <c r="F53" s="1079">
        <v>0</v>
      </c>
      <c r="G53" s="1079">
        <v>0</v>
      </c>
      <c r="H53" s="1079">
        <v>0</v>
      </c>
      <c r="I53" s="1079">
        <v>0</v>
      </c>
      <c r="J53" s="1079">
        <v>0</v>
      </c>
      <c r="K53" s="1079">
        <v>0</v>
      </c>
      <c r="L53" s="1079">
        <v>0</v>
      </c>
      <c r="M53" s="1079">
        <v>0</v>
      </c>
      <c r="N53" s="1079">
        <v>0</v>
      </c>
      <c r="O53" s="1079">
        <v>0</v>
      </c>
      <c r="P53" s="1079">
        <v>6.71</v>
      </c>
      <c r="Q53" s="1079">
        <v>0.35</v>
      </c>
      <c r="R53" s="1079">
        <v>0</v>
      </c>
      <c r="S53" s="1079">
        <v>0</v>
      </c>
      <c r="T53" s="1079">
        <v>0</v>
      </c>
      <c r="U53" s="1079">
        <v>0</v>
      </c>
      <c r="V53" s="1079">
        <v>0.96</v>
      </c>
      <c r="W53" s="1079">
        <v>0.01</v>
      </c>
      <c r="X53" s="1079">
        <v>0</v>
      </c>
      <c r="Y53" s="1079"/>
      <c r="Z53" s="1079">
        <v>0</v>
      </c>
      <c r="AB53" s="1103" t="s">
        <v>222</v>
      </c>
      <c r="AC53" s="1079">
        <v>0</v>
      </c>
      <c r="AD53" s="1079">
        <v>0</v>
      </c>
      <c r="AE53" s="1079">
        <v>6.71</v>
      </c>
      <c r="AF53" s="1079">
        <v>0.96</v>
      </c>
      <c r="AG53" s="1079"/>
      <c r="AH53" s="1112">
        <v>0</v>
      </c>
      <c r="AI53" s="1119"/>
    </row>
    <row r="54" spans="1:42">
      <c r="A54" s="1103" t="s">
        <v>231</v>
      </c>
      <c r="B54" s="1079">
        <v>0</v>
      </c>
      <c r="C54" s="1079">
        <v>0</v>
      </c>
      <c r="D54" s="1079">
        <v>0</v>
      </c>
      <c r="E54" s="1079">
        <v>0</v>
      </c>
      <c r="F54" s="1079">
        <v>0</v>
      </c>
      <c r="G54" s="1079">
        <v>0</v>
      </c>
      <c r="H54" s="1079">
        <v>0</v>
      </c>
      <c r="I54" s="1079">
        <v>0</v>
      </c>
      <c r="J54" s="1079">
        <v>0</v>
      </c>
      <c r="K54" s="1079">
        <v>0</v>
      </c>
      <c r="L54" s="1079">
        <v>0</v>
      </c>
      <c r="M54" s="1079">
        <v>0</v>
      </c>
      <c r="N54" s="1079">
        <v>0</v>
      </c>
      <c r="O54" s="1079">
        <v>7.63</v>
      </c>
      <c r="P54" s="1079">
        <v>0</v>
      </c>
      <c r="Q54" s="1079">
        <v>0</v>
      </c>
      <c r="R54" s="1079">
        <v>0</v>
      </c>
      <c r="S54" s="1079">
        <v>0</v>
      </c>
      <c r="T54" s="1079">
        <v>0</v>
      </c>
      <c r="U54" s="1079">
        <v>0</v>
      </c>
      <c r="V54" s="1079">
        <v>0</v>
      </c>
      <c r="W54" s="1079">
        <v>0</v>
      </c>
      <c r="X54" s="1079">
        <v>0</v>
      </c>
      <c r="Y54" s="1079">
        <v>0</v>
      </c>
      <c r="Z54" s="1079"/>
      <c r="AB54" s="1103" t="s">
        <v>231</v>
      </c>
      <c r="AC54" s="1079">
        <v>0</v>
      </c>
      <c r="AD54" s="1079">
        <v>7.63</v>
      </c>
      <c r="AE54" s="1079">
        <v>0</v>
      </c>
      <c r="AF54" s="1079">
        <v>0</v>
      </c>
      <c r="AG54" s="1079">
        <v>0</v>
      </c>
      <c r="AH54" s="1112"/>
      <c r="AI54" s="1119"/>
    </row>
    <row r="55" spans="1:42">
      <c r="A55" s="1103" t="s">
        <v>244</v>
      </c>
      <c r="B55" s="1079">
        <v>0</v>
      </c>
      <c r="C55" s="1079">
        <v>0.01</v>
      </c>
      <c r="D55" s="1079">
        <v>0</v>
      </c>
      <c r="E55" s="1079">
        <v>0</v>
      </c>
      <c r="F55" s="1079">
        <v>0.27</v>
      </c>
      <c r="G55" s="1079">
        <v>0</v>
      </c>
      <c r="H55" s="1079">
        <v>0</v>
      </c>
      <c r="I55" s="1079">
        <v>0</v>
      </c>
      <c r="J55" s="1079">
        <v>0</v>
      </c>
      <c r="K55" s="1079">
        <v>0</v>
      </c>
      <c r="L55" s="1079">
        <v>0</v>
      </c>
      <c r="M55" s="1079">
        <v>0</v>
      </c>
      <c r="N55" s="1079">
        <v>0</v>
      </c>
      <c r="O55" s="1079">
        <v>0</v>
      </c>
      <c r="P55" s="1079">
        <v>0</v>
      </c>
      <c r="Q55" s="1079">
        <v>0</v>
      </c>
      <c r="R55" s="1079">
        <v>0</v>
      </c>
      <c r="S55" s="1079">
        <v>0</v>
      </c>
      <c r="T55" s="1079">
        <v>0</v>
      </c>
      <c r="U55" s="1079">
        <v>0</v>
      </c>
      <c r="V55" s="1079">
        <v>0</v>
      </c>
      <c r="W55" s="1079">
        <v>0.2</v>
      </c>
      <c r="X55" s="1079">
        <v>0</v>
      </c>
      <c r="Y55" s="1079">
        <v>0.01</v>
      </c>
      <c r="Z55" s="1079">
        <v>0</v>
      </c>
      <c r="AB55" s="1103" t="s">
        <v>244</v>
      </c>
      <c r="AC55" s="1079">
        <v>0</v>
      </c>
      <c r="AD55" s="1079">
        <v>0</v>
      </c>
      <c r="AE55" s="1079">
        <v>0</v>
      </c>
      <c r="AF55" s="1079">
        <v>0</v>
      </c>
      <c r="AG55" s="1079">
        <v>0.01</v>
      </c>
      <c r="AH55" s="1112">
        <v>0</v>
      </c>
      <c r="AI55" s="1119"/>
    </row>
    <row r="56" spans="1:42">
      <c r="A56" s="1101" t="s">
        <v>253</v>
      </c>
      <c r="B56" s="1102">
        <v>0</v>
      </c>
      <c r="C56" s="1102">
        <v>7.93</v>
      </c>
      <c r="D56" s="1102">
        <v>8.0299999999999994</v>
      </c>
      <c r="E56" s="1102">
        <v>0</v>
      </c>
      <c r="F56" s="1102">
        <v>13.15</v>
      </c>
      <c r="G56" s="1102">
        <v>0</v>
      </c>
      <c r="H56" s="1102">
        <v>0</v>
      </c>
      <c r="I56" s="1102">
        <v>2.15</v>
      </c>
      <c r="J56" s="1102">
        <v>0</v>
      </c>
      <c r="K56" s="1102">
        <v>7.37</v>
      </c>
      <c r="L56" s="1102">
        <v>36.200000000000003</v>
      </c>
      <c r="M56" s="1102">
        <v>26.97</v>
      </c>
      <c r="N56" s="1102">
        <v>19.420000000000002</v>
      </c>
      <c r="O56" s="1102">
        <v>11.02</v>
      </c>
      <c r="P56" s="1102">
        <v>22.35</v>
      </c>
      <c r="Q56" s="1102">
        <v>0.98</v>
      </c>
      <c r="R56" s="1102">
        <v>0</v>
      </c>
      <c r="S56" s="1102">
        <v>3.29</v>
      </c>
      <c r="T56" s="1102">
        <v>0</v>
      </c>
      <c r="U56" s="1102">
        <v>3.85</v>
      </c>
      <c r="V56" s="1102">
        <v>33.43</v>
      </c>
      <c r="W56" s="1102">
        <v>5.95</v>
      </c>
      <c r="X56" s="1102">
        <v>6.08</v>
      </c>
      <c r="Y56" s="1102">
        <v>3.15</v>
      </c>
      <c r="Z56" s="1102">
        <v>55.56</v>
      </c>
      <c r="AB56" s="1101" t="s">
        <v>253</v>
      </c>
      <c r="AC56" s="1102">
        <v>19.420000000000002</v>
      </c>
      <c r="AD56" s="1102">
        <v>11.02</v>
      </c>
      <c r="AE56" s="1102">
        <v>22.35</v>
      </c>
      <c r="AF56" s="1102">
        <v>33.43</v>
      </c>
      <c r="AG56" s="1102">
        <v>3.15</v>
      </c>
      <c r="AH56" s="1121">
        <v>55.56</v>
      </c>
      <c r="AI56" s="1119"/>
    </row>
    <row r="57" spans="1:42">
      <c r="A57" s="1101" t="s">
        <v>30</v>
      </c>
      <c r="B57" s="1102">
        <v>100</v>
      </c>
      <c r="C57" s="1102">
        <v>100</v>
      </c>
      <c r="D57" s="1102">
        <v>100</v>
      </c>
      <c r="E57" s="1102">
        <v>100</v>
      </c>
      <c r="F57" s="1102">
        <v>100</v>
      </c>
      <c r="G57" s="1102">
        <v>100</v>
      </c>
      <c r="H57" s="1102">
        <v>100</v>
      </c>
      <c r="I57" s="1102">
        <v>100</v>
      </c>
      <c r="J57" s="1102">
        <v>0</v>
      </c>
      <c r="K57" s="1102">
        <v>100</v>
      </c>
      <c r="L57" s="1102">
        <v>100</v>
      </c>
      <c r="M57" s="1102">
        <v>100</v>
      </c>
      <c r="N57" s="1102">
        <v>100</v>
      </c>
      <c r="O57" s="1102">
        <v>100</v>
      </c>
      <c r="P57" s="1102">
        <v>100</v>
      </c>
      <c r="Q57" s="1102">
        <v>100</v>
      </c>
      <c r="R57" s="1102">
        <v>100</v>
      </c>
      <c r="S57" s="1102">
        <v>100</v>
      </c>
      <c r="T57" s="1102">
        <v>0</v>
      </c>
      <c r="U57" s="1102">
        <v>100</v>
      </c>
      <c r="V57" s="1102">
        <v>100</v>
      </c>
      <c r="W57" s="1102">
        <v>100</v>
      </c>
      <c r="X57" s="1102">
        <v>100</v>
      </c>
      <c r="Y57" s="1102">
        <v>100</v>
      </c>
      <c r="Z57" s="1102">
        <v>100</v>
      </c>
      <c r="AB57" s="1101" t="s">
        <v>30</v>
      </c>
      <c r="AC57" s="1102">
        <v>100</v>
      </c>
      <c r="AD57" s="1102">
        <v>100</v>
      </c>
      <c r="AE57" s="1102">
        <v>100</v>
      </c>
      <c r="AF57" s="1102">
        <v>100</v>
      </c>
      <c r="AG57" s="1102">
        <v>100</v>
      </c>
      <c r="AH57" s="1121">
        <v>100</v>
      </c>
      <c r="AI57" s="1119"/>
    </row>
    <row r="58" spans="1:42">
      <c r="A58" s="1099" t="s">
        <v>248</v>
      </c>
      <c r="B58" s="1097" t="s">
        <v>233</v>
      </c>
      <c r="C58" s="1097" t="s">
        <v>220</v>
      </c>
      <c r="D58" s="1097" t="s">
        <v>223</v>
      </c>
      <c r="E58" s="1097" t="s">
        <v>249</v>
      </c>
      <c r="F58" s="1097" t="s">
        <v>221</v>
      </c>
      <c r="G58" s="1097" t="s">
        <v>234</v>
      </c>
      <c r="H58" s="1097" t="s">
        <v>242</v>
      </c>
      <c r="I58" s="1097" t="s">
        <v>225</v>
      </c>
      <c r="J58" s="1097" t="s">
        <v>12</v>
      </c>
      <c r="K58" s="1097" t="s">
        <v>236</v>
      </c>
      <c r="L58" s="1097" t="s">
        <v>227</v>
      </c>
      <c r="M58" s="1097" t="s">
        <v>2</v>
      </c>
      <c r="N58" s="1097" t="s">
        <v>232</v>
      </c>
      <c r="O58" s="1097" t="s">
        <v>230</v>
      </c>
      <c r="P58" s="1097" t="s">
        <v>238</v>
      </c>
      <c r="Q58" s="1097" t="s">
        <v>226</v>
      </c>
      <c r="R58" s="1097" t="s">
        <v>3</v>
      </c>
      <c r="S58" s="1097" t="s">
        <v>235</v>
      </c>
      <c r="T58" s="1097" t="s">
        <v>250</v>
      </c>
      <c r="U58" s="1097" t="s">
        <v>228</v>
      </c>
      <c r="V58" s="1097" t="s">
        <v>224</v>
      </c>
      <c r="W58" s="1097" t="s">
        <v>219</v>
      </c>
      <c r="X58" s="1097" t="s">
        <v>229</v>
      </c>
      <c r="Y58" s="1097" t="s">
        <v>222</v>
      </c>
      <c r="Z58" s="1097" t="s">
        <v>231</v>
      </c>
      <c r="AB58" s="1099" t="s">
        <v>248</v>
      </c>
      <c r="AC58" s="1097" t="s">
        <v>232</v>
      </c>
      <c r="AD58" s="1097" t="s">
        <v>230</v>
      </c>
      <c r="AE58" s="1097" t="s">
        <v>238</v>
      </c>
      <c r="AF58" s="1097" t="s">
        <v>224</v>
      </c>
      <c r="AG58" s="1097" t="s">
        <v>222</v>
      </c>
      <c r="AH58" s="1120" t="s">
        <v>231</v>
      </c>
      <c r="AI58" s="1118"/>
      <c r="AJ58" s="1099" t="s">
        <v>248</v>
      </c>
      <c r="AK58" s="1097" t="s">
        <v>232</v>
      </c>
      <c r="AL58" s="1097" t="s">
        <v>230</v>
      </c>
      <c r="AM58" s="1097" t="s">
        <v>238</v>
      </c>
      <c r="AN58" s="1097" t="s">
        <v>224</v>
      </c>
      <c r="AO58" s="1097" t="s">
        <v>222</v>
      </c>
      <c r="AP58" s="1120" t="s">
        <v>231</v>
      </c>
    </row>
    <row r="59" spans="1:42">
      <c r="A59" s="1100" t="s">
        <v>1134</v>
      </c>
      <c r="B59" s="1079"/>
      <c r="C59" s="1079"/>
      <c r="D59" s="1079"/>
      <c r="E59" s="1079"/>
      <c r="F59" s="1079"/>
      <c r="G59" s="1079"/>
      <c r="H59" s="1079"/>
      <c r="I59" s="1079"/>
      <c r="J59" s="1079"/>
      <c r="K59" s="1079"/>
      <c r="L59" s="1079"/>
      <c r="M59" s="1079"/>
      <c r="N59" s="1079"/>
      <c r="O59" s="1079"/>
      <c r="P59" s="1079"/>
      <c r="Q59" s="1079"/>
      <c r="R59" s="1079"/>
      <c r="S59" s="1079"/>
      <c r="T59" s="1079"/>
      <c r="U59" s="1079"/>
      <c r="V59" s="1079"/>
      <c r="W59" s="1079"/>
      <c r="X59" s="1079"/>
      <c r="Y59" s="1079"/>
      <c r="Z59" s="1079"/>
      <c r="AB59" s="1100" t="s">
        <v>1134</v>
      </c>
      <c r="AC59" s="1079"/>
      <c r="AD59" s="1079"/>
      <c r="AE59" s="1079"/>
      <c r="AF59" s="1079"/>
      <c r="AG59" s="1079"/>
      <c r="AH59" s="1112"/>
      <c r="AI59" s="1119"/>
      <c r="AJ59" s="1101" t="s">
        <v>251</v>
      </c>
      <c r="AK59" s="1102">
        <v>39.520000000000003</v>
      </c>
      <c r="AL59" s="1102">
        <v>55.85</v>
      </c>
      <c r="AM59" s="1102">
        <v>36.24</v>
      </c>
      <c r="AN59" s="1102">
        <v>61.47</v>
      </c>
      <c r="AO59" s="1102">
        <v>57.33</v>
      </c>
      <c r="AP59" s="1121">
        <v>40.43</v>
      </c>
    </row>
    <row r="60" spans="1:42">
      <c r="A60" s="1101" t="s">
        <v>251</v>
      </c>
      <c r="B60" s="1102">
        <v>10.4</v>
      </c>
      <c r="C60" s="1102">
        <v>17.41</v>
      </c>
      <c r="D60" s="1102">
        <v>18.920000000000002</v>
      </c>
      <c r="E60" s="1102">
        <v>88.24</v>
      </c>
      <c r="F60" s="1102">
        <v>22.83</v>
      </c>
      <c r="G60" s="1102">
        <v>19.84</v>
      </c>
      <c r="H60" s="1102">
        <v>0</v>
      </c>
      <c r="I60" s="1102">
        <v>84.61</v>
      </c>
      <c r="J60" s="1102">
        <v>53.85</v>
      </c>
      <c r="K60" s="1102">
        <v>12.22</v>
      </c>
      <c r="L60" s="1102">
        <v>5.36</v>
      </c>
      <c r="M60" s="1102">
        <v>13.96</v>
      </c>
      <c r="N60" s="1102">
        <v>39.520000000000003</v>
      </c>
      <c r="O60" s="1102">
        <v>55.85</v>
      </c>
      <c r="P60" s="1102">
        <v>36.24</v>
      </c>
      <c r="Q60" s="1102">
        <v>51.06</v>
      </c>
      <c r="R60" s="1102">
        <v>75.47</v>
      </c>
      <c r="S60" s="1102">
        <v>0.59</v>
      </c>
      <c r="T60" s="1102">
        <v>53.41</v>
      </c>
      <c r="U60" s="1102">
        <v>0</v>
      </c>
      <c r="V60" s="1102">
        <v>61.47</v>
      </c>
      <c r="W60" s="1102">
        <v>17.420000000000002</v>
      </c>
      <c r="X60" s="1102">
        <v>26.25</v>
      </c>
      <c r="Y60" s="1102">
        <v>57.33</v>
      </c>
      <c r="Z60" s="1102">
        <v>40.43</v>
      </c>
      <c r="AB60" s="1101" t="s">
        <v>251</v>
      </c>
      <c r="AC60" s="1102">
        <v>39.520000000000003</v>
      </c>
      <c r="AD60" s="1102">
        <v>55.85</v>
      </c>
      <c r="AE60" s="1102">
        <v>36.24</v>
      </c>
      <c r="AF60" s="1102">
        <v>61.47</v>
      </c>
      <c r="AG60" s="1102">
        <v>57.33</v>
      </c>
      <c r="AH60" s="1121">
        <v>40.43</v>
      </c>
      <c r="AI60" s="1119"/>
      <c r="AJ60" s="1101" t="s">
        <v>1116</v>
      </c>
      <c r="AK60" s="1102">
        <v>30.66</v>
      </c>
      <c r="AL60" s="1102">
        <v>27.91</v>
      </c>
      <c r="AM60" s="1102">
        <v>35.08</v>
      </c>
      <c r="AN60" s="1102">
        <v>26.98</v>
      </c>
      <c r="AO60" s="1102">
        <v>26.86</v>
      </c>
      <c r="AP60" s="1121">
        <v>35.89</v>
      </c>
    </row>
    <row r="61" spans="1:42">
      <c r="A61" s="1101" t="s">
        <v>1116</v>
      </c>
      <c r="B61" s="1102">
        <v>30.97</v>
      </c>
      <c r="C61" s="1102">
        <v>47.72</v>
      </c>
      <c r="D61" s="1102">
        <v>15.03</v>
      </c>
      <c r="E61" s="1102">
        <v>0</v>
      </c>
      <c r="F61" s="1102">
        <v>35.42</v>
      </c>
      <c r="G61" s="1102">
        <v>3.29</v>
      </c>
      <c r="H61" s="1102">
        <v>0</v>
      </c>
      <c r="I61" s="1102">
        <v>9.11</v>
      </c>
      <c r="J61" s="1102">
        <v>46.15</v>
      </c>
      <c r="K61" s="1102">
        <v>22.57</v>
      </c>
      <c r="L61" s="1102">
        <v>1.79</v>
      </c>
      <c r="M61" s="1102">
        <v>50.35</v>
      </c>
      <c r="N61" s="1102">
        <v>30.66</v>
      </c>
      <c r="O61" s="1102">
        <v>27.91</v>
      </c>
      <c r="P61" s="1102">
        <v>35.08</v>
      </c>
      <c r="Q61" s="1102">
        <v>8.9499999999999993</v>
      </c>
      <c r="R61" s="1102">
        <v>16.04</v>
      </c>
      <c r="S61" s="1102">
        <v>0.59</v>
      </c>
      <c r="T61" s="1102">
        <v>46.59</v>
      </c>
      <c r="U61" s="1102">
        <v>55.42</v>
      </c>
      <c r="V61" s="1102">
        <v>26.98</v>
      </c>
      <c r="W61" s="1102">
        <v>38.74</v>
      </c>
      <c r="X61" s="1102">
        <v>18.36</v>
      </c>
      <c r="Y61" s="1102">
        <v>26.86</v>
      </c>
      <c r="Z61" s="1102">
        <v>35.89</v>
      </c>
      <c r="AB61" s="1101" t="s">
        <v>1116</v>
      </c>
      <c r="AC61" s="1102">
        <v>30.66</v>
      </c>
      <c r="AD61" s="1102">
        <v>27.91</v>
      </c>
      <c r="AE61" s="1102">
        <v>35.08</v>
      </c>
      <c r="AF61" s="1102">
        <v>26.98</v>
      </c>
      <c r="AG61" s="1102">
        <v>26.86</v>
      </c>
      <c r="AH61" s="1121">
        <v>35.89</v>
      </c>
      <c r="AI61" s="1119"/>
      <c r="AJ61" s="1101" t="s">
        <v>253</v>
      </c>
      <c r="AK61" s="1102">
        <v>29.82</v>
      </c>
      <c r="AL61" s="1102">
        <v>16.239999999999998</v>
      </c>
      <c r="AM61" s="1102">
        <v>28.68</v>
      </c>
      <c r="AN61" s="1102">
        <v>11.55</v>
      </c>
      <c r="AO61" s="1102">
        <v>15.81</v>
      </c>
      <c r="AP61" s="1121">
        <v>23.68</v>
      </c>
    </row>
    <row r="62" spans="1:42">
      <c r="A62" s="1103" t="s">
        <v>233</v>
      </c>
      <c r="B62" s="1079"/>
      <c r="C62" s="1079">
        <v>0.01</v>
      </c>
      <c r="D62" s="1079">
        <v>0</v>
      </c>
      <c r="E62" s="1079">
        <v>0</v>
      </c>
      <c r="F62" s="1079">
        <v>1.17</v>
      </c>
      <c r="G62" s="1079">
        <v>0</v>
      </c>
      <c r="H62" s="1079">
        <v>0</v>
      </c>
      <c r="I62" s="1079">
        <v>0</v>
      </c>
      <c r="J62" s="1079">
        <v>0</v>
      </c>
      <c r="K62" s="1079">
        <v>0</v>
      </c>
      <c r="L62" s="1079">
        <v>0</v>
      </c>
      <c r="M62" s="1079">
        <v>0</v>
      </c>
      <c r="N62" s="1079">
        <v>0</v>
      </c>
      <c r="O62" s="1079">
        <v>0</v>
      </c>
      <c r="P62" s="1079">
        <v>0</v>
      </c>
      <c r="Q62" s="1079">
        <v>0</v>
      </c>
      <c r="R62" s="1079">
        <v>0</v>
      </c>
      <c r="S62" s="1079">
        <v>0</v>
      </c>
      <c r="T62" s="1079">
        <v>0</v>
      </c>
      <c r="U62" s="1079">
        <v>0</v>
      </c>
      <c r="V62" s="1079">
        <v>0</v>
      </c>
      <c r="W62" s="1079">
        <v>0.78</v>
      </c>
      <c r="X62" s="1079">
        <v>0</v>
      </c>
      <c r="Y62" s="1079">
        <v>0</v>
      </c>
      <c r="Z62" s="1079">
        <v>0</v>
      </c>
      <c r="AB62" s="1103" t="s">
        <v>233</v>
      </c>
      <c r="AC62" s="1079">
        <v>0</v>
      </c>
      <c r="AD62" s="1079">
        <v>0</v>
      </c>
      <c r="AE62" s="1079">
        <v>0</v>
      </c>
      <c r="AF62" s="1079">
        <v>0</v>
      </c>
      <c r="AG62" s="1079">
        <v>0</v>
      </c>
      <c r="AH62" s="1112">
        <v>0</v>
      </c>
      <c r="AI62" s="1119"/>
    </row>
    <row r="63" spans="1:42">
      <c r="A63" s="1103" t="s">
        <v>220</v>
      </c>
      <c r="B63" s="1079">
        <v>1.42</v>
      </c>
      <c r="C63" s="1079"/>
      <c r="D63" s="1079">
        <v>3.81</v>
      </c>
      <c r="E63" s="1079">
        <v>0</v>
      </c>
      <c r="F63" s="1079">
        <v>1.4</v>
      </c>
      <c r="G63" s="1079">
        <v>0</v>
      </c>
      <c r="H63" s="1079">
        <v>0</v>
      </c>
      <c r="I63" s="1079">
        <v>0</v>
      </c>
      <c r="J63" s="1079">
        <v>0</v>
      </c>
      <c r="K63" s="1079">
        <v>0</v>
      </c>
      <c r="L63" s="1079">
        <v>0</v>
      </c>
      <c r="M63" s="1079">
        <v>5.48</v>
      </c>
      <c r="N63" s="1079">
        <v>3.09</v>
      </c>
      <c r="O63" s="1079">
        <v>7.62</v>
      </c>
      <c r="P63" s="1079">
        <v>2.1</v>
      </c>
      <c r="Q63" s="1079">
        <v>0.19</v>
      </c>
      <c r="R63" s="1079">
        <v>8.02</v>
      </c>
      <c r="S63" s="1079">
        <v>0</v>
      </c>
      <c r="T63" s="1079">
        <v>4.34</v>
      </c>
      <c r="U63" s="1079">
        <v>0</v>
      </c>
      <c r="V63" s="1079">
        <v>18.11</v>
      </c>
      <c r="W63" s="1079">
        <v>21.31</v>
      </c>
      <c r="X63" s="1079">
        <v>0.97</v>
      </c>
      <c r="Y63" s="1079">
        <v>3.55</v>
      </c>
      <c r="Z63" s="1079">
        <v>2.36</v>
      </c>
      <c r="AB63" s="1103" t="s">
        <v>220</v>
      </c>
      <c r="AC63" s="1079">
        <v>3.09</v>
      </c>
      <c r="AD63" s="1079">
        <v>7.62</v>
      </c>
      <c r="AE63" s="1079">
        <v>2.1</v>
      </c>
      <c r="AF63" s="1079">
        <v>18.11</v>
      </c>
      <c r="AG63" s="1079">
        <v>3.55</v>
      </c>
      <c r="AH63" s="1112">
        <v>2.36</v>
      </c>
      <c r="AI63" s="1119"/>
      <c r="AJ63" s="1123" t="s">
        <v>220</v>
      </c>
      <c r="AK63" s="1079">
        <v>5.81</v>
      </c>
      <c r="AL63" s="1079">
        <v>0.77</v>
      </c>
      <c r="AM63" s="1079">
        <v>13.91</v>
      </c>
      <c r="AN63" s="1079">
        <v>5.74</v>
      </c>
      <c r="AO63" s="1079">
        <v>1.23</v>
      </c>
    </row>
    <row r="64" spans="1:42">
      <c r="A64" s="1103" t="s">
        <v>223</v>
      </c>
      <c r="B64" s="1079">
        <v>0</v>
      </c>
      <c r="C64" s="1079">
        <v>0.52</v>
      </c>
      <c r="D64" s="1079"/>
      <c r="E64" s="1079">
        <v>0</v>
      </c>
      <c r="F64" s="1079">
        <v>0</v>
      </c>
      <c r="G64" s="1079">
        <v>0</v>
      </c>
      <c r="H64" s="1079">
        <v>0</v>
      </c>
      <c r="I64" s="1079">
        <v>0</v>
      </c>
      <c r="J64" s="1079">
        <v>0</v>
      </c>
      <c r="K64" s="1079">
        <v>0</v>
      </c>
      <c r="L64" s="1079">
        <v>0</v>
      </c>
      <c r="M64" s="1079">
        <v>0</v>
      </c>
      <c r="N64" s="1079">
        <v>0.12</v>
      </c>
      <c r="O64" s="1079">
        <v>0.02</v>
      </c>
      <c r="P64" s="1079">
        <v>0</v>
      </c>
      <c r="Q64" s="1079">
        <v>1.1299999999999999</v>
      </c>
      <c r="R64" s="1079">
        <v>0</v>
      </c>
      <c r="S64" s="1079">
        <v>0</v>
      </c>
      <c r="T64" s="1079">
        <v>7.54</v>
      </c>
      <c r="U64" s="1079">
        <v>0</v>
      </c>
      <c r="V64" s="1079">
        <v>0.12</v>
      </c>
      <c r="W64" s="1079">
        <v>0.08</v>
      </c>
      <c r="X64" s="1079">
        <v>0</v>
      </c>
      <c r="Y64" s="1079">
        <v>0.22</v>
      </c>
      <c r="Z64" s="1079">
        <v>7.0000000000000007E-2</v>
      </c>
      <c r="AB64" s="1103" t="s">
        <v>223</v>
      </c>
      <c r="AC64" s="1079">
        <v>0.12</v>
      </c>
      <c r="AD64" s="1079">
        <v>0.02</v>
      </c>
      <c r="AE64" s="1079">
        <v>0</v>
      </c>
      <c r="AF64" s="1079">
        <v>0.12</v>
      </c>
      <c r="AG64" s="1079">
        <v>0.22</v>
      </c>
      <c r="AH64" s="1112">
        <v>7.0000000000000007E-2</v>
      </c>
      <c r="AI64" s="1119"/>
      <c r="AJ64" s="1123" t="s">
        <v>232</v>
      </c>
      <c r="AK64" s="1079"/>
      <c r="AL64" s="1079">
        <v>0</v>
      </c>
      <c r="AM64" s="1079">
        <v>0.04</v>
      </c>
      <c r="AN64" s="1079">
        <v>0.28999999999999998</v>
      </c>
      <c r="AO64" s="1079">
        <v>5.62</v>
      </c>
    </row>
    <row r="65" spans="1:41">
      <c r="A65" s="1103" t="s">
        <v>221</v>
      </c>
      <c r="B65" s="1079">
        <v>24.11</v>
      </c>
      <c r="C65" s="1079">
        <v>0.04</v>
      </c>
      <c r="D65" s="1079">
        <v>0</v>
      </c>
      <c r="E65" s="1079">
        <v>0</v>
      </c>
      <c r="F65" s="1079"/>
      <c r="G65" s="1079">
        <v>0</v>
      </c>
      <c r="H65" s="1079">
        <v>0</v>
      </c>
      <c r="I65" s="1079">
        <v>0</v>
      </c>
      <c r="J65" s="1079">
        <v>0</v>
      </c>
      <c r="K65" s="1079">
        <v>0</v>
      </c>
      <c r="L65" s="1079">
        <v>0</v>
      </c>
      <c r="M65" s="1079">
        <v>27.27</v>
      </c>
      <c r="N65" s="1079">
        <v>0.05</v>
      </c>
      <c r="O65" s="1079">
        <v>0</v>
      </c>
      <c r="P65" s="1079">
        <v>0</v>
      </c>
      <c r="Q65" s="1079">
        <v>0</v>
      </c>
      <c r="R65" s="1079">
        <v>0</v>
      </c>
      <c r="S65" s="1079">
        <v>0</v>
      </c>
      <c r="T65" s="1079">
        <v>0</v>
      </c>
      <c r="U65" s="1079">
        <v>0</v>
      </c>
      <c r="V65" s="1079">
        <v>0.15</v>
      </c>
      <c r="W65" s="1079">
        <v>0.17</v>
      </c>
      <c r="X65" s="1079">
        <v>0</v>
      </c>
      <c r="Y65" s="1079">
        <v>0</v>
      </c>
      <c r="Z65" s="1079">
        <v>0</v>
      </c>
      <c r="AB65" s="1103" t="s">
        <v>221</v>
      </c>
      <c r="AC65" s="1079">
        <v>0.05</v>
      </c>
      <c r="AD65" s="1079">
        <v>0</v>
      </c>
      <c r="AE65" s="1079">
        <v>0</v>
      </c>
      <c r="AF65" s="1079">
        <v>0.15</v>
      </c>
      <c r="AG65" s="1079">
        <v>0</v>
      </c>
      <c r="AH65" s="1112">
        <v>0</v>
      </c>
      <c r="AI65" s="1119"/>
      <c r="AJ65" s="1123" t="s">
        <v>224</v>
      </c>
      <c r="AK65" s="1079">
        <v>1.32</v>
      </c>
      <c r="AL65" s="1079">
        <v>0.65</v>
      </c>
      <c r="AM65" s="1079"/>
      <c r="AN65" s="1079">
        <v>5.87</v>
      </c>
      <c r="AO65" s="1079">
        <v>1.23</v>
      </c>
    </row>
    <row r="66" spans="1:41">
      <c r="A66" s="1103" t="s">
        <v>234</v>
      </c>
      <c r="B66" s="1079">
        <v>0</v>
      </c>
      <c r="C66" s="1079">
        <v>0</v>
      </c>
      <c r="D66" s="1079">
        <v>0</v>
      </c>
      <c r="E66" s="1079">
        <v>0</v>
      </c>
      <c r="F66" s="1079">
        <v>0</v>
      </c>
      <c r="G66" s="1079"/>
      <c r="H66" s="1079">
        <v>0</v>
      </c>
      <c r="I66" s="1079">
        <v>0</v>
      </c>
      <c r="J66" s="1079">
        <v>0</v>
      </c>
      <c r="K66" s="1079">
        <v>0</v>
      </c>
      <c r="L66" s="1079">
        <v>0</v>
      </c>
      <c r="M66" s="1079">
        <v>0</v>
      </c>
      <c r="N66" s="1079">
        <v>0</v>
      </c>
      <c r="O66" s="1079">
        <v>0</v>
      </c>
      <c r="P66" s="1079">
        <v>0</v>
      </c>
      <c r="Q66" s="1079">
        <v>0</v>
      </c>
      <c r="R66" s="1079">
        <v>0</v>
      </c>
      <c r="S66" s="1079">
        <v>0</v>
      </c>
      <c r="T66" s="1079">
        <v>0</v>
      </c>
      <c r="U66" s="1079">
        <v>0</v>
      </c>
      <c r="V66" s="1079">
        <v>0</v>
      </c>
      <c r="W66" s="1079">
        <v>1.31</v>
      </c>
      <c r="X66" s="1079">
        <v>0</v>
      </c>
      <c r="Y66" s="1079">
        <v>0</v>
      </c>
      <c r="Z66" s="1079">
        <v>0</v>
      </c>
      <c r="AB66" s="1103" t="s">
        <v>234</v>
      </c>
      <c r="AC66" s="1079">
        <v>0</v>
      </c>
      <c r="AD66" s="1079">
        <v>0</v>
      </c>
      <c r="AE66" s="1079">
        <v>0</v>
      </c>
      <c r="AF66" s="1079">
        <v>0</v>
      </c>
      <c r="AG66" s="1079">
        <v>0</v>
      </c>
      <c r="AH66" s="1112">
        <v>0</v>
      </c>
      <c r="AI66" s="1119"/>
      <c r="AJ66" s="1123" t="s">
        <v>219</v>
      </c>
      <c r="AK66" s="1079">
        <v>0.87</v>
      </c>
      <c r="AL66" s="1079">
        <v>1.72</v>
      </c>
      <c r="AM66" s="1079">
        <v>1.34</v>
      </c>
      <c r="AN66" s="1079">
        <v>2.58</v>
      </c>
      <c r="AO66" s="1079">
        <v>1.37</v>
      </c>
    </row>
    <row r="67" spans="1:41">
      <c r="A67" s="1103" t="s">
        <v>225</v>
      </c>
      <c r="B67" s="1079">
        <v>0</v>
      </c>
      <c r="C67" s="1079">
        <v>0</v>
      </c>
      <c r="D67" s="1079">
        <v>0</v>
      </c>
      <c r="E67" s="1079">
        <v>0</v>
      </c>
      <c r="F67" s="1079">
        <v>0</v>
      </c>
      <c r="G67" s="1079">
        <v>0</v>
      </c>
      <c r="H67" s="1079">
        <v>0</v>
      </c>
      <c r="I67" s="1079"/>
      <c r="J67" s="1079">
        <v>0</v>
      </c>
      <c r="K67" s="1079">
        <v>0</v>
      </c>
      <c r="L67" s="1079">
        <v>0</v>
      </c>
      <c r="M67" s="1079">
        <v>0</v>
      </c>
      <c r="N67" s="1079">
        <v>0</v>
      </c>
      <c r="O67" s="1079">
        <v>0.06</v>
      </c>
      <c r="P67" s="1079">
        <v>0</v>
      </c>
      <c r="Q67" s="1079">
        <v>0</v>
      </c>
      <c r="R67" s="1079">
        <v>0</v>
      </c>
      <c r="S67" s="1079">
        <v>0</v>
      </c>
      <c r="T67" s="1079">
        <v>0</v>
      </c>
      <c r="U67" s="1079">
        <v>0</v>
      </c>
      <c r="V67" s="1079">
        <v>0.04</v>
      </c>
      <c r="W67" s="1079">
        <v>0</v>
      </c>
      <c r="X67" s="1079">
        <v>0</v>
      </c>
      <c r="Y67" s="1079">
        <v>0</v>
      </c>
      <c r="Z67" s="1079">
        <v>0</v>
      </c>
      <c r="AB67" s="1103" t="s">
        <v>225</v>
      </c>
      <c r="AC67" s="1079">
        <v>0</v>
      </c>
      <c r="AD67" s="1079">
        <v>0.06</v>
      </c>
      <c r="AE67" s="1079">
        <v>0</v>
      </c>
      <c r="AF67" s="1079">
        <v>0.04</v>
      </c>
      <c r="AG67" s="1079">
        <v>0</v>
      </c>
      <c r="AH67" s="1112">
        <v>0</v>
      </c>
      <c r="AI67" s="1119"/>
      <c r="AJ67" s="1123" t="s">
        <v>231</v>
      </c>
      <c r="AK67" s="1079">
        <v>2.09</v>
      </c>
      <c r="AL67" s="1079">
        <v>0.06</v>
      </c>
      <c r="AM67" s="1079">
        <v>0.1</v>
      </c>
      <c r="AN67" s="1079">
        <v>0.2</v>
      </c>
      <c r="AO67" s="1079"/>
    </row>
    <row r="68" spans="1:41">
      <c r="A68" s="1103" t="s">
        <v>236</v>
      </c>
      <c r="B68" s="1079">
        <v>0</v>
      </c>
      <c r="C68" s="1079">
        <v>0</v>
      </c>
      <c r="D68" s="1079">
        <v>0</v>
      </c>
      <c r="E68" s="1079">
        <v>0</v>
      </c>
      <c r="F68" s="1079">
        <v>0</v>
      </c>
      <c r="G68" s="1079">
        <v>0</v>
      </c>
      <c r="H68" s="1079">
        <v>0</v>
      </c>
      <c r="I68" s="1079">
        <v>0</v>
      </c>
      <c r="J68" s="1079">
        <v>0</v>
      </c>
      <c r="K68" s="1079"/>
      <c r="L68" s="1079">
        <v>0</v>
      </c>
      <c r="M68" s="1079">
        <v>0</v>
      </c>
      <c r="N68" s="1079">
        <v>0</v>
      </c>
      <c r="O68" s="1079">
        <v>0</v>
      </c>
      <c r="P68" s="1079">
        <v>0</v>
      </c>
      <c r="Q68" s="1079">
        <v>0</v>
      </c>
      <c r="R68" s="1079">
        <v>0</v>
      </c>
      <c r="S68" s="1079">
        <v>0</v>
      </c>
      <c r="T68" s="1079">
        <v>0</v>
      </c>
      <c r="U68" s="1079">
        <v>0</v>
      </c>
      <c r="V68" s="1079">
        <v>0</v>
      </c>
      <c r="W68" s="1079">
        <v>7.0000000000000007E-2</v>
      </c>
      <c r="X68" s="1079">
        <v>0</v>
      </c>
      <c r="Y68" s="1079">
        <v>0</v>
      </c>
      <c r="Z68" s="1079">
        <v>0</v>
      </c>
      <c r="AB68" s="1103" t="s">
        <v>236</v>
      </c>
      <c r="AC68" s="1079">
        <v>0</v>
      </c>
      <c r="AD68" s="1079">
        <v>0</v>
      </c>
      <c r="AE68" s="1079">
        <v>0</v>
      </c>
      <c r="AF68" s="1079">
        <v>0</v>
      </c>
      <c r="AG68" s="1079">
        <v>0</v>
      </c>
      <c r="AH68" s="1112">
        <v>0</v>
      </c>
      <c r="AI68" s="1119"/>
    </row>
    <row r="69" spans="1:41">
      <c r="A69" s="1103" t="s">
        <v>227</v>
      </c>
      <c r="B69" s="1079">
        <v>0</v>
      </c>
      <c r="C69" s="1079">
        <v>0</v>
      </c>
      <c r="D69" s="1079">
        <v>0</v>
      </c>
      <c r="E69" s="1079">
        <v>0</v>
      </c>
      <c r="F69" s="1079">
        <v>0</v>
      </c>
      <c r="G69" s="1079">
        <v>0</v>
      </c>
      <c r="H69" s="1079">
        <v>0</v>
      </c>
      <c r="I69" s="1079">
        <v>0</v>
      </c>
      <c r="J69" s="1079">
        <v>0</v>
      </c>
      <c r="K69" s="1079">
        <v>0</v>
      </c>
      <c r="L69" s="1079"/>
      <c r="M69" s="1079">
        <v>0.28000000000000003</v>
      </c>
      <c r="N69" s="1079">
        <v>0</v>
      </c>
      <c r="O69" s="1079">
        <v>0</v>
      </c>
      <c r="P69" s="1079">
        <v>0</v>
      </c>
      <c r="Q69" s="1079">
        <v>0</v>
      </c>
      <c r="R69" s="1079">
        <v>0</v>
      </c>
      <c r="S69" s="1079">
        <v>0</v>
      </c>
      <c r="T69" s="1079">
        <v>0</v>
      </c>
      <c r="U69" s="1079">
        <v>0</v>
      </c>
      <c r="V69" s="1079">
        <v>0</v>
      </c>
      <c r="W69" s="1079">
        <v>0</v>
      </c>
      <c r="X69" s="1079">
        <v>0</v>
      </c>
      <c r="Y69" s="1079">
        <v>0</v>
      </c>
      <c r="Z69" s="1079">
        <v>0</v>
      </c>
      <c r="AB69" s="1103" t="s">
        <v>227</v>
      </c>
      <c r="AC69" s="1079">
        <v>0</v>
      </c>
      <c r="AD69" s="1079">
        <v>0</v>
      </c>
      <c r="AE69" s="1079">
        <v>0</v>
      </c>
      <c r="AF69" s="1079">
        <v>0</v>
      </c>
      <c r="AG69" s="1079">
        <v>0</v>
      </c>
      <c r="AH69" s="1112">
        <v>0</v>
      </c>
      <c r="AI69" s="1119"/>
    </row>
    <row r="70" spans="1:41">
      <c r="A70" s="1103" t="s">
        <v>2</v>
      </c>
      <c r="B70" s="1079">
        <v>0</v>
      </c>
      <c r="C70" s="1079">
        <v>0.68</v>
      </c>
      <c r="D70" s="1079">
        <v>0</v>
      </c>
      <c r="E70" s="1079">
        <v>0</v>
      </c>
      <c r="F70" s="1079">
        <v>25.51</v>
      </c>
      <c r="G70" s="1079">
        <v>0</v>
      </c>
      <c r="H70" s="1079">
        <v>0</v>
      </c>
      <c r="I70" s="1079">
        <v>0</v>
      </c>
      <c r="J70" s="1079">
        <v>0</v>
      </c>
      <c r="K70" s="1079">
        <v>0</v>
      </c>
      <c r="L70" s="1079">
        <v>1.79</v>
      </c>
      <c r="M70" s="1079"/>
      <c r="N70" s="1079">
        <v>0.31</v>
      </c>
      <c r="O70" s="1079">
        <v>0</v>
      </c>
      <c r="P70" s="1079">
        <v>0</v>
      </c>
      <c r="Q70" s="1079">
        <v>0</v>
      </c>
      <c r="R70" s="1079">
        <v>0</v>
      </c>
      <c r="S70" s="1079">
        <v>0</v>
      </c>
      <c r="T70" s="1079">
        <v>0</v>
      </c>
      <c r="U70" s="1079">
        <v>0</v>
      </c>
      <c r="V70" s="1079">
        <v>0.38</v>
      </c>
      <c r="W70" s="1079">
        <v>0</v>
      </c>
      <c r="X70" s="1079">
        <v>0.64</v>
      </c>
      <c r="Y70" s="1079">
        <v>0</v>
      </c>
      <c r="Z70" s="1079">
        <v>0.08</v>
      </c>
      <c r="AB70" s="1103" t="s">
        <v>2</v>
      </c>
      <c r="AC70" s="1079">
        <v>0.31</v>
      </c>
      <c r="AD70" s="1079">
        <v>0</v>
      </c>
      <c r="AE70" s="1079">
        <v>0</v>
      </c>
      <c r="AF70" s="1079">
        <v>0.38</v>
      </c>
      <c r="AG70" s="1079">
        <v>0</v>
      </c>
      <c r="AH70" s="1112">
        <v>0.08</v>
      </c>
      <c r="AI70" s="1119"/>
    </row>
    <row r="71" spans="1:41">
      <c r="A71" s="1103" t="s">
        <v>232</v>
      </c>
      <c r="B71" s="1079">
        <v>0</v>
      </c>
      <c r="C71" s="1079">
        <v>1</v>
      </c>
      <c r="D71" s="1079">
        <v>0.42</v>
      </c>
      <c r="E71" s="1079">
        <v>0</v>
      </c>
      <c r="F71" s="1079">
        <v>0.5</v>
      </c>
      <c r="G71" s="1079">
        <v>0</v>
      </c>
      <c r="H71" s="1079">
        <v>0</v>
      </c>
      <c r="I71" s="1079">
        <v>0</v>
      </c>
      <c r="J71" s="1079">
        <v>0</v>
      </c>
      <c r="K71" s="1079">
        <v>0</v>
      </c>
      <c r="L71" s="1079">
        <v>0</v>
      </c>
      <c r="M71" s="1079">
        <v>0.65</v>
      </c>
      <c r="N71" s="1079"/>
      <c r="O71" s="1079">
        <v>2.2799999999999998</v>
      </c>
      <c r="P71" s="1079">
        <v>10.5</v>
      </c>
      <c r="Q71" s="1079">
        <v>0</v>
      </c>
      <c r="R71" s="1079">
        <v>2.36</v>
      </c>
      <c r="S71" s="1079">
        <v>0</v>
      </c>
      <c r="T71" s="1079">
        <v>0</v>
      </c>
      <c r="U71" s="1079">
        <v>0</v>
      </c>
      <c r="V71" s="1079">
        <v>3.08</v>
      </c>
      <c r="W71" s="1079">
        <v>0.22</v>
      </c>
      <c r="X71" s="1079">
        <v>0</v>
      </c>
      <c r="Y71" s="1079">
        <v>1.78</v>
      </c>
      <c r="Z71" s="1079">
        <v>4.88</v>
      </c>
      <c r="AB71" s="1103" t="s">
        <v>232</v>
      </c>
      <c r="AC71" s="1079"/>
      <c r="AD71" s="1079">
        <v>2.2799999999999998</v>
      </c>
      <c r="AE71" s="1079">
        <v>10.5</v>
      </c>
      <c r="AF71" s="1079">
        <v>3.08</v>
      </c>
      <c r="AG71" s="1079">
        <v>1.78</v>
      </c>
      <c r="AH71" s="1112">
        <v>4.88</v>
      </c>
      <c r="AI71" s="1119"/>
    </row>
    <row r="72" spans="1:41">
      <c r="A72" s="1103" t="s">
        <v>230</v>
      </c>
      <c r="B72" s="1079">
        <v>0</v>
      </c>
      <c r="C72" s="1079">
        <v>2.17</v>
      </c>
      <c r="D72" s="1079">
        <v>2.3199999999999998</v>
      </c>
      <c r="E72" s="1079">
        <v>0</v>
      </c>
      <c r="F72" s="1079">
        <v>0</v>
      </c>
      <c r="G72" s="1079">
        <v>0</v>
      </c>
      <c r="H72" s="1079">
        <v>0</v>
      </c>
      <c r="I72" s="1079">
        <v>0.7</v>
      </c>
      <c r="J72" s="1079">
        <v>0</v>
      </c>
      <c r="K72" s="1079">
        <v>0</v>
      </c>
      <c r="L72" s="1079">
        <v>0</v>
      </c>
      <c r="M72" s="1079">
        <v>0</v>
      </c>
      <c r="N72" s="1079">
        <v>2.93</v>
      </c>
      <c r="O72" s="1079"/>
      <c r="P72" s="1079">
        <v>0.51</v>
      </c>
      <c r="Q72" s="1079">
        <v>0.76</v>
      </c>
      <c r="R72" s="1079">
        <v>0</v>
      </c>
      <c r="S72" s="1079">
        <v>0</v>
      </c>
      <c r="T72" s="1079">
        <v>0</v>
      </c>
      <c r="U72" s="1079">
        <v>0</v>
      </c>
      <c r="V72" s="1079">
        <v>0.51</v>
      </c>
      <c r="W72" s="1079">
        <v>0.41</v>
      </c>
      <c r="X72" s="1079">
        <v>1.1299999999999999</v>
      </c>
      <c r="Y72" s="1079">
        <v>1.96</v>
      </c>
      <c r="Z72" s="1079">
        <v>19.77</v>
      </c>
      <c r="AB72" s="1103" t="s">
        <v>230</v>
      </c>
      <c r="AC72" s="1079">
        <v>2.93</v>
      </c>
      <c r="AD72" s="1079"/>
      <c r="AE72" s="1079">
        <v>0.51</v>
      </c>
      <c r="AF72" s="1079">
        <v>0.51</v>
      </c>
      <c r="AG72" s="1079">
        <v>1.96</v>
      </c>
      <c r="AH72" s="1112">
        <v>19.77</v>
      </c>
      <c r="AI72" s="1119"/>
    </row>
    <row r="73" spans="1:41">
      <c r="A73" s="1103" t="s">
        <v>238</v>
      </c>
      <c r="B73" s="1079">
        <v>0</v>
      </c>
      <c r="C73" s="1079">
        <v>0.01</v>
      </c>
      <c r="D73" s="1079">
        <v>0</v>
      </c>
      <c r="E73" s="1079">
        <v>0</v>
      </c>
      <c r="F73" s="1079">
        <v>0</v>
      </c>
      <c r="G73" s="1079">
        <v>0</v>
      </c>
      <c r="H73" s="1079">
        <v>0</v>
      </c>
      <c r="I73" s="1079">
        <v>0</v>
      </c>
      <c r="J73" s="1079">
        <v>0</v>
      </c>
      <c r="K73" s="1079">
        <v>0</v>
      </c>
      <c r="L73" s="1079">
        <v>0</v>
      </c>
      <c r="M73" s="1079">
        <v>0</v>
      </c>
      <c r="N73" s="1079">
        <v>1.0900000000000001</v>
      </c>
      <c r="O73" s="1079">
        <v>0.27</v>
      </c>
      <c r="P73" s="1079"/>
      <c r="Q73" s="1079">
        <v>0</v>
      </c>
      <c r="R73" s="1079">
        <v>0</v>
      </c>
      <c r="S73" s="1079">
        <v>0</v>
      </c>
      <c r="T73" s="1079">
        <v>0</v>
      </c>
      <c r="U73" s="1079">
        <v>0</v>
      </c>
      <c r="V73" s="1079">
        <v>0.41</v>
      </c>
      <c r="W73" s="1079">
        <v>0</v>
      </c>
      <c r="X73" s="1079">
        <v>0.32</v>
      </c>
      <c r="Y73" s="1079">
        <v>7.0000000000000007E-2</v>
      </c>
      <c r="Z73" s="1079">
        <v>3.73</v>
      </c>
      <c r="AB73" s="1103" t="s">
        <v>238</v>
      </c>
      <c r="AC73" s="1079">
        <v>1.0900000000000001</v>
      </c>
      <c r="AD73" s="1079">
        <v>0.27</v>
      </c>
      <c r="AE73" s="1079"/>
      <c r="AF73" s="1079">
        <v>0.41</v>
      </c>
      <c r="AG73" s="1079">
        <v>7.0000000000000007E-2</v>
      </c>
      <c r="AH73" s="1112">
        <v>3.73</v>
      </c>
      <c r="AI73" s="1119"/>
    </row>
    <row r="74" spans="1:41">
      <c r="A74" s="1103" t="s">
        <v>226</v>
      </c>
      <c r="B74" s="1079">
        <v>0</v>
      </c>
      <c r="C74" s="1079">
        <v>0.02</v>
      </c>
      <c r="D74" s="1079">
        <v>0.32</v>
      </c>
      <c r="E74" s="1079">
        <v>0</v>
      </c>
      <c r="F74" s="1079">
        <v>0</v>
      </c>
      <c r="G74" s="1079">
        <v>0</v>
      </c>
      <c r="H74" s="1079">
        <v>0</v>
      </c>
      <c r="I74" s="1079">
        <v>0</v>
      </c>
      <c r="J74" s="1079">
        <v>0</v>
      </c>
      <c r="K74" s="1079">
        <v>0</v>
      </c>
      <c r="L74" s="1079">
        <v>0</v>
      </c>
      <c r="M74" s="1079">
        <v>0</v>
      </c>
      <c r="N74" s="1079">
        <v>0</v>
      </c>
      <c r="O74" s="1079">
        <v>0.02</v>
      </c>
      <c r="P74" s="1079">
        <v>0</v>
      </c>
      <c r="Q74" s="1079"/>
      <c r="R74" s="1079">
        <v>0</v>
      </c>
      <c r="S74" s="1079">
        <v>0</v>
      </c>
      <c r="T74" s="1079">
        <v>0</v>
      </c>
      <c r="U74" s="1079">
        <v>0</v>
      </c>
      <c r="V74" s="1079">
        <v>0.16</v>
      </c>
      <c r="W74" s="1079">
        <v>0.55000000000000004</v>
      </c>
      <c r="X74" s="1079">
        <v>0</v>
      </c>
      <c r="Y74" s="1079">
        <v>0</v>
      </c>
      <c r="Z74" s="1079">
        <v>0.26</v>
      </c>
      <c r="AB74" s="1103" t="s">
        <v>226</v>
      </c>
      <c r="AC74" s="1079">
        <v>0</v>
      </c>
      <c r="AD74" s="1079">
        <v>0.02</v>
      </c>
      <c r="AE74" s="1079">
        <v>0</v>
      </c>
      <c r="AF74" s="1079">
        <v>0.16</v>
      </c>
      <c r="AG74" s="1079">
        <v>0</v>
      </c>
      <c r="AH74" s="1112">
        <v>0.26</v>
      </c>
      <c r="AI74" s="1119"/>
    </row>
    <row r="75" spans="1:41">
      <c r="A75" s="1103" t="s">
        <v>3</v>
      </c>
      <c r="B75" s="1079">
        <v>0</v>
      </c>
      <c r="C75" s="1079">
        <v>0.04</v>
      </c>
      <c r="D75" s="1079">
        <v>0</v>
      </c>
      <c r="E75" s="1079">
        <v>0</v>
      </c>
      <c r="F75" s="1079">
        <v>0</v>
      </c>
      <c r="G75" s="1079">
        <v>0</v>
      </c>
      <c r="H75" s="1079">
        <v>0</v>
      </c>
      <c r="I75" s="1079">
        <v>0</v>
      </c>
      <c r="J75" s="1079">
        <v>0</v>
      </c>
      <c r="K75" s="1079">
        <v>0</v>
      </c>
      <c r="L75" s="1079">
        <v>0</v>
      </c>
      <c r="M75" s="1079">
        <v>0</v>
      </c>
      <c r="N75" s="1079">
        <v>0.17</v>
      </c>
      <c r="O75" s="1079">
        <v>0</v>
      </c>
      <c r="P75" s="1079">
        <v>0</v>
      </c>
      <c r="Q75" s="1079">
        <v>0</v>
      </c>
      <c r="R75" s="1079"/>
      <c r="S75" s="1079">
        <v>0</v>
      </c>
      <c r="T75" s="1079">
        <v>0</v>
      </c>
      <c r="U75" s="1079">
        <v>0</v>
      </c>
      <c r="V75" s="1079">
        <v>0</v>
      </c>
      <c r="W75" s="1079">
        <v>0.2</v>
      </c>
      <c r="X75" s="1079">
        <v>0</v>
      </c>
      <c r="Y75" s="1079">
        <v>0.03</v>
      </c>
      <c r="Z75" s="1079">
        <v>0</v>
      </c>
      <c r="AB75" s="1103" t="s">
        <v>3</v>
      </c>
      <c r="AC75" s="1079">
        <v>0.17</v>
      </c>
      <c r="AD75" s="1079">
        <v>0</v>
      </c>
      <c r="AE75" s="1079">
        <v>0</v>
      </c>
      <c r="AF75" s="1079">
        <v>0</v>
      </c>
      <c r="AG75" s="1079">
        <v>0.03</v>
      </c>
      <c r="AH75" s="1112">
        <v>0</v>
      </c>
      <c r="AI75" s="1119"/>
    </row>
    <row r="76" spans="1:41">
      <c r="A76" s="1103" t="s">
        <v>235</v>
      </c>
      <c r="B76" s="1079">
        <v>0</v>
      </c>
      <c r="C76" s="1079">
        <v>0</v>
      </c>
      <c r="D76" s="1079">
        <v>0</v>
      </c>
      <c r="E76" s="1079">
        <v>0</v>
      </c>
      <c r="F76" s="1079">
        <v>0</v>
      </c>
      <c r="G76" s="1079">
        <v>0</v>
      </c>
      <c r="H76" s="1079">
        <v>0</v>
      </c>
      <c r="I76" s="1079">
        <v>0</v>
      </c>
      <c r="J76" s="1079">
        <v>0</v>
      </c>
      <c r="K76" s="1079">
        <v>0</v>
      </c>
      <c r="L76" s="1079">
        <v>0</v>
      </c>
      <c r="M76" s="1079">
        <v>0</v>
      </c>
      <c r="N76" s="1079">
        <v>0</v>
      </c>
      <c r="O76" s="1079">
        <v>0</v>
      </c>
      <c r="P76" s="1079">
        <v>0</v>
      </c>
      <c r="Q76" s="1079">
        <v>0</v>
      </c>
      <c r="R76" s="1079">
        <v>0</v>
      </c>
      <c r="S76" s="1079"/>
      <c r="T76" s="1079">
        <v>0</v>
      </c>
      <c r="U76" s="1079">
        <v>0</v>
      </c>
      <c r="V76" s="1079">
        <v>0</v>
      </c>
      <c r="W76" s="1079">
        <v>0</v>
      </c>
      <c r="X76" s="1079">
        <v>0</v>
      </c>
      <c r="Y76" s="1079">
        <v>0.11</v>
      </c>
      <c r="Z76" s="1079">
        <v>0</v>
      </c>
      <c r="AB76" s="1103" t="s">
        <v>235</v>
      </c>
      <c r="AC76" s="1079">
        <v>0</v>
      </c>
      <c r="AD76" s="1079">
        <v>0</v>
      </c>
      <c r="AE76" s="1079">
        <v>0</v>
      </c>
      <c r="AF76" s="1079">
        <v>0</v>
      </c>
      <c r="AG76" s="1079">
        <v>0.11</v>
      </c>
      <c r="AH76" s="1112">
        <v>0</v>
      </c>
      <c r="AI76" s="1119"/>
    </row>
    <row r="77" spans="1:41">
      <c r="A77" s="1103" t="s">
        <v>250</v>
      </c>
      <c r="B77" s="1079">
        <v>0</v>
      </c>
      <c r="C77" s="1079">
        <v>0.02</v>
      </c>
      <c r="D77" s="1079">
        <v>0.34</v>
      </c>
      <c r="E77" s="1079">
        <v>0</v>
      </c>
      <c r="F77" s="1079">
        <v>0</v>
      </c>
      <c r="G77" s="1079">
        <v>0</v>
      </c>
      <c r="H77" s="1079">
        <v>0</v>
      </c>
      <c r="I77" s="1079">
        <v>0</v>
      </c>
      <c r="J77" s="1079">
        <v>0</v>
      </c>
      <c r="K77" s="1079">
        <v>0</v>
      </c>
      <c r="L77" s="1079">
        <v>0</v>
      </c>
      <c r="M77" s="1079">
        <v>0</v>
      </c>
      <c r="N77" s="1079">
        <v>0</v>
      </c>
      <c r="O77" s="1079">
        <v>0</v>
      </c>
      <c r="P77" s="1079">
        <v>0</v>
      </c>
      <c r="Q77" s="1079">
        <v>0</v>
      </c>
      <c r="R77" s="1079">
        <v>0</v>
      </c>
      <c r="S77" s="1079">
        <v>0</v>
      </c>
      <c r="T77" s="1079"/>
      <c r="U77" s="1079">
        <v>0</v>
      </c>
      <c r="V77" s="1079">
        <v>0.04</v>
      </c>
      <c r="W77" s="1079">
        <v>0</v>
      </c>
      <c r="X77" s="1079">
        <v>0</v>
      </c>
      <c r="Y77" s="1079">
        <v>0.04</v>
      </c>
      <c r="Z77" s="1079">
        <v>0.03</v>
      </c>
      <c r="AB77" s="1103" t="s">
        <v>250</v>
      </c>
      <c r="AC77" s="1079">
        <v>0</v>
      </c>
      <c r="AD77" s="1079">
        <v>0</v>
      </c>
      <c r="AE77" s="1079">
        <v>0</v>
      </c>
      <c r="AF77" s="1079">
        <v>0.04</v>
      </c>
      <c r="AG77" s="1079">
        <v>0.04</v>
      </c>
      <c r="AH77" s="1112">
        <v>0.03</v>
      </c>
      <c r="AI77" s="1119"/>
    </row>
    <row r="78" spans="1:41">
      <c r="A78" s="1103" t="s">
        <v>228</v>
      </c>
      <c r="B78" s="1079">
        <v>0</v>
      </c>
      <c r="C78" s="1079">
        <v>0</v>
      </c>
      <c r="D78" s="1079">
        <v>0</v>
      </c>
      <c r="E78" s="1079">
        <v>0</v>
      </c>
      <c r="F78" s="1079">
        <v>0</v>
      </c>
      <c r="G78" s="1079">
        <v>0</v>
      </c>
      <c r="H78" s="1079">
        <v>0</v>
      </c>
      <c r="I78" s="1079">
        <v>0</v>
      </c>
      <c r="J78" s="1079">
        <v>0</v>
      </c>
      <c r="K78" s="1079">
        <v>0</v>
      </c>
      <c r="L78" s="1079">
        <v>0</v>
      </c>
      <c r="M78" s="1079">
        <v>0</v>
      </c>
      <c r="N78" s="1079">
        <v>0</v>
      </c>
      <c r="O78" s="1079">
        <v>0</v>
      </c>
      <c r="P78" s="1079">
        <v>0</v>
      </c>
      <c r="Q78" s="1079">
        <v>0</v>
      </c>
      <c r="R78" s="1079">
        <v>0</v>
      </c>
      <c r="S78" s="1079">
        <v>0</v>
      </c>
      <c r="T78" s="1079">
        <v>0</v>
      </c>
      <c r="U78" s="1079"/>
      <c r="V78" s="1079">
        <v>0.05</v>
      </c>
      <c r="W78" s="1079">
        <v>0</v>
      </c>
      <c r="X78" s="1079">
        <v>0</v>
      </c>
      <c r="Y78" s="1079">
        <v>0</v>
      </c>
      <c r="Z78" s="1079">
        <v>0</v>
      </c>
      <c r="AB78" s="1103" t="s">
        <v>228</v>
      </c>
      <c r="AC78" s="1079">
        <v>0</v>
      </c>
      <c r="AD78" s="1079">
        <v>0</v>
      </c>
      <c r="AE78" s="1079">
        <v>0</v>
      </c>
      <c r="AF78" s="1079">
        <v>0.05</v>
      </c>
      <c r="AG78" s="1079">
        <v>0</v>
      </c>
      <c r="AH78" s="1112">
        <v>0</v>
      </c>
      <c r="AI78" s="1119"/>
    </row>
    <row r="79" spans="1:41">
      <c r="A79" s="1103" t="s">
        <v>224</v>
      </c>
      <c r="B79" s="1079">
        <v>0</v>
      </c>
      <c r="C79" s="1079">
        <v>34.5</v>
      </c>
      <c r="D79" s="1079">
        <v>5.58</v>
      </c>
      <c r="E79" s="1079">
        <v>0</v>
      </c>
      <c r="F79" s="1079">
        <v>1.86</v>
      </c>
      <c r="G79" s="1079">
        <v>0</v>
      </c>
      <c r="H79" s="1079">
        <v>0</v>
      </c>
      <c r="I79" s="1079">
        <v>0.7</v>
      </c>
      <c r="J79" s="1079">
        <v>46.15</v>
      </c>
      <c r="K79" s="1079">
        <v>14.62</v>
      </c>
      <c r="L79" s="1079">
        <v>0</v>
      </c>
      <c r="M79" s="1079">
        <v>15.59</v>
      </c>
      <c r="N79" s="1079">
        <v>17.36</v>
      </c>
      <c r="O79" s="1079">
        <v>1.7</v>
      </c>
      <c r="P79" s="1079">
        <v>18.54</v>
      </c>
      <c r="Q79" s="1079">
        <v>6.12</v>
      </c>
      <c r="R79" s="1079">
        <v>0</v>
      </c>
      <c r="S79" s="1079">
        <v>0</v>
      </c>
      <c r="T79" s="1079">
        <v>7.76</v>
      </c>
      <c r="U79" s="1079">
        <v>55.42</v>
      </c>
      <c r="V79" s="1079"/>
      <c r="W79" s="1079">
        <v>10.62</v>
      </c>
      <c r="X79" s="1079">
        <v>15.3</v>
      </c>
      <c r="Y79" s="1079">
        <v>17.43</v>
      </c>
      <c r="Z79" s="1079">
        <v>3.84</v>
      </c>
      <c r="AB79" s="1103" t="s">
        <v>224</v>
      </c>
      <c r="AC79" s="1079">
        <v>17.36</v>
      </c>
      <c r="AD79" s="1079">
        <v>1.7</v>
      </c>
      <c r="AE79" s="1079">
        <v>18.54</v>
      </c>
      <c r="AF79" s="1079"/>
      <c r="AG79" s="1079">
        <v>17.43</v>
      </c>
      <c r="AH79" s="1112">
        <v>3.84</v>
      </c>
      <c r="AI79" s="1119"/>
    </row>
    <row r="80" spans="1:41">
      <c r="A80" s="1103" t="s">
        <v>219</v>
      </c>
      <c r="B80" s="1079">
        <v>5.44</v>
      </c>
      <c r="C80" s="1079">
        <v>5.83</v>
      </c>
      <c r="D80" s="1079">
        <v>0.41</v>
      </c>
      <c r="E80" s="1079">
        <v>0</v>
      </c>
      <c r="F80" s="1079">
        <v>4.99</v>
      </c>
      <c r="G80" s="1079">
        <v>3.29</v>
      </c>
      <c r="H80" s="1079">
        <v>0</v>
      </c>
      <c r="I80" s="1079">
        <v>0</v>
      </c>
      <c r="J80" s="1079">
        <v>0</v>
      </c>
      <c r="K80" s="1079">
        <v>7.95</v>
      </c>
      <c r="L80" s="1079">
        <v>0</v>
      </c>
      <c r="M80" s="1079">
        <v>0</v>
      </c>
      <c r="N80" s="1079">
        <v>0.68</v>
      </c>
      <c r="O80" s="1079">
        <v>0.77</v>
      </c>
      <c r="P80" s="1079">
        <v>0</v>
      </c>
      <c r="Q80" s="1079">
        <v>0.47</v>
      </c>
      <c r="R80" s="1079">
        <v>4.95</v>
      </c>
      <c r="S80" s="1079">
        <v>0</v>
      </c>
      <c r="T80" s="1079">
        <v>0</v>
      </c>
      <c r="U80" s="1079">
        <v>0</v>
      </c>
      <c r="V80" s="1079">
        <v>1.31</v>
      </c>
      <c r="W80" s="1079"/>
      <c r="X80" s="1079">
        <v>0</v>
      </c>
      <c r="Y80" s="1079">
        <v>0.8</v>
      </c>
      <c r="Z80" s="1079">
        <v>0.31</v>
      </c>
      <c r="AB80" s="1103" t="s">
        <v>219</v>
      </c>
      <c r="AC80" s="1079">
        <v>0.68</v>
      </c>
      <c r="AD80" s="1079">
        <v>0.77</v>
      </c>
      <c r="AE80" s="1079">
        <v>0</v>
      </c>
      <c r="AF80" s="1079">
        <v>1.31</v>
      </c>
      <c r="AG80" s="1079">
        <v>0.8</v>
      </c>
      <c r="AH80" s="1112">
        <v>0.31</v>
      </c>
      <c r="AI80" s="1119"/>
    </row>
    <row r="81" spans="1:42">
      <c r="A81" s="1103" t="s">
        <v>229</v>
      </c>
      <c r="B81" s="1079">
        <v>0</v>
      </c>
      <c r="C81" s="1079">
        <v>0.04</v>
      </c>
      <c r="D81" s="1079">
        <v>0</v>
      </c>
      <c r="E81" s="1079">
        <v>0</v>
      </c>
      <c r="F81" s="1079">
        <v>0</v>
      </c>
      <c r="G81" s="1079">
        <v>0</v>
      </c>
      <c r="H81" s="1079">
        <v>0</v>
      </c>
      <c r="I81" s="1079">
        <v>0</v>
      </c>
      <c r="J81" s="1079">
        <v>0</v>
      </c>
      <c r="K81" s="1079">
        <v>0</v>
      </c>
      <c r="L81" s="1079">
        <v>0</v>
      </c>
      <c r="M81" s="1079">
        <v>0.05</v>
      </c>
      <c r="N81" s="1079">
        <v>0</v>
      </c>
      <c r="O81" s="1079">
        <v>0.11</v>
      </c>
      <c r="P81" s="1079">
        <v>7.0000000000000007E-2</v>
      </c>
      <c r="Q81" s="1079">
        <v>0</v>
      </c>
      <c r="R81" s="1079">
        <v>0</v>
      </c>
      <c r="S81" s="1079">
        <v>0</v>
      </c>
      <c r="T81" s="1079">
        <v>0</v>
      </c>
      <c r="U81" s="1079">
        <v>0</v>
      </c>
      <c r="V81" s="1079">
        <v>0.16</v>
      </c>
      <c r="W81" s="1079">
        <v>0</v>
      </c>
      <c r="X81" s="1079"/>
      <c r="Y81" s="1079">
        <v>0</v>
      </c>
      <c r="Z81" s="1079">
        <v>0</v>
      </c>
      <c r="AB81" s="1103" t="s">
        <v>229</v>
      </c>
      <c r="AC81" s="1079">
        <v>0</v>
      </c>
      <c r="AD81" s="1079">
        <v>0.11</v>
      </c>
      <c r="AE81" s="1079">
        <v>7.0000000000000007E-2</v>
      </c>
      <c r="AF81" s="1079">
        <v>0.16</v>
      </c>
      <c r="AG81" s="1079">
        <v>0</v>
      </c>
      <c r="AH81" s="1112">
        <v>0</v>
      </c>
      <c r="AI81" s="1119"/>
    </row>
    <row r="82" spans="1:42">
      <c r="A82" s="1103" t="s">
        <v>222</v>
      </c>
      <c r="B82" s="1079">
        <v>0</v>
      </c>
      <c r="C82" s="1079">
        <v>2.41</v>
      </c>
      <c r="D82" s="1079">
        <v>1.32</v>
      </c>
      <c r="E82" s="1079">
        <v>0</v>
      </c>
      <c r="F82" s="1079">
        <v>0</v>
      </c>
      <c r="G82" s="1079">
        <v>0</v>
      </c>
      <c r="H82" s="1079">
        <v>0</v>
      </c>
      <c r="I82" s="1079">
        <v>0</v>
      </c>
      <c r="J82" s="1079">
        <v>0</v>
      </c>
      <c r="K82" s="1079">
        <v>0</v>
      </c>
      <c r="L82" s="1079">
        <v>0</v>
      </c>
      <c r="M82" s="1079">
        <v>0</v>
      </c>
      <c r="N82" s="1079">
        <v>1.88</v>
      </c>
      <c r="O82" s="1079">
        <v>1.83</v>
      </c>
      <c r="P82" s="1079">
        <v>0.21</v>
      </c>
      <c r="Q82" s="1079">
        <v>0</v>
      </c>
      <c r="R82" s="1079">
        <v>0.71</v>
      </c>
      <c r="S82" s="1079">
        <v>0.59</v>
      </c>
      <c r="T82" s="1079">
        <v>13.93</v>
      </c>
      <c r="U82" s="1079">
        <v>0</v>
      </c>
      <c r="V82" s="1079">
        <v>2</v>
      </c>
      <c r="W82" s="1079">
        <v>1.35</v>
      </c>
      <c r="X82" s="1079">
        <v>0</v>
      </c>
      <c r="Y82" s="1079"/>
      <c r="Z82" s="1079">
        <v>0.57999999999999996</v>
      </c>
      <c r="AB82" s="1103" t="s">
        <v>222</v>
      </c>
      <c r="AC82" s="1079">
        <v>1.88</v>
      </c>
      <c r="AD82" s="1079">
        <v>1.83</v>
      </c>
      <c r="AE82" s="1079">
        <v>0.21</v>
      </c>
      <c r="AF82" s="1079">
        <v>2</v>
      </c>
      <c r="AG82" s="1079"/>
      <c r="AH82" s="1112">
        <v>0.57999999999999996</v>
      </c>
      <c r="AI82" s="1119"/>
    </row>
    <row r="83" spans="1:42">
      <c r="A83" s="1103" t="s">
        <v>231</v>
      </c>
      <c r="B83" s="1079">
        <v>0</v>
      </c>
      <c r="C83" s="1079">
        <v>0.36</v>
      </c>
      <c r="D83" s="1079">
        <v>0.52</v>
      </c>
      <c r="E83" s="1079">
        <v>0</v>
      </c>
      <c r="F83" s="1079">
        <v>0</v>
      </c>
      <c r="G83" s="1079">
        <v>0</v>
      </c>
      <c r="H83" s="1079">
        <v>0</v>
      </c>
      <c r="I83" s="1079">
        <v>0</v>
      </c>
      <c r="J83" s="1079">
        <v>0</v>
      </c>
      <c r="K83" s="1079">
        <v>0</v>
      </c>
      <c r="L83" s="1079">
        <v>0</v>
      </c>
      <c r="M83" s="1079">
        <v>0.37</v>
      </c>
      <c r="N83" s="1079">
        <v>2.75</v>
      </c>
      <c r="O83" s="1079">
        <v>13.07</v>
      </c>
      <c r="P83" s="1079">
        <v>3.08</v>
      </c>
      <c r="Q83" s="1079">
        <v>0.28000000000000003</v>
      </c>
      <c r="R83" s="1079">
        <v>0</v>
      </c>
      <c r="S83" s="1079">
        <v>0</v>
      </c>
      <c r="T83" s="1079">
        <v>13.02</v>
      </c>
      <c r="U83" s="1079">
        <v>0</v>
      </c>
      <c r="V83" s="1079">
        <v>0.19</v>
      </c>
      <c r="W83" s="1079">
        <v>1.68</v>
      </c>
      <c r="X83" s="1079">
        <v>0</v>
      </c>
      <c r="Y83" s="1079">
        <v>0.63</v>
      </c>
      <c r="Z83" s="1079"/>
      <c r="AB83" s="1103" t="s">
        <v>231</v>
      </c>
      <c r="AC83" s="1079">
        <v>2.75</v>
      </c>
      <c r="AD83" s="1079">
        <v>13.07</v>
      </c>
      <c r="AE83" s="1079">
        <v>3.08</v>
      </c>
      <c r="AF83" s="1079">
        <v>0.19</v>
      </c>
      <c r="AG83" s="1079">
        <v>0.63</v>
      </c>
      <c r="AH83" s="1112"/>
      <c r="AI83" s="1119"/>
    </row>
    <row r="84" spans="1:42">
      <c r="A84" s="1103" t="s">
        <v>244</v>
      </c>
      <c r="B84" s="1079">
        <v>0</v>
      </c>
      <c r="C84" s="1079">
        <v>7.0000000000000007E-2</v>
      </c>
      <c r="D84" s="1079">
        <v>0</v>
      </c>
      <c r="E84" s="1079">
        <v>0</v>
      </c>
      <c r="F84" s="1079">
        <v>0</v>
      </c>
      <c r="G84" s="1079">
        <v>0</v>
      </c>
      <c r="H84" s="1079">
        <v>0</v>
      </c>
      <c r="I84" s="1079">
        <v>7.71</v>
      </c>
      <c r="J84" s="1079">
        <v>0</v>
      </c>
      <c r="K84" s="1079">
        <v>0</v>
      </c>
      <c r="L84" s="1079">
        <v>0</v>
      </c>
      <c r="M84" s="1079">
        <v>0.66</v>
      </c>
      <c r="N84" s="1079">
        <v>0.23</v>
      </c>
      <c r="O84" s="1079">
        <v>0.16</v>
      </c>
      <c r="P84" s="1079">
        <v>7.0000000000000007E-2</v>
      </c>
      <c r="Q84" s="1079">
        <v>0</v>
      </c>
      <c r="R84" s="1079">
        <v>0</v>
      </c>
      <c r="S84" s="1079">
        <v>0</v>
      </c>
      <c r="T84" s="1079">
        <v>0</v>
      </c>
      <c r="U84" s="1079">
        <v>0</v>
      </c>
      <c r="V84" s="1079">
        <v>0.27</v>
      </c>
      <c r="W84" s="1079">
        <v>0</v>
      </c>
      <c r="X84" s="1079">
        <v>0</v>
      </c>
      <c r="Y84" s="1079">
        <v>0.24</v>
      </c>
      <c r="Z84" s="1079">
        <v>0</v>
      </c>
      <c r="AB84" s="1103" t="s">
        <v>244</v>
      </c>
      <c r="AC84" s="1079">
        <v>0.23</v>
      </c>
      <c r="AD84" s="1079">
        <v>0.16</v>
      </c>
      <c r="AE84" s="1079">
        <v>7.0000000000000007E-2</v>
      </c>
      <c r="AF84" s="1079">
        <v>0.27</v>
      </c>
      <c r="AG84" s="1079">
        <v>0.24</v>
      </c>
      <c r="AH84" s="1112">
        <v>0</v>
      </c>
      <c r="AI84" s="1119"/>
    </row>
    <row r="85" spans="1:42">
      <c r="A85" s="1101" t="s">
        <v>253</v>
      </c>
      <c r="B85" s="1102">
        <v>58.63</v>
      </c>
      <c r="C85" s="1102">
        <v>34.869999999999997</v>
      </c>
      <c r="D85" s="1102">
        <v>66.05</v>
      </c>
      <c r="E85" s="1102">
        <v>11.76</v>
      </c>
      <c r="F85" s="1102">
        <v>41.75</v>
      </c>
      <c r="G85" s="1102">
        <v>76.87</v>
      </c>
      <c r="H85" s="1102">
        <v>0</v>
      </c>
      <c r="I85" s="1102">
        <v>6.28</v>
      </c>
      <c r="J85" s="1102">
        <v>0</v>
      </c>
      <c r="K85" s="1102">
        <v>65.22</v>
      </c>
      <c r="L85" s="1102">
        <v>92.86</v>
      </c>
      <c r="M85" s="1102">
        <v>35.68</v>
      </c>
      <c r="N85" s="1102">
        <v>29.82</v>
      </c>
      <c r="O85" s="1102">
        <v>16.239999999999998</v>
      </c>
      <c r="P85" s="1102">
        <v>28.68</v>
      </c>
      <c r="Q85" s="1102">
        <v>39.99</v>
      </c>
      <c r="R85" s="1102">
        <v>8.49</v>
      </c>
      <c r="S85" s="1102">
        <v>98.82</v>
      </c>
      <c r="T85" s="1102">
        <v>0</v>
      </c>
      <c r="U85" s="1102">
        <v>44.58</v>
      </c>
      <c r="V85" s="1102">
        <v>11.55</v>
      </c>
      <c r="W85" s="1102">
        <v>43.83</v>
      </c>
      <c r="X85" s="1102">
        <v>55.39</v>
      </c>
      <c r="Y85" s="1102">
        <v>15.81</v>
      </c>
      <c r="Z85" s="1102">
        <v>23.68</v>
      </c>
      <c r="AB85" s="1101" t="s">
        <v>253</v>
      </c>
      <c r="AC85" s="1102">
        <v>29.82</v>
      </c>
      <c r="AD85" s="1102">
        <v>16.239999999999998</v>
      </c>
      <c r="AE85" s="1102">
        <v>28.68</v>
      </c>
      <c r="AF85" s="1102">
        <v>11.55</v>
      </c>
      <c r="AG85" s="1102">
        <v>15.81</v>
      </c>
      <c r="AH85" s="1121">
        <v>23.68</v>
      </c>
      <c r="AI85" s="1119"/>
    </row>
    <row r="86" spans="1:42">
      <c r="A86" s="1101" t="s">
        <v>30</v>
      </c>
      <c r="B86" s="1102">
        <v>100</v>
      </c>
      <c r="C86" s="1102">
        <v>100</v>
      </c>
      <c r="D86" s="1102">
        <v>100</v>
      </c>
      <c r="E86" s="1102">
        <v>100</v>
      </c>
      <c r="F86" s="1102">
        <v>100</v>
      </c>
      <c r="G86" s="1102">
        <v>100</v>
      </c>
      <c r="H86" s="1102">
        <v>0</v>
      </c>
      <c r="I86" s="1102">
        <v>100</v>
      </c>
      <c r="J86" s="1102">
        <v>100</v>
      </c>
      <c r="K86" s="1102">
        <v>100</v>
      </c>
      <c r="L86" s="1102">
        <v>100</v>
      </c>
      <c r="M86" s="1102">
        <v>100</v>
      </c>
      <c r="N86" s="1102">
        <v>100</v>
      </c>
      <c r="O86" s="1102">
        <v>100</v>
      </c>
      <c r="P86" s="1102">
        <v>100</v>
      </c>
      <c r="Q86" s="1102">
        <v>100</v>
      </c>
      <c r="R86" s="1102">
        <v>100</v>
      </c>
      <c r="S86" s="1102">
        <v>100</v>
      </c>
      <c r="T86" s="1102">
        <v>100</v>
      </c>
      <c r="U86" s="1102">
        <v>100</v>
      </c>
      <c r="V86" s="1102">
        <v>100</v>
      </c>
      <c r="W86" s="1102">
        <v>100</v>
      </c>
      <c r="X86" s="1102">
        <v>100</v>
      </c>
      <c r="Y86" s="1102">
        <v>100</v>
      </c>
      <c r="Z86" s="1102">
        <v>100</v>
      </c>
      <c r="AB86" s="1101" t="s">
        <v>30</v>
      </c>
      <c r="AC86" s="1102">
        <v>100</v>
      </c>
      <c r="AD86" s="1102">
        <v>100</v>
      </c>
      <c r="AE86" s="1102">
        <v>100</v>
      </c>
      <c r="AF86" s="1102">
        <v>100</v>
      </c>
      <c r="AG86" s="1102">
        <v>100</v>
      </c>
      <c r="AH86" s="1121">
        <v>100</v>
      </c>
      <c r="AI86" s="1119"/>
    </row>
    <row r="87" spans="1:42">
      <c r="A87" s="1099" t="s">
        <v>248</v>
      </c>
      <c r="B87" s="1097" t="s">
        <v>233</v>
      </c>
      <c r="C87" s="1097" t="s">
        <v>220</v>
      </c>
      <c r="D87" s="1097" t="s">
        <v>223</v>
      </c>
      <c r="E87" s="1097" t="s">
        <v>249</v>
      </c>
      <c r="F87" s="1097" t="s">
        <v>221</v>
      </c>
      <c r="G87" s="1097" t="s">
        <v>234</v>
      </c>
      <c r="H87" s="1097" t="s">
        <v>242</v>
      </c>
      <c r="I87" s="1097" t="s">
        <v>225</v>
      </c>
      <c r="J87" s="1097" t="s">
        <v>12</v>
      </c>
      <c r="K87" s="1097" t="s">
        <v>236</v>
      </c>
      <c r="L87" s="1097" t="s">
        <v>227</v>
      </c>
      <c r="M87" s="1097" t="s">
        <v>2</v>
      </c>
      <c r="N87" s="1097" t="s">
        <v>232</v>
      </c>
      <c r="O87" s="1097" t="s">
        <v>230</v>
      </c>
      <c r="P87" s="1097" t="s">
        <v>238</v>
      </c>
      <c r="Q87" s="1097" t="s">
        <v>226</v>
      </c>
      <c r="R87" s="1097" t="s">
        <v>3</v>
      </c>
      <c r="S87" s="1097" t="s">
        <v>235</v>
      </c>
      <c r="T87" s="1097" t="s">
        <v>250</v>
      </c>
      <c r="U87" s="1097" t="s">
        <v>228</v>
      </c>
      <c r="V87" s="1097" t="s">
        <v>224</v>
      </c>
      <c r="W87" s="1097" t="s">
        <v>219</v>
      </c>
      <c r="X87" s="1097" t="s">
        <v>229</v>
      </c>
      <c r="Y87" s="1097" t="s">
        <v>222</v>
      </c>
      <c r="Z87" s="1097" t="s">
        <v>231</v>
      </c>
      <c r="AB87" s="1099" t="s">
        <v>248</v>
      </c>
      <c r="AC87" s="1097" t="s">
        <v>232</v>
      </c>
      <c r="AD87" s="1097" t="s">
        <v>230</v>
      </c>
      <c r="AE87" s="1097" t="s">
        <v>238</v>
      </c>
      <c r="AF87" s="1097" t="s">
        <v>224</v>
      </c>
      <c r="AG87" s="1097" t="s">
        <v>222</v>
      </c>
      <c r="AH87" s="1120" t="s">
        <v>231</v>
      </c>
      <c r="AI87" s="1118"/>
      <c r="AJ87" s="1099" t="s">
        <v>248</v>
      </c>
      <c r="AK87" s="1097" t="s">
        <v>232</v>
      </c>
      <c r="AL87" s="1097" t="s">
        <v>230</v>
      </c>
      <c r="AM87" s="1097" t="s">
        <v>238</v>
      </c>
      <c r="AN87" s="1097" t="s">
        <v>224</v>
      </c>
      <c r="AO87" s="1097" t="s">
        <v>222</v>
      </c>
      <c r="AP87" s="1120" t="s">
        <v>231</v>
      </c>
    </row>
    <row r="88" spans="1:42">
      <c r="A88" s="1100" t="s">
        <v>1135</v>
      </c>
      <c r="B88" s="1079"/>
      <c r="C88" s="1079"/>
      <c r="D88" s="1079"/>
      <c r="E88" s="1079"/>
      <c r="F88" s="1079"/>
      <c r="G88" s="1079"/>
      <c r="H88" s="1079"/>
      <c r="I88" s="1079"/>
      <c r="J88" s="1079"/>
      <c r="K88" s="1079"/>
      <c r="L88" s="1079"/>
      <c r="M88" s="1079"/>
      <c r="N88" s="1079"/>
      <c r="O88" s="1079"/>
      <c r="P88" s="1079"/>
      <c r="Q88" s="1079"/>
      <c r="R88" s="1079"/>
      <c r="S88" s="1079"/>
      <c r="T88" s="1079"/>
      <c r="U88" s="1079"/>
      <c r="V88" s="1079"/>
      <c r="W88" s="1079"/>
      <c r="X88" s="1079"/>
      <c r="Y88" s="1079"/>
      <c r="Z88" s="1079"/>
      <c r="AB88" s="1100" t="s">
        <v>1135</v>
      </c>
      <c r="AC88" s="1079"/>
      <c r="AD88" s="1079"/>
      <c r="AE88" s="1079"/>
      <c r="AF88" s="1079"/>
      <c r="AG88" s="1079"/>
      <c r="AH88" s="1112"/>
      <c r="AI88" s="1119"/>
      <c r="AJ88" s="1101" t="s">
        <v>251</v>
      </c>
      <c r="AK88" s="1102">
        <v>83.06</v>
      </c>
      <c r="AL88" s="1102">
        <v>84.34</v>
      </c>
      <c r="AM88" s="1102">
        <v>99.06</v>
      </c>
      <c r="AN88" s="1102">
        <v>84.78</v>
      </c>
      <c r="AO88" s="1102">
        <v>96.22</v>
      </c>
      <c r="AP88" s="1121">
        <v>91.01</v>
      </c>
    </row>
    <row r="89" spans="1:42">
      <c r="A89" s="1101" t="s">
        <v>251</v>
      </c>
      <c r="B89" s="1102">
        <v>59.68</v>
      </c>
      <c r="C89" s="1102">
        <v>83.37</v>
      </c>
      <c r="D89" s="1102">
        <v>81.52</v>
      </c>
      <c r="E89" s="1102">
        <v>98.55</v>
      </c>
      <c r="F89" s="1102">
        <v>72.38</v>
      </c>
      <c r="G89" s="1102">
        <v>90.08</v>
      </c>
      <c r="H89" s="1102">
        <v>0</v>
      </c>
      <c r="I89" s="1102">
        <v>81.400000000000006</v>
      </c>
      <c r="J89" s="1102">
        <v>0</v>
      </c>
      <c r="K89" s="1102">
        <v>33.619999999999997</v>
      </c>
      <c r="L89" s="1102">
        <v>34.5</v>
      </c>
      <c r="M89" s="1102">
        <v>78.5</v>
      </c>
      <c r="N89" s="1102">
        <v>83.06</v>
      </c>
      <c r="O89" s="1102">
        <v>84.34</v>
      </c>
      <c r="P89" s="1102">
        <v>99.06</v>
      </c>
      <c r="Q89" s="1102">
        <v>86.5</v>
      </c>
      <c r="R89" s="1102">
        <v>94.56</v>
      </c>
      <c r="S89" s="1102">
        <v>100</v>
      </c>
      <c r="T89" s="1102">
        <v>0</v>
      </c>
      <c r="U89" s="1102">
        <v>8.4700000000000006</v>
      </c>
      <c r="V89" s="1102">
        <v>84.78</v>
      </c>
      <c r="W89" s="1102">
        <v>74.930000000000007</v>
      </c>
      <c r="X89" s="1102">
        <v>76.7</v>
      </c>
      <c r="Y89" s="1102">
        <v>96.22</v>
      </c>
      <c r="Z89" s="1102">
        <v>91.01</v>
      </c>
      <c r="AB89" s="1101" t="s">
        <v>251</v>
      </c>
      <c r="AC89" s="1102">
        <v>83.06</v>
      </c>
      <c r="AD89" s="1102">
        <v>84.34</v>
      </c>
      <c r="AE89" s="1102">
        <v>99.06</v>
      </c>
      <c r="AF89" s="1102">
        <v>84.78</v>
      </c>
      <c r="AG89" s="1102">
        <v>96.22</v>
      </c>
      <c r="AH89" s="1121">
        <v>91.01</v>
      </c>
      <c r="AI89" s="1119"/>
      <c r="AJ89" s="1101" t="s">
        <v>1116</v>
      </c>
      <c r="AK89" s="1102">
        <v>16.940000000000001</v>
      </c>
      <c r="AL89" s="1102">
        <v>10.84</v>
      </c>
      <c r="AM89" s="1102">
        <v>0.94</v>
      </c>
      <c r="AN89" s="1102">
        <v>11.97</v>
      </c>
      <c r="AO89" s="1102">
        <v>0.25</v>
      </c>
      <c r="AP89" s="1121">
        <v>6.74</v>
      </c>
    </row>
    <row r="90" spans="1:42">
      <c r="A90" s="1101" t="s">
        <v>1116</v>
      </c>
      <c r="B90" s="1102">
        <v>0</v>
      </c>
      <c r="C90" s="1102">
        <v>12.78</v>
      </c>
      <c r="D90" s="1102">
        <v>13.63</v>
      </c>
      <c r="E90" s="1102">
        <v>1.45</v>
      </c>
      <c r="F90" s="1102">
        <v>15.61</v>
      </c>
      <c r="G90" s="1102">
        <v>9.92</v>
      </c>
      <c r="H90" s="1102">
        <v>0</v>
      </c>
      <c r="I90" s="1102">
        <v>12.01</v>
      </c>
      <c r="J90" s="1102">
        <v>0</v>
      </c>
      <c r="K90" s="1102">
        <v>33.19</v>
      </c>
      <c r="L90" s="1102">
        <v>52</v>
      </c>
      <c r="M90" s="1102">
        <v>11.83</v>
      </c>
      <c r="N90" s="1102">
        <v>16.940000000000001</v>
      </c>
      <c r="O90" s="1102">
        <v>10.84</v>
      </c>
      <c r="P90" s="1102">
        <v>0.94</v>
      </c>
      <c r="Q90" s="1102">
        <v>12.74</v>
      </c>
      <c r="R90" s="1102">
        <v>5.44</v>
      </c>
      <c r="S90" s="1102">
        <v>0</v>
      </c>
      <c r="T90" s="1102">
        <v>0</v>
      </c>
      <c r="U90" s="1102">
        <v>16.95</v>
      </c>
      <c r="V90" s="1102">
        <v>11.97</v>
      </c>
      <c r="W90" s="1102">
        <v>20.11</v>
      </c>
      <c r="X90" s="1102">
        <v>20.87</v>
      </c>
      <c r="Y90" s="1102">
        <v>0.25</v>
      </c>
      <c r="Z90" s="1102">
        <v>6.74</v>
      </c>
      <c r="AB90" s="1101" t="s">
        <v>1116</v>
      </c>
      <c r="AC90" s="1102">
        <v>16.940000000000001</v>
      </c>
      <c r="AD90" s="1102">
        <v>10.84</v>
      </c>
      <c r="AE90" s="1102">
        <v>0.94</v>
      </c>
      <c r="AF90" s="1102">
        <v>11.97</v>
      </c>
      <c r="AG90" s="1102">
        <v>0.25</v>
      </c>
      <c r="AH90" s="1121">
        <v>6.74</v>
      </c>
      <c r="AI90" s="1119"/>
      <c r="AJ90" s="1101" t="s">
        <v>253</v>
      </c>
      <c r="AK90" s="1102">
        <v>0</v>
      </c>
      <c r="AL90" s="1102">
        <v>4.82</v>
      </c>
      <c r="AM90" s="1102">
        <v>0</v>
      </c>
      <c r="AN90" s="1102">
        <v>3.25</v>
      </c>
      <c r="AO90" s="1102">
        <v>3.53</v>
      </c>
      <c r="AP90" s="1121">
        <v>2.25</v>
      </c>
    </row>
    <row r="91" spans="1:42">
      <c r="A91" s="1103" t="s">
        <v>220</v>
      </c>
      <c r="B91" s="1079">
        <v>0</v>
      </c>
      <c r="C91" s="1079"/>
      <c r="D91" s="1079">
        <v>6.01</v>
      </c>
      <c r="E91" s="1079">
        <v>0</v>
      </c>
      <c r="F91" s="1079">
        <v>8.44</v>
      </c>
      <c r="G91" s="1079">
        <v>0</v>
      </c>
      <c r="H91" s="1079">
        <v>0</v>
      </c>
      <c r="I91" s="1079">
        <v>6.58</v>
      </c>
      <c r="J91" s="1079">
        <v>0</v>
      </c>
      <c r="K91" s="1079">
        <v>0</v>
      </c>
      <c r="L91" s="1079">
        <v>0</v>
      </c>
      <c r="M91" s="1079">
        <v>5.58</v>
      </c>
      <c r="N91" s="1079">
        <v>4.03</v>
      </c>
      <c r="O91" s="1079">
        <v>0</v>
      </c>
      <c r="P91" s="1079">
        <v>0</v>
      </c>
      <c r="Q91" s="1079">
        <v>0</v>
      </c>
      <c r="R91" s="1079">
        <v>5.44</v>
      </c>
      <c r="S91" s="1079">
        <v>0</v>
      </c>
      <c r="T91" s="1079">
        <v>0</v>
      </c>
      <c r="U91" s="1079">
        <v>0</v>
      </c>
      <c r="V91" s="1079">
        <v>0</v>
      </c>
      <c r="W91" s="1079">
        <v>18.87</v>
      </c>
      <c r="X91" s="1079">
        <v>19.899999999999999</v>
      </c>
      <c r="Y91" s="1079">
        <v>0.05</v>
      </c>
      <c r="Z91" s="1079">
        <v>0</v>
      </c>
      <c r="AB91" s="1103" t="s">
        <v>220</v>
      </c>
      <c r="AC91" s="1079">
        <v>4.03</v>
      </c>
      <c r="AD91" s="1079">
        <v>0</v>
      </c>
      <c r="AE91" s="1079">
        <v>0</v>
      </c>
      <c r="AF91" s="1079">
        <v>0</v>
      </c>
      <c r="AG91" s="1079">
        <v>0.05</v>
      </c>
      <c r="AH91" s="1112">
        <v>0</v>
      </c>
      <c r="AI91" s="1119"/>
    </row>
    <row r="92" spans="1:42">
      <c r="A92" s="1103" t="s">
        <v>223</v>
      </c>
      <c r="B92" s="1079">
        <v>0</v>
      </c>
      <c r="C92" s="1079">
        <v>0.77</v>
      </c>
      <c r="D92" s="1079"/>
      <c r="E92" s="1079">
        <v>0</v>
      </c>
      <c r="F92" s="1079">
        <v>0.92</v>
      </c>
      <c r="G92" s="1079">
        <v>4.96</v>
      </c>
      <c r="H92" s="1079">
        <v>0</v>
      </c>
      <c r="I92" s="1079">
        <v>2.69</v>
      </c>
      <c r="J92" s="1079">
        <v>0</v>
      </c>
      <c r="K92" s="1079">
        <v>0</v>
      </c>
      <c r="L92" s="1079">
        <v>0</v>
      </c>
      <c r="M92" s="1079">
        <v>0</v>
      </c>
      <c r="N92" s="1079">
        <v>0</v>
      </c>
      <c r="O92" s="1079">
        <v>0</v>
      </c>
      <c r="P92" s="1079">
        <v>0</v>
      </c>
      <c r="Q92" s="1079">
        <v>0</v>
      </c>
      <c r="R92" s="1079">
        <v>0</v>
      </c>
      <c r="S92" s="1079">
        <v>0</v>
      </c>
      <c r="T92" s="1079">
        <v>0</v>
      </c>
      <c r="U92" s="1079">
        <v>0</v>
      </c>
      <c r="V92" s="1079">
        <v>1.86</v>
      </c>
      <c r="W92" s="1079">
        <v>0.24</v>
      </c>
      <c r="X92" s="1079">
        <v>0</v>
      </c>
      <c r="Y92" s="1079">
        <v>0.09</v>
      </c>
      <c r="Z92" s="1079">
        <v>0</v>
      </c>
      <c r="AB92" s="1103" t="s">
        <v>223</v>
      </c>
      <c r="AC92" s="1079">
        <v>0</v>
      </c>
      <c r="AD92" s="1079">
        <v>0</v>
      </c>
      <c r="AE92" s="1079">
        <v>0</v>
      </c>
      <c r="AF92" s="1079">
        <v>1.86</v>
      </c>
      <c r="AG92" s="1079">
        <v>0.09</v>
      </c>
      <c r="AH92" s="1112">
        <v>0</v>
      </c>
      <c r="AI92" s="1119"/>
      <c r="AJ92" s="1123" t="s">
        <v>220</v>
      </c>
      <c r="AK92" s="1079">
        <v>0</v>
      </c>
      <c r="AL92" s="1079">
        <v>0</v>
      </c>
      <c r="AM92" s="1079">
        <v>0</v>
      </c>
      <c r="AN92" s="1079">
        <v>5.67</v>
      </c>
      <c r="AO92" s="1079">
        <v>0</v>
      </c>
    </row>
    <row r="93" spans="1:42">
      <c r="A93" s="1103" t="s">
        <v>249</v>
      </c>
      <c r="B93" s="1079">
        <v>0</v>
      </c>
      <c r="C93" s="1079">
        <v>0</v>
      </c>
      <c r="D93" s="1079">
        <v>0</v>
      </c>
      <c r="E93" s="1079"/>
      <c r="F93" s="1079">
        <v>0</v>
      </c>
      <c r="G93" s="1079">
        <v>0</v>
      </c>
      <c r="H93" s="1079">
        <v>0</v>
      </c>
      <c r="I93" s="1079">
        <v>0</v>
      </c>
      <c r="J93" s="1079">
        <v>0</v>
      </c>
      <c r="K93" s="1079">
        <v>0</v>
      </c>
      <c r="L93" s="1079">
        <v>0</v>
      </c>
      <c r="M93" s="1079">
        <v>0</v>
      </c>
      <c r="N93" s="1079">
        <v>9.68</v>
      </c>
      <c r="O93" s="1079">
        <v>0</v>
      </c>
      <c r="P93" s="1079">
        <v>0</v>
      </c>
      <c r="Q93" s="1079">
        <v>0</v>
      </c>
      <c r="R93" s="1079">
        <v>0</v>
      </c>
      <c r="S93" s="1079">
        <v>0</v>
      </c>
      <c r="T93" s="1079">
        <v>0</v>
      </c>
      <c r="U93" s="1079">
        <v>0</v>
      </c>
      <c r="V93" s="1079">
        <v>0</v>
      </c>
      <c r="W93" s="1079">
        <v>0</v>
      </c>
      <c r="X93" s="1079">
        <v>0</v>
      </c>
      <c r="Y93" s="1079">
        <v>0</v>
      </c>
      <c r="Z93" s="1079">
        <v>0</v>
      </c>
      <c r="AB93" s="1103" t="s">
        <v>249</v>
      </c>
      <c r="AC93" s="1079">
        <v>9.68</v>
      </c>
      <c r="AD93" s="1079">
        <v>0</v>
      </c>
      <c r="AE93" s="1079">
        <v>0</v>
      </c>
      <c r="AF93" s="1079">
        <v>0</v>
      </c>
      <c r="AG93" s="1079">
        <v>0</v>
      </c>
      <c r="AH93" s="1112">
        <v>0</v>
      </c>
      <c r="AI93" s="1119"/>
      <c r="AJ93" s="1123" t="s">
        <v>219</v>
      </c>
      <c r="AK93" s="1079">
        <v>0</v>
      </c>
      <c r="AL93" s="1079">
        <v>0</v>
      </c>
      <c r="AM93" s="1079">
        <v>32.450000000000003</v>
      </c>
      <c r="AN93" s="1079">
        <v>3.57</v>
      </c>
      <c r="AO93" s="1079">
        <v>0</v>
      </c>
    </row>
    <row r="94" spans="1:42">
      <c r="A94" s="1103" t="s">
        <v>221</v>
      </c>
      <c r="B94" s="1079">
        <v>0</v>
      </c>
      <c r="C94" s="1079">
        <v>1.21</v>
      </c>
      <c r="D94" s="1079">
        <v>3.43</v>
      </c>
      <c r="E94" s="1079">
        <v>0</v>
      </c>
      <c r="F94" s="1079"/>
      <c r="G94" s="1079">
        <v>0</v>
      </c>
      <c r="H94" s="1079">
        <v>0</v>
      </c>
      <c r="I94" s="1079">
        <v>0.93</v>
      </c>
      <c r="J94" s="1079">
        <v>0</v>
      </c>
      <c r="K94" s="1079">
        <v>0</v>
      </c>
      <c r="L94" s="1079">
        <v>16</v>
      </c>
      <c r="M94" s="1079">
        <v>1.02</v>
      </c>
      <c r="N94" s="1079">
        <v>0</v>
      </c>
      <c r="O94" s="1079">
        <v>0</v>
      </c>
      <c r="P94" s="1079">
        <v>0</v>
      </c>
      <c r="Q94" s="1079">
        <v>0</v>
      </c>
      <c r="R94" s="1079">
        <v>0</v>
      </c>
      <c r="S94" s="1079">
        <v>0</v>
      </c>
      <c r="T94" s="1079">
        <v>0</v>
      </c>
      <c r="U94" s="1079">
        <v>0</v>
      </c>
      <c r="V94" s="1079">
        <v>0</v>
      </c>
      <c r="W94" s="1079">
        <v>0.34</v>
      </c>
      <c r="X94" s="1079">
        <v>0</v>
      </c>
      <c r="Y94" s="1079">
        <v>0</v>
      </c>
      <c r="Z94" s="1079">
        <v>0</v>
      </c>
      <c r="AB94" s="1103" t="s">
        <v>221</v>
      </c>
      <c r="AC94" s="1079">
        <v>0</v>
      </c>
      <c r="AD94" s="1079">
        <v>0</v>
      </c>
      <c r="AE94" s="1079">
        <v>0</v>
      </c>
      <c r="AF94" s="1079">
        <v>0</v>
      </c>
      <c r="AG94" s="1079">
        <v>0</v>
      </c>
      <c r="AH94" s="1112">
        <v>0</v>
      </c>
      <c r="AI94" s="1119"/>
      <c r="AJ94" s="1123" t="s">
        <v>231</v>
      </c>
      <c r="AK94" s="1079">
        <v>0</v>
      </c>
      <c r="AL94" s="1079">
        <v>0</v>
      </c>
      <c r="AM94" s="1079">
        <v>0</v>
      </c>
      <c r="AN94" s="1079">
        <v>1.17</v>
      </c>
      <c r="AO94" s="1079"/>
    </row>
    <row r="95" spans="1:42">
      <c r="A95" s="1103" t="s">
        <v>234</v>
      </c>
      <c r="B95" s="1079">
        <v>0</v>
      </c>
      <c r="C95" s="1079">
        <v>0</v>
      </c>
      <c r="D95" s="1079">
        <v>0.09</v>
      </c>
      <c r="E95" s="1079">
        <v>0</v>
      </c>
      <c r="F95" s="1079">
        <v>0</v>
      </c>
      <c r="G95" s="1079"/>
      <c r="H95" s="1079">
        <v>0</v>
      </c>
      <c r="I95" s="1079">
        <v>0</v>
      </c>
      <c r="J95" s="1079">
        <v>0</v>
      </c>
      <c r="K95" s="1079">
        <v>0</v>
      </c>
      <c r="L95" s="1079">
        <v>0</v>
      </c>
      <c r="M95" s="1079">
        <v>0</v>
      </c>
      <c r="N95" s="1079">
        <v>0</v>
      </c>
      <c r="O95" s="1079">
        <v>0</v>
      </c>
      <c r="P95" s="1079">
        <v>0</v>
      </c>
      <c r="Q95" s="1079">
        <v>0.56999999999999995</v>
      </c>
      <c r="R95" s="1079">
        <v>0</v>
      </c>
      <c r="S95" s="1079">
        <v>0</v>
      </c>
      <c r="T95" s="1079">
        <v>0</v>
      </c>
      <c r="U95" s="1079">
        <v>0</v>
      </c>
      <c r="V95" s="1079">
        <v>0</v>
      </c>
      <c r="W95" s="1079">
        <v>0</v>
      </c>
      <c r="X95" s="1079">
        <v>0</v>
      </c>
      <c r="Y95" s="1079">
        <v>0</v>
      </c>
      <c r="Z95" s="1079">
        <v>0</v>
      </c>
      <c r="AB95" s="1103" t="s">
        <v>234</v>
      </c>
      <c r="AC95" s="1079">
        <v>0</v>
      </c>
      <c r="AD95" s="1079">
        <v>0</v>
      </c>
      <c r="AE95" s="1079">
        <v>0</v>
      </c>
      <c r="AF95" s="1079">
        <v>0</v>
      </c>
      <c r="AG95" s="1079">
        <v>0</v>
      </c>
      <c r="AH95" s="1112">
        <v>0</v>
      </c>
      <c r="AI95" s="1119"/>
    </row>
    <row r="96" spans="1:42">
      <c r="A96" s="1103" t="s">
        <v>225</v>
      </c>
      <c r="B96" s="1079">
        <v>0</v>
      </c>
      <c r="C96" s="1079">
        <v>0.03</v>
      </c>
      <c r="D96" s="1079">
        <v>1.47</v>
      </c>
      <c r="E96" s="1079">
        <v>0</v>
      </c>
      <c r="F96" s="1079">
        <v>0.08</v>
      </c>
      <c r="G96" s="1079">
        <v>0</v>
      </c>
      <c r="H96" s="1079">
        <v>0</v>
      </c>
      <c r="I96" s="1079"/>
      <c r="J96" s="1079">
        <v>0</v>
      </c>
      <c r="K96" s="1079">
        <v>0</v>
      </c>
      <c r="L96" s="1079">
        <v>0</v>
      </c>
      <c r="M96" s="1079">
        <v>0</v>
      </c>
      <c r="N96" s="1079">
        <v>0</v>
      </c>
      <c r="O96" s="1079">
        <v>0</v>
      </c>
      <c r="P96" s="1079">
        <v>0</v>
      </c>
      <c r="Q96" s="1079">
        <v>0</v>
      </c>
      <c r="R96" s="1079">
        <v>0</v>
      </c>
      <c r="S96" s="1079">
        <v>0</v>
      </c>
      <c r="T96" s="1079">
        <v>0</v>
      </c>
      <c r="U96" s="1079">
        <v>0</v>
      </c>
      <c r="V96" s="1079">
        <v>0</v>
      </c>
      <c r="W96" s="1079">
        <v>0</v>
      </c>
      <c r="X96" s="1079">
        <v>0</v>
      </c>
      <c r="Y96" s="1079">
        <v>0</v>
      </c>
      <c r="Z96" s="1079">
        <v>0</v>
      </c>
      <c r="AB96" s="1103" t="s">
        <v>225</v>
      </c>
      <c r="AC96" s="1079">
        <v>0</v>
      </c>
      <c r="AD96" s="1079">
        <v>0</v>
      </c>
      <c r="AE96" s="1079">
        <v>0</v>
      </c>
      <c r="AF96" s="1079">
        <v>0</v>
      </c>
      <c r="AG96" s="1079">
        <v>0</v>
      </c>
      <c r="AH96" s="1112">
        <v>0</v>
      </c>
      <c r="AI96" s="1119"/>
    </row>
    <row r="97" spans="1:35">
      <c r="A97" s="1103" t="s">
        <v>236</v>
      </c>
      <c r="B97" s="1079">
        <v>0</v>
      </c>
      <c r="C97" s="1079">
        <v>0</v>
      </c>
      <c r="D97" s="1079">
        <v>0</v>
      </c>
      <c r="E97" s="1079">
        <v>0</v>
      </c>
      <c r="F97" s="1079">
        <v>0</v>
      </c>
      <c r="G97" s="1079">
        <v>0</v>
      </c>
      <c r="H97" s="1079">
        <v>0</v>
      </c>
      <c r="I97" s="1079">
        <v>0</v>
      </c>
      <c r="J97" s="1079">
        <v>0</v>
      </c>
      <c r="K97" s="1079"/>
      <c r="L97" s="1079">
        <v>0</v>
      </c>
      <c r="M97" s="1079">
        <v>0</v>
      </c>
      <c r="N97" s="1079">
        <v>0</v>
      </c>
      <c r="O97" s="1079">
        <v>0</v>
      </c>
      <c r="P97" s="1079">
        <v>0</v>
      </c>
      <c r="Q97" s="1079">
        <v>0</v>
      </c>
      <c r="R97" s="1079">
        <v>0</v>
      </c>
      <c r="S97" s="1079">
        <v>0</v>
      </c>
      <c r="T97" s="1079">
        <v>0</v>
      </c>
      <c r="U97" s="1079">
        <v>0</v>
      </c>
      <c r="V97" s="1079">
        <v>0</v>
      </c>
      <c r="W97" s="1079">
        <v>0.05</v>
      </c>
      <c r="X97" s="1079">
        <v>0</v>
      </c>
      <c r="Y97" s="1079">
        <v>0</v>
      </c>
      <c r="Z97" s="1079">
        <v>0</v>
      </c>
      <c r="AB97" s="1103" t="s">
        <v>236</v>
      </c>
      <c r="AC97" s="1079">
        <v>0</v>
      </c>
      <c r="AD97" s="1079">
        <v>0</v>
      </c>
      <c r="AE97" s="1079">
        <v>0</v>
      </c>
      <c r="AF97" s="1079">
        <v>0</v>
      </c>
      <c r="AG97" s="1079">
        <v>0</v>
      </c>
      <c r="AH97" s="1112">
        <v>0</v>
      </c>
      <c r="AI97" s="1119"/>
    </row>
    <row r="98" spans="1:35">
      <c r="A98" s="1103" t="s">
        <v>227</v>
      </c>
      <c r="B98" s="1079">
        <v>0</v>
      </c>
      <c r="C98" s="1079">
        <v>0</v>
      </c>
      <c r="D98" s="1079">
        <v>0</v>
      </c>
      <c r="E98" s="1079">
        <v>0</v>
      </c>
      <c r="F98" s="1079">
        <v>0.17</v>
      </c>
      <c r="G98" s="1079">
        <v>0</v>
      </c>
      <c r="H98" s="1079">
        <v>0</v>
      </c>
      <c r="I98" s="1079">
        <v>0</v>
      </c>
      <c r="J98" s="1079">
        <v>0</v>
      </c>
      <c r="K98" s="1079">
        <v>0</v>
      </c>
      <c r="L98" s="1079"/>
      <c r="M98" s="1079">
        <v>1.27</v>
      </c>
      <c r="N98" s="1079">
        <v>0</v>
      </c>
      <c r="O98" s="1079">
        <v>0</v>
      </c>
      <c r="P98" s="1079">
        <v>0</v>
      </c>
      <c r="Q98" s="1079">
        <v>0</v>
      </c>
      <c r="R98" s="1079">
        <v>0</v>
      </c>
      <c r="S98" s="1079">
        <v>0</v>
      </c>
      <c r="T98" s="1079">
        <v>0</v>
      </c>
      <c r="U98" s="1079">
        <v>0</v>
      </c>
      <c r="V98" s="1079">
        <v>0</v>
      </c>
      <c r="W98" s="1079">
        <v>0</v>
      </c>
      <c r="X98" s="1079">
        <v>0</v>
      </c>
      <c r="Y98" s="1079">
        <v>0</v>
      </c>
      <c r="Z98" s="1079">
        <v>0</v>
      </c>
      <c r="AB98" s="1103" t="s">
        <v>227</v>
      </c>
      <c r="AC98" s="1079">
        <v>0</v>
      </c>
      <c r="AD98" s="1079">
        <v>0</v>
      </c>
      <c r="AE98" s="1079">
        <v>0</v>
      </c>
      <c r="AF98" s="1079">
        <v>0</v>
      </c>
      <c r="AG98" s="1079">
        <v>0</v>
      </c>
      <c r="AH98" s="1112">
        <v>0</v>
      </c>
      <c r="AI98" s="1119"/>
    </row>
    <row r="99" spans="1:35">
      <c r="A99" s="1103" t="s">
        <v>2</v>
      </c>
      <c r="B99" s="1079">
        <v>0</v>
      </c>
      <c r="C99" s="1079">
        <v>0.22</v>
      </c>
      <c r="D99" s="1079">
        <v>0</v>
      </c>
      <c r="E99" s="1079">
        <v>0</v>
      </c>
      <c r="F99" s="1079">
        <v>2.73</v>
      </c>
      <c r="G99" s="1079">
        <v>0</v>
      </c>
      <c r="H99" s="1079">
        <v>0</v>
      </c>
      <c r="I99" s="1079">
        <v>0</v>
      </c>
      <c r="J99" s="1079">
        <v>0</v>
      </c>
      <c r="K99" s="1079">
        <v>0</v>
      </c>
      <c r="L99" s="1079">
        <v>36</v>
      </c>
      <c r="M99" s="1079"/>
      <c r="N99" s="1079">
        <v>0</v>
      </c>
      <c r="O99" s="1079">
        <v>0</v>
      </c>
      <c r="P99" s="1079">
        <v>0</v>
      </c>
      <c r="Q99" s="1079">
        <v>0</v>
      </c>
      <c r="R99" s="1079">
        <v>0</v>
      </c>
      <c r="S99" s="1079">
        <v>0</v>
      </c>
      <c r="T99" s="1079">
        <v>0</v>
      </c>
      <c r="U99" s="1079">
        <v>16.95</v>
      </c>
      <c r="V99" s="1079">
        <v>0</v>
      </c>
      <c r="W99" s="1079">
        <v>0.3</v>
      </c>
      <c r="X99" s="1079">
        <v>0</v>
      </c>
      <c r="Y99" s="1079">
        <v>0</v>
      </c>
      <c r="Z99" s="1079">
        <v>0</v>
      </c>
      <c r="AB99" s="1103" t="s">
        <v>2</v>
      </c>
      <c r="AC99" s="1079">
        <v>0</v>
      </c>
      <c r="AD99" s="1079">
        <v>0</v>
      </c>
      <c r="AE99" s="1079">
        <v>0</v>
      </c>
      <c r="AF99" s="1079">
        <v>0</v>
      </c>
      <c r="AG99" s="1079">
        <v>0</v>
      </c>
      <c r="AH99" s="1112">
        <v>0</v>
      </c>
      <c r="AI99" s="1119"/>
    </row>
    <row r="100" spans="1:35">
      <c r="A100" s="1103" t="s">
        <v>232</v>
      </c>
      <c r="B100" s="1079">
        <v>0</v>
      </c>
      <c r="C100" s="1079">
        <v>0.01</v>
      </c>
      <c r="D100" s="1079">
        <v>0</v>
      </c>
      <c r="E100" s="1079">
        <v>1.45</v>
      </c>
      <c r="F100" s="1079">
        <v>0</v>
      </c>
      <c r="G100" s="1079">
        <v>0</v>
      </c>
      <c r="H100" s="1079">
        <v>0</v>
      </c>
      <c r="I100" s="1079">
        <v>0</v>
      </c>
      <c r="J100" s="1079">
        <v>0</v>
      </c>
      <c r="K100" s="1079">
        <v>0</v>
      </c>
      <c r="L100" s="1079">
        <v>0</v>
      </c>
      <c r="M100" s="1079">
        <v>0</v>
      </c>
      <c r="N100" s="1079"/>
      <c r="O100" s="1079">
        <v>0</v>
      </c>
      <c r="P100" s="1079">
        <v>0</v>
      </c>
      <c r="Q100" s="1079">
        <v>0</v>
      </c>
      <c r="R100" s="1079">
        <v>0</v>
      </c>
      <c r="S100" s="1079">
        <v>0</v>
      </c>
      <c r="T100" s="1079">
        <v>0</v>
      </c>
      <c r="U100" s="1079">
        <v>0</v>
      </c>
      <c r="V100" s="1079">
        <v>0</v>
      </c>
      <c r="W100" s="1079">
        <v>0.01</v>
      </c>
      <c r="X100" s="1079">
        <v>0</v>
      </c>
      <c r="Y100" s="1079">
        <v>0</v>
      </c>
      <c r="Z100" s="1079">
        <v>0</v>
      </c>
      <c r="AB100" s="1103" t="s">
        <v>232</v>
      </c>
      <c r="AC100" s="1079"/>
      <c r="AD100" s="1079">
        <v>0</v>
      </c>
      <c r="AE100" s="1079">
        <v>0</v>
      </c>
      <c r="AF100" s="1079">
        <v>0</v>
      </c>
      <c r="AG100" s="1079">
        <v>0</v>
      </c>
      <c r="AH100" s="1112">
        <v>0</v>
      </c>
      <c r="AI100" s="1119"/>
    </row>
    <row r="101" spans="1:35">
      <c r="A101" s="1103" t="s">
        <v>230</v>
      </c>
      <c r="B101" s="1079">
        <v>0</v>
      </c>
      <c r="C101" s="1079">
        <v>0</v>
      </c>
      <c r="D101" s="1079">
        <v>0</v>
      </c>
      <c r="E101" s="1079">
        <v>0</v>
      </c>
      <c r="F101" s="1079">
        <v>0</v>
      </c>
      <c r="G101" s="1079">
        <v>0</v>
      </c>
      <c r="H101" s="1079">
        <v>0</v>
      </c>
      <c r="I101" s="1079">
        <v>0</v>
      </c>
      <c r="J101" s="1079">
        <v>0</v>
      </c>
      <c r="K101" s="1079">
        <v>0</v>
      </c>
      <c r="L101" s="1079">
        <v>0</v>
      </c>
      <c r="M101" s="1079">
        <v>0</v>
      </c>
      <c r="N101" s="1079">
        <v>0</v>
      </c>
      <c r="O101" s="1079"/>
      <c r="P101" s="1079">
        <v>0</v>
      </c>
      <c r="Q101" s="1079">
        <v>0</v>
      </c>
      <c r="R101" s="1079">
        <v>0</v>
      </c>
      <c r="S101" s="1079">
        <v>0</v>
      </c>
      <c r="T101" s="1079">
        <v>0</v>
      </c>
      <c r="U101" s="1079">
        <v>0</v>
      </c>
      <c r="V101" s="1079">
        <v>0</v>
      </c>
      <c r="W101" s="1079">
        <v>0</v>
      </c>
      <c r="X101" s="1079">
        <v>0</v>
      </c>
      <c r="Y101" s="1079">
        <v>0</v>
      </c>
      <c r="Z101" s="1079">
        <v>6.74</v>
      </c>
      <c r="AB101" s="1103" t="s">
        <v>230</v>
      </c>
      <c r="AC101" s="1079">
        <v>0</v>
      </c>
      <c r="AD101" s="1079"/>
      <c r="AE101" s="1079">
        <v>0</v>
      </c>
      <c r="AF101" s="1079">
        <v>0</v>
      </c>
      <c r="AG101" s="1079">
        <v>0</v>
      </c>
      <c r="AH101" s="1112">
        <v>6.74</v>
      </c>
      <c r="AI101" s="1119"/>
    </row>
    <row r="102" spans="1:35">
      <c r="A102" s="1103" t="s">
        <v>238</v>
      </c>
      <c r="B102" s="1079">
        <v>0</v>
      </c>
      <c r="C102" s="1079">
        <v>0</v>
      </c>
      <c r="D102" s="1079">
        <v>0</v>
      </c>
      <c r="E102" s="1079">
        <v>0</v>
      </c>
      <c r="F102" s="1079">
        <v>0</v>
      </c>
      <c r="G102" s="1079">
        <v>0</v>
      </c>
      <c r="H102" s="1079">
        <v>0</v>
      </c>
      <c r="I102" s="1079">
        <v>0</v>
      </c>
      <c r="J102" s="1079">
        <v>0</v>
      </c>
      <c r="K102" s="1079">
        <v>0</v>
      </c>
      <c r="L102" s="1079">
        <v>0</v>
      </c>
      <c r="M102" s="1079">
        <v>0</v>
      </c>
      <c r="N102" s="1079">
        <v>0</v>
      </c>
      <c r="O102" s="1079">
        <v>0</v>
      </c>
      <c r="P102" s="1079"/>
      <c r="Q102" s="1079">
        <v>0</v>
      </c>
      <c r="R102" s="1079">
        <v>0</v>
      </c>
      <c r="S102" s="1079">
        <v>0</v>
      </c>
      <c r="T102" s="1079">
        <v>0</v>
      </c>
      <c r="U102" s="1079">
        <v>0</v>
      </c>
      <c r="V102" s="1079">
        <v>1.74</v>
      </c>
      <c r="W102" s="1079">
        <v>0</v>
      </c>
      <c r="X102" s="1079">
        <v>0</v>
      </c>
      <c r="Y102" s="1079">
        <v>0</v>
      </c>
      <c r="Z102" s="1079">
        <v>0</v>
      </c>
      <c r="AB102" s="1103" t="s">
        <v>238</v>
      </c>
      <c r="AC102" s="1079">
        <v>0</v>
      </c>
      <c r="AD102" s="1079">
        <v>0</v>
      </c>
      <c r="AE102" s="1079"/>
      <c r="AF102" s="1079">
        <v>1.74</v>
      </c>
      <c r="AG102" s="1079">
        <v>0</v>
      </c>
      <c r="AH102" s="1112">
        <v>0</v>
      </c>
      <c r="AI102" s="1119"/>
    </row>
    <row r="103" spans="1:35">
      <c r="A103" s="1103" t="s">
        <v>226</v>
      </c>
      <c r="B103" s="1079">
        <v>0</v>
      </c>
      <c r="C103" s="1079">
        <v>0</v>
      </c>
      <c r="D103" s="1079">
        <v>0</v>
      </c>
      <c r="E103" s="1079">
        <v>0</v>
      </c>
      <c r="F103" s="1079">
        <v>0</v>
      </c>
      <c r="G103" s="1079">
        <v>4.96</v>
      </c>
      <c r="H103" s="1079">
        <v>0</v>
      </c>
      <c r="I103" s="1079">
        <v>0</v>
      </c>
      <c r="J103" s="1079">
        <v>0</v>
      </c>
      <c r="K103" s="1079">
        <v>0</v>
      </c>
      <c r="L103" s="1079">
        <v>0</v>
      </c>
      <c r="M103" s="1079">
        <v>0</v>
      </c>
      <c r="N103" s="1079">
        <v>0</v>
      </c>
      <c r="O103" s="1079">
        <v>0</v>
      </c>
      <c r="P103" s="1079">
        <v>0</v>
      </c>
      <c r="Q103" s="1079"/>
      <c r="R103" s="1079">
        <v>0</v>
      </c>
      <c r="S103" s="1079">
        <v>0</v>
      </c>
      <c r="T103" s="1079">
        <v>0</v>
      </c>
      <c r="U103" s="1079">
        <v>0</v>
      </c>
      <c r="V103" s="1079">
        <v>0</v>
      </c>
      <c r="W103" s="1079">
        <v>0.26</v>
      </c>
      <c r="X103" s="1079">
        <v>0</v>
      </c>
      <c r="Y103" s="1079">
        <v>0</v>
      </c>
      <c r="Z103" s="1079">
        <v>0</v>
      </c>
      <c r="AB103" s="1103" t="s">
        <v>226</v>
      </c>
      <c r="AC103" s="1079">
        <v>0</v>
      </c>
      <c r="AD103" s="1079">
        <v>0</v>
      </c>
      <c r="AE103" s="1079">
        <v>0</v>
      </c>
      <c r="AF103" s="1079">
        <v>0</v>
      </c>
      <c r="AG103" s="1079">
        <v>0</v>
      </c>
      <c r="AH103" s="1112">
        <v>0</v>
      </c>
      <c r="AI103" s="1119"/>
    </row>
    <row r="104" spans="1:35">
      <c r="A104" s="1103" t="s">
        <v>3</v>
      </c>
      <c r="B104" s="1079">
        <v>0</v>
      </c>
      <c r="C104" s="1079">
        <v>7.0000000000000007E-2</v>
      </c>
      <c r="D104" s="1079">
        <v>0</v>
      </c>
      <c r="E104" s="1079">
        <v>0</v>
      </c>
      <c r="F104" s="1079">
        <v>0</v>
      </c>
      <c r="G104" s="1079">
        <v>0</v>
      </c>
      <c r="H104" s="1079">
        <v>0</v>
      </c>
      <c r="I104" s="1079">
        <v>0</v>
      </c>
      <c r="J104" s="1079">
        <v>0</v>
      </c>
      <c r="K104" s="1079">
        <v>0</v>
      </c>
      <c r="L104" s="1079">
        <v>0</v>
      </c>
      <c r="M104" s="1079">
        <v>0</v>
      </c>
      <c r="N104" s="1079">
        <v>0</v>
      </c>
      <c r="O104" s="1079">
        <v>0</v>
      </c>
      <c r="P104" s="1079">
        <v>0</v>
      </c>
      <c r="Q104" s="1079">
        <v>0</v>
      </c>
      <c r="R104" s="1079"/>
      <c r="S104" s="1079">
        <v>0</v>
      </c>
      <c r="T104" s="1079">
        <v>0</v>
      </c>
      <c r="U104" s="1079">
        <v>0</v>
      </c>
      <c r="V104" s="1079">
        <v>0</v>
      </c>
      <c r="W104" s="1079">
        <v>0</v>
      </c>
      <c r="X104" s="1079">
        <v>0</v>
      </c>
      <c r="Y104" s="1079">
        <v>0</v>
      </c>
      <c r="Z104" s="1079">
        <v>0</v>
      </c>
      <c r="AB104" s="1103" t="s">
        <v>3</v>
      </c>
      <c r="AC104" s="1079">
        <v>0</v>
      </c>
      <c r="AD104" s="1079">
        <v>0</v>
      </c>
      <c r="AE104" s="1079">
        <v>0</v>
      </c>
      <c r="AF104" s="1079">
        <v>0</v>
      </c>
      <c r="AG104" s="1079">
        <v>0</v>
      </c>
      <c r="AH104" s="1112">
        <v>0</v>
      </c>
      <c r="AI104" s="1119"/>
    </row>
    <row r="105" spans="1:35">
      <c r="A105" s="1103" t="s">
        <v>228</v>
      </c>
      <c r="B105" s="1079">
        <v>0</v>
      </c>
      <c r="C105" s="1079">
        <v>0</v>
      </c>
      <c r="D105" s="1079">
        <v>0</v>
      </c>
      <c r="E105" s="1079">
        <v>0</v>
      </c>
      <c r="F105" s="1079">
        <v>0</v>
      </c>
      <c r="G105" s="1079">
        <v>0</v>
      </c>
      <c r="H105" s="1079">
        <v>0</v>
      </c>
      <c r="I105" s="1079">
        <v>0</v>
      </c>
      <c r="J105" s="1079">
        <v>0</v>
      </c>
      <c r="K105" s="1079">
        <v>0</v>
      </c>
      <c r="L105" s="1079">
        <v>0</v>
      </c>
      <c r="M105" s="1079">
        <v>0.69</v>
      </c>
      <c r="N105" s="1079">
        <v>0</v>
      </c>
      <c r="O105" s="1079">
        <v>0</v>
      </c>
      <c r="P105" s="1079">
        <v>0</v>
      </c>
      <c r="Q105" s="1079">
        <v>0</v>
      </c>
      <c r="R105" s="1079">
        <v>0</v>
      </c>
      <c r="S105" s="1079">
        <v>0</v>
      </c>
      <c r="T105" s="1079">
        <v>0</v>
      </c>
      <c r="U105" s="1079"/>
      <c r="V105" s="1079">
        <v>0</v>
      </c>
      <c r="W105" s="1079">
        <v>0</v>
      </c>
      <c r="X105" s="1079">
        <v>0</v>
      </c>
      <c r="Y105" s="1079">
        <v>0</v>
      </c>
      <c r="Z105" s="1079">
        <v>0</v>
      </c>
      <c r="AB105" s="1103" t="s">
        <v>228</v>
      </c>
      <c r="AC105" s="1079">
        <v>0</v>
      </c>
      <c r="AD105" s="1079">
        <v>0</v>
      </c>
      <c r="AE105" s="1079">
        <v>0</v>
      </c>
      <c r="AF105" s="1079">
        <v>0</v>
      </c>
      <c r="AG105" s="1079">
        <v>0</v>
      </c>
      <c r="AH105" s="1112">
        <v>0</v>
      </c>
      <c r="AI105" s="1119"/>
    </row>
    <row r="106" spans="1:35">
      <c r="A106" s="1103" t="s">
        <v>224</v>
      </c>
      <c r="B106" s="1079">
        <v>0</v>
      </c>
      <c r="C106" s="1079">
        <v>0</v>
      </c>
      <c r="D106" s="1079">
        <v>0.7</v>
      </c>
      <c r="E106" s="1079">
        <v>0</v>
      </c>
      <c r="F106" s="1079">
        <v>0</v>
      </c>
      <c r="G106" s="1079">
        <v>0</v>
      </c>
      <c r="H106" s="1079">
        <v>0</v>
      </c>
      <c r="I106" s="1079">
        <v>0</v>
      </c>
      <c r="J106" s="1079">
        <v>0</v>
      </c>
      <c r="K106" s="1079">
        <v>0</v>
      </c>
      <c r="L106" s="1079">
        <v>0</v>
      </c>
      <c r="M106" s="1079">
        <v>0</v>
      </c>
      <c r="N106" s="1079">
        <v>0</v>
      </c>
      <c r="O106" s="1079">
        <v>0</v>
      </c>
      <c r="P106" s="1079">
        <v>0.94</v>
      </c>
      <c r="Q106" s="1079">
        <v>0</v>
      </c>
      <c r="R106" s="1079">
        <v>0</v>
      </c>
      <c r="S106" s="1079">
        <v>0</v>
      </c>
      <c r="T106" s="1079">
        <v>0</v>
      </c>
      <c r="U106" s="1079">
        <v>0</v>
      </c>
      <c r="V106" s="1079"/>
      <c r="W106" s="1079">
        <v>0.02</v>
      </c>
      <c r="X106" s="1079">
        <v>0</v>
      </c>
      <c r="Y106" s="1079">
        <v>0</v>
      </c>
      <c r="Z106" s="1079">
        <v>0</v>
      </c>
      <c r="AB106" s="1103" t="s">
        <v>224</v>
      </c>
      <c r="AC106" s="1079">
        <v>0</v>
      </c>
      <c r="AD106" s="1079">
        <v>0</v>
      </c>
      <c r="AE106" s="1079">
        <v>0.94</v>
      </c>
      <c r="AF106" s="1079"/>
      <c r="AG106" s="1079">
        <v>0</v>
      </c>
      <c r="AH106" s="1112">
        <v>0</v>
      </c>
      <c r="AI106" s="1119"/>
    </row>
    <row r="107" spans="1:35">
      <c r="A107" s="1103" t="s">
        <v>219</v>
      </c>
      <c r="B107" s="1079">
        <v>0</v>
      </c>
      <c r="C107" s="1079">
        <v>9.86</v>
      </c>
      <c r="D107" s="1079">
        <v>1.46</v>
      </c>
      <c r="E107" s="1079">
        <v>0</v>
      </c>
      <c r="F107" s="1079">
        <v>3.27</v>
      </c>
      <c r="G107" s="1079">
        <v>0</v>
      </c>
      <c r="H107" s="1079">
        <v>0</v>
      </c>
      <c r="I107" s="1079">
        <v>1.81</v>
      </c>
      <c r="J107" s="1079">
        <v>0</v>
      </c>
      <c r="K107" s="1079">
        <v>33.19</v>
      </c>
      <c r="L107" s="1079">
        <v>0</v>
      </c>
      <c r="M107" s="1079">
        <v>3.27</v>
      </c>
      <c r="N107" s="1079">
        <v>3.23</v>
      </c>
      <c r="O107" s="1079">
        <v>0</v>
      </c>
      <c r="P107" s="1079">
        <v>0</v>
      </c>
      <c r="Q107" s="1079">
        <v>12.17</v>
      </c>
      <c r="R107" s="1079">
        <v>0</v>
      </c>
      <c r="S107" s="1079">
        <v>0</v>
      </c>
      <c r="T107" s="1079">
        <v>0</v>
      </c>
      <c r="U107" s="1079">
        <v>0</v>
      </c>
      <c r="V107" s="1079">
        <v>8.36</v>
      </c>
      <c r="W107" s="1079"/>
      <c r="X107" s="1079">
        <v>0.97</v>
      </c>
      <c r="Y107" s="1079">
        <v>0.09</v>
      </c>
      <c r="Z107" s="1079">
        <v>0</v>
      </c>
      <c r="AB107" s="1103" t="s">
        <v>219</v>
      </c>
      <c r="AC107" s="1079">
        <v>3.23</v>
      </c>
      <c r="AD107" s="1079">
        <v>0</v>
      </c>
      <c r="AE107" s="1079">
        <v>0</v>
      </c>
      <c r="AF107" s="1079">
        <v>8.36</v>
      </c>
      <c r="AG107" s="1079">
        <v>0.09</v>
      </c>
      <c r="AH107" s="1112">
        <v>0</v>
      </c>
      <c r="AI107" s="1119"/>
    </row>
    <row r="108" spans="1:35">
      <c r="A108" s="1103" t="s">
        <v>229</v>
      </c>
      <c r="B108" s="1079">
        <v>0</v>
      </c>
      <c r="C108" s="1079">
        <v>0.5</v>
      </c>
      <c r="D108" s="1079">
        <v>0</v>
      </c>
      <c r="E108" s="1079">
        <v>0</v>
      </c>
      <c r="F108" s="1079">
        <v>0</v>
      </c>
      <c r="G108" s="1079">
        <v>0</v>
      </c>
      <c r="H108" s="1079">
        <v>0</v>
      </c>
      <c r="I108" s="1079">
        <v>0</v>
      </c>
      <c r="J108" s="1079">
        <v>0</v>
      </c>
      <c r="K108" s="1079">
        <v>0</v>
      </c>
      <c r="L108" s="1079">
        <v>0</v>
      </c>
      <c r="M108" s="1079">
        <v>0</v>
      </c>
      <c r="N108" s="1079">
        <v>0</v>
      </c>
      <c r="O108" s="1079">
        <v>0</v>
      </c>
      <c r="P108" s="1079">
        <v>0</v>
      </c>
      <c r="Q108" s="1079">
        <v>0</v>
      </c>
      <c r="R108" s="1079">
        <v>0</v>
      </c>
      <c r="S108" s="1079">
        <v>0</v>
      </c>
      <c r="T108" s="1079">
        <v>0</v>
      </c>
      <c r="U108" s="1079">
        <v>0</v>
      </c>
      <c r="V108" s="1079">
        <v>0</v>
      </c>
      <c r="W108" s="1079">
        <v>0.01</v>
      </c>
      <c r="X108" s="1079"/>
      <c r="Y108" s="1079">
        <v>0</v>
      </c>
      <c r="Z108" s="1079">
        <v>0</v>
      </c>
      <c r="AB108" s="1103" t="s">
        <v>229</v>
      </c>
      <c r="AC108" s="1079">
        <v>0</v>
      </c>
      <c r="AD108" s="1079">
        <v>0</v>
      </c>
      <c r="AE108" s="1079">
        <v>0</v>
      </c>
      <c r="AF108" s="1079">
        <v>0</v>
      </c>
      <c r="AG108" s="1079">
        <v>0</v>
      </c>
      <c r="AH108" s="1112">
        <v>0</v>
      </c>
      <c r="AI108" s="1119"/>
    </row>
    <row r="109" spans="1:35">
      <c r="A109" s="1103" t="s">
        <v>222</v>
      </c>
      <c r="B109" s="1079">
        <v>0</v>
      </c>
      <c r="C109" s="1079">
        <v>0.05</v>
      </c>
      <c r="D109" s="1079">
        <v>0.47</v>
      </c>
      <c r="E109" s="1079">
        <v>0</v>
      </c>
      <c r="F109" s="1079">
        <v>0</v>
      </c>
      <c r="G109" s="1079">
        <v>0</v>
      </c>
      <c r="H109" s="1079">
        <v>0</v>
      </c>
      <c r="I109" s="1079">
        <v>0</v>
      </c>
      <c r="J109" s="1079">
        <v>0</v>
      </c>
      <c r="K109" s="1079">
        <v>0</v>
      </c>
      <c r="L109" s="1079">
        <v>0</v>
      </c>
      <c r="M109" s="1079">
        <v>0</v>
      </c>
      <c r="N109" s="1079">
        <v>0</v>
      </c>
      <c r="O109" s="1079">
        <v>0</v>
      </c>
      <c r="P109" s="1079">
        <v>0</v>
      </c>
      <c r="Q109" s="1079">
        <v>0</v>
      </c>
      <c r="R109" s="1079">
        <v>0</v>
      </c>
      <c r="S109" s="1079">
        <v>0</v>
      </c>
      <c r="T109" s="1079">
        <v>0</v>
      </c>
      <c r="U109" s="1079">
        <v>0</v>
      </c>
      <c r="V109" s="1079">
        <v>0</v>
      </c>
      <c r="W109" s="1079">
        <v>0.02</v>
      </c>
      <c r="X109" s="1079">
        <v>0</v>
      </c>
      <c r="Y109" s="1079"/>
      <c r="Z109" s="1079">
        <v>0</v>
      </c>
      <c r="AB109" s="1103" t="s">
        <v>222</v>
      </c>
      <c r="AC109" s="1079">
        <v>0</v>
      </c>
      <c r="AD109" s="1079">
        <v>0</v>
      </c>
      <c r="AE109" s="1079">
        <v>0</v>
      </c>
      <c r="AF109" s="1079">
        <v>0</v>
      </c>
      <c r="AG109" s="1079"/>
      <c r="AH109" s="1112">
        <v>0</v>
      </c>
      <c r="AI109" s="1119"/>
    </row>
    <row r="110" spans="1:35">
      <c r="A110" s="1103" t="s">
        <v>231</v>
      </c>
      <c r="B110" s="1079">
        <v>0</v>
      </c>
      <c r="C110" s="1079">
        <v>0</v>
      </c>
      <c r="D110" s="1079">
        <v>0</v>
      </c>
      <c r="E110" s="1079">
        <v>0</v>
      </c>
      <c r="F110" s="1079">
        <v>0</v>
      </c>
      <c r="G110" s="1079">
        <v>0</v>
      </c>
      <c r="H110" s="1079">
        <v>0</v>
      </c>
      <c r="I110" s="1079">
        <v>0</v>
      </c>
      <c r="J110" s="1079">
        <v>0</v>
      </c>
      <c r="K110" s="1079">
        <v>0</v>
      </c>
      <c r="L110" s="1079">
        <v>0</v>
      </c>
      <c r="M110" s="1079">
        <v>0</v>
      </c>
      <c r="N110" s="1079">
        <v>0</v>
      </c>
      <c r="O110" s="1079">
        <v>10.84</v>
      </c>
      <c r="P110" s="1079">
        <v>0</v>
      </c>
      <c r="Q110" s="1079">
        <v>0</v>
      </c>
      <c r="R110" s="1079">
        <v>0</v>
      </c>
      <c r="S110" s="1079">
        <v>0</v>
      </c>
      <c r="T110" s="1079">
        <v>0</v>
      </c>
      <c r="U110" s="1079">
        <v>0</v>
      </c>
      <c r="V110" s="1079">
        <v>0</v>
      </c>
      <c r="W110" s="1079">
        <v>0</v>
      </c>
      <c r="X110" s="1079">
        <v>0</v>
      </c>
      <c r="Y110" s="1079">
        <v>0</v>
      </c>
      <c r="Z110" s="1079"/>
      <c r="AB110" s="1103" t="s">
        <v>231</v>
      </c>
      <c r="AC110" s="1079">
        <v>0</v>
      </c>
      <c r="AD110" s="1079">
        <v>10.84</v>
      </c>
      <c r="AE110" s="1079">
        <v>0</v>
      </c>
      <c r="AF110" s="1079">
        <v>0</v>
      </c>
      <c r="AG110" s="1079">
        <v>0</v>
      </c>
      <c r="AH110" s="1112"/>
      <c r="AI110" s="1119"/>
    </row>
    <row r="111" spans="1:35">
      <c r="A111" s="1103" t="s">
        <v>244</v>
      </c>
      <c r="B111" s="1079">
        <v>0</v>
      </c>
      <c r="C111" s="1079">
        <v>0.06</v>
      </c>
      <c r="D111" s="1079">
        <v>0</v>
      </c>
      <c r="E111" s="1079">
        <v>0</v>
      </c>
      <c r="F111" s="1079">
        <v>0</v>
      </c>
      <c r="G111" s="1079">
        <v>0</v>
      </c>
      <c r="H111" s="1079">
        <v>0</v>
      </c>
      <c r="I111" s="1079">
        <v>0</v>
      </c>
      <c r="J111" s="1079">
        <v>0</v>
      </c>
      <c r="K111" s="1079">
        <v>0</v>
      </c>
      <c r="L111" s="1079">
        <v>0</v>
      </c>
      <c r="M111" s="1079">
        <v>0</v>
      </c>
      <c r="N111" s="1079">
        <v>0</v>
      </c>
      <c r="O111" s="1079">
        <v>0</v>
      </c>
      <c r="P111" s="1079">
        <v>0</v>
      </c>
      <c r="Q111" s="1079">
        <v>0</v>
      </c>
      <c r="R111" s="1079">
        <v>0</v>
      </c>
      <c r="S111" s="1079">
        <v>0</v>
      </c>
      <c r="T111" s="1079">
        <v>0</v>
      </c>
      <c r="U111" s="1079">
        <v>0</v>
      </c>
      <c r="V111" s="1079">
        <v>0.01</v>
      </c>
      <c r="W111" s="1079">
        <v>0</v>
      </c>
      <c r="X111" s="1079">
        <v>0</v>
      </c>
      <c r="Y111" s="1079">
        <v>0.02</v>
      </c>
      <c r="Z111" s="1079">
        <v>0</v>
      </c>
      <c r="AB111" s="1103" t="s">
        <v>244</v>
      </c>
      <c r="AC111" s="1079">
        <v>0</v>
      </c>
      <c r="AD111" s="1079">
        <v>0</v>
      </c>
      <c r="AE111" s="1079">
        <v>0</v>
      </c>
      <c r="AF111" s="1079">
        <v>0.01</v>
      </c>
      <c r="AG111" s="1079">
        <v>0.02</v>
      </c>
      <c r="AH111" s="1112">
        <v>0</v>
      </c>
      <c r="AI111" s="1119"/>
    </row>
    <row r="112" spans="1:35">
      <c r="A112" s="1101" t="s">
        <v>253</v>
      </c>
      <c r="B112" s="1102">
        <v>40.32</v>
      </c>
      <c r="C112" s="1102">
        <v>3.86</v>
      </c>
      <c r="D112" s="1102">
        <v>4.8499999999999996</v>
      </c>
      <c r="E112" s="1102">
        <v>0</v>
      </c>
      <c r="F112" s="1102">
        <v>12.01</v>
      </c>
      <c r="G112" s="1102">
        <v>0</v>
      </c>
      <c r="H112" s="1102">
        <v>0</v>
      </c>
      <c r="I112" s="1102">
        <v>6.59</v>
      </c>
      <c r="J112" s="1102">
        <v>0</v>
      </c>
      <c r="K112" s="1102">
        <v>33.19</v>
      </c>
      <c r="L112" s="1102">
        <v>13.5</v>
      </c>
      <c r="M112" s="1102">
        <v>9.67</v>
      </c>
      <c r="N112" s="1102">
        <v>0</v>
      </c>
      <c r="O112" s="1102">
        <v>4.82</v>
      </c>
      <c r="P112" s="1102">
        <v>0</v>
      </c>
      <c r="Q112" s="1102">
        <v>0.76</v>
      </c>
      <c r="R112" s="1102">
        <v>0</v>
      </c>
      <c r="S112" s="1102">
        <v>0</v>
      </c>
      <c r="T112" s="1102">
        <v>0</v>
      </c>
      <c r="U112" s="1102">
        <v>74.58</v>
      </c>
      <c r="V112" s="1102">
        <v>3.25</v>
      </c>
      <c r="W112" s="1102">
        <v>4.96</v>
      </c>
      <c r="X112" s="1102">
        <v>2.4300000000000002</v>
      </c>
      <c r="Y112" s="1102">
        <v>3.53</v>
      </c>
      <c r="Z112" s="1102">
        <v>2.25</v>
      </c>
      <c r="AB112" s="1101" t="s">
        <v>253</v>
      </c>
      <c r="AC112" s="1102">
        <v>0</v>
      </c>
      <c r="AD112" s="1102">
        <v>4.82</v>
      </c>
      <c r="AE112" s="1102">
        <v>0</v>
      </c>
      <c r="AF112" s="1102">
        <v>3.25</v>
      </c>
      <c r="AG112" s="1102">
        <v>3.53</v>
      </c>
      <c r="AH112" s="1121">
        <v>2.25</v>
      </c>
      <c r="AI112" s="1119"/>
    </row>
    <row r="113" spans="1:35">
      <c r="A113" s="1101" t="s">
        <v>30</v>
      </c>
      <c r="B113" s="1102">
        <v>100</v>
      </c>
      <c r="C113" s="1102">
        <v>100</v>
      </c>
      <c r="D113" s="1102">
        <v>100</v>
      </c>
      <c r="E113" s="1102">
        <v>100</v>
      </c>
      <c r="F113" s="1102">
        <v>100</v>
      </c>
      <c r="G113" s="1102">
        <v>100</v>
      </c>
      <c r="H113" s="1102">
        <v>0</v>
      </c>
      <c r="I113" s="1102">
        <v>100</v>
      </c>
      <c r="J113" s="1102">
        <v>0</v>
      </c>
      <c r="K113" s="1102">
        <v>100</v>
      </c>
      <c r="L113" s="1102">
        <v>100</v>
      </c>
      <c r="M113" s="1102">
        <v>100</v>
      </c>
      <c r="N113" s="1102">
        <v>100</v>
      </c>
      <c r="O113" s="1102">
        <v>100</v>
      </c>
      <c r="P113" s="1102">
        <v>100</v>
      </c>
      <c r="Q113" s="1102">
        <v>100</v>
      </c>
      <c r="R113" s="1102">
        <v>100</v>
      </c>
      <c r="S113" s="1102">
        <v>100</v>
      </c>
      <c r="T113" s="1102">
        <v>0</v>
      </c>
      <c r="U113" s="1102">
        <v>100</v>
      </c>
      <c r="V113" s="1102">
        <v>100</v>
      </c>
      <c r="W113" s="1102">
        <v>100</v>
      </c>
      <c r="X113" s="1102">
        <v>100</v>
      </c>
      <c r="Y113" s="1102">
        <v>100</v>
      </c>
      <c r="Z113" s="1102">
        <v>100</v>
      </c>
      <c r="AB113" s="1101" t="s">
        <v>30</v>
      </c>
      <c r="AC113" s="1102">
        <v>100</v>
      </c>
      <c r="AD113" s="1102">
        <v>100</v>
      </c>
      <c r="AE113" s="1102">
        <v>100</v>
      </c>
      <c r="AF113" s="1102">
        <v>100</v>
      </c>
      <c r="AG113" s="1102">
        <v>100</v>
      </c>
      <c r="AH113" s="1121">
        <v>100</v>
      </c>
      <c r="AI113"/>
    </row>
    <row r="114" spans="1:35">
      <c r="AI114"/>
    </row>
    <row r="115" spans="1:35">
      <c r="AI115"/>
    </row>
    <row r="116" spans="1:35">
      <c r="AI116"/>
    </row>
    <row r="117" spans="1:35">
      <c r="AI117"/>
    </row>
    <row r="118" spans="1:35">
      <c r="AI118"/>
    </row>
    <row r="119" spans="1:35">
      <c r="AI119"/>
    </row>
    <row r="120" spans="1:35">
      <c r="AI120"/>
    </row>
    <row r="121" spans="1:35">
      <c r="AI121"/>
    </row>
    <row r="122" spans="1:35">
      <c r="AI122"/>
    </row>
    <row r="123" spans="1:35">
      <c r="AI123"/>
    </row>
    <row r="124" spans="1:35">
      <c r="AI124"/>
    </row>
    <row r="125" spans="1:35">
      <c r="AI125"/>
    </row>
    <row r="126" spans="1:35">
      <c r="AI126"/>
    </row>
    <row r="127" spans="1:35">
      <c r="AI127"/>
    </row>
    <row r="128" spans="1:35">
      <c r="AI128"/>
    </row>
    <row r="129" spans="35:35">
      <c r="AI129"/>
    </row>
    <row r="130" spans="35:35">
      <c r="AI130"/>
    </row>
    <row r="131" spans="35:35">
      <c r="AI131"/>
    </row>
    <row r="132" spans="35:35">
      <c r="AI132"/>
    </row>
    <row r="133" spans="35:35">
      <c r="AI133"/>
    </row>
    <row r="134" spans="35:35">
      <c r="AI134"/>
    </row>
    <row r="135" spans="35:35">
      <c r="AI135"/>
    </row>
    <row r="136" spans="35:35">
      <c r="AI136"/>
    </row>
    <row r="137" spans="35:35">
      <c r="AI137"/>
    </row>
    <row r="138" spans="35:35">
      <c r="AI138"/>
    </row>
    <row r="139" spans="35:35">
      <c r="AI139"/>
    </row>
    <row r="140" spans="35:35">
      <c r="AI140"/>
    </row>
    <row r="141" spans="35:35">
      <c r="AI141"/>
    </row>
    <row r="142" spans="35:35">
      <c r="AI142"/>
    </row>
    <row r="143" spans="35:35">
      <c r="AI143"/>
    </row>
    <row r="144" spans="35:35">
      <c r="AI144"/>
    </row>
    <row r="145" spans="35:35">
      <c r="AI145"/>
    </row>
    <row r="146" spans="35:35">
      <c r="AI146"/>
    </row>
    <row r="147" spans="35:35">
      <c r="AI147"/>
    </row>
    <row r="148" spans="35:35">
      <c r="AI148"/>
    </row>
    <row r="149" spans="35:35">
      <c r="AI149"/>
    </row>
    <row r="150" spans="35:35">
      <c r="AI150"/>
    </row>
    <row r="151" spans="35:35">
      <c r="AI151"/>
    </row>
    <row r="152" spans="35:35">
      <c r="AI152"/>
    </row>
    <row r="153" spans="35:35">
      <c r="AI153"/>
    </row>
    <row r="154" spans="35:35">
      <c r="AI154"/>
    </row>
    <row r="155" spans="35:35">
      <c r="AI155"/>
    </row>
    <row r="156" spans="35:35">
      <c r="AI156"/>
    </row>
    <row r="157" spans="35:35">
      <c r="AI157"/>
    </row>
    <row r="158" spans="35:35">
      <c r="AI158"/>
    </row>
    <row r="159" spans="35:35">
      <c r="AI15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68</vt:i4>
      </vt:variant>
    </vt:vector>
  </HeadingPairs>
  <TitlesOfParts>
    <vt:vector size="68" baseType="lpstr">
      <vt:lpstr>0. Portada</vt:lpstr>
      <vt:lpstr>1. Compósito</vt:lpstr>
      <vt:lpstr>2. Datos LS2</vt:lpstr>
      <vt:lpstr>3. Cinética Molienda</vt:lpstr>
      <vt:lpstr>4. SKT Mineral actual y futuro </vt:lpstr>
      <vt:lpstr>4.1 SKT Ro y Cleaner compósito</vt:lpstr>
      <vt:lpstr>5. Análisis Granulométrico</vt:lpstr>
      <vt:lpstr>6. Análisis Químico Cabeza</vt:lpstr>
      <vt:lpstr>7. Mineralogía Modal Comp</vt:lpstr>
      <vt:lpstr>8. Liberación Comp</vt:lpstr>
      <vt:lpstr>9. Asociación comp</vt:lpstr>
      <vt:lpstr>10. Test Ciclo Abierto</vt:lpstr>
      <vt:lpstr>11. Casos</vt:lpstr>
      <vt:lpstr>12. Circuitos</vt:lpstr>
      <vt:lpstr>13. Pilotaje Rougher</vt:lpstr>
      <vt:lpstr>14. Cinética Rougher</vt:lpstr>
      <vt:lpstr>15. Remolienda</vt:lpstr>
      <vt:lpstr>16. Pilotaje Cleaner</vt:lpstr>
      <vt:lpstr>16.1 AQ CBase Cleaner #2</vt:lpstr>
      <vt:lpstr>16.2 Cinéticas Cleaner</vt:lpstr>
      <vt:lpstr>17. Jms - Pre Rougher</vt:lpstr>
      <vt:lpstr>17.1 Jms - PR - T. Desgaste</vt:lpstr>
      <vt:lpstr>18. Jms - Ro-SCV</vt:lpstr>
      <vt:lpstr>18.1 Jms - Ro-SCV - T. Desgaste</vt:lpstr>
      <vt:lpstr>19. Jms - Pre-Cle</vt:lpstr>
      <vt:lpstr>20. Jms - Pre-Cle-SCV</vt:lpstr>
      <vt:lpstr>21. QAQC Test Dilución</vt:lpstr>
      <vt:lpstr>22. Comparación</vt:lpstr>
      <vt:lpstr>23. Balance Pre-Cl</vt:lpstr>
      <vt:lpstr>24. Balance Pre-Cl-SCV</vt:lpstr>
      <vt:lpstr>Proyecto S186</vt:lpstr>
      <vt:lpstr>Pilotaje Rougher Dispersante </vt:lpstr>
      <vt:lpstr>Pilotaje Cleaner</vt:lpstr>
      <vt:lpstr>Pilotaje Cleaner Alto Flujo </vt:lpstr>
      <vt:lpstr>AqxM Jms Rel Ro</vt:lpstr>
      <vt:lpstr>Cinética CL SCV</vt:lpstr>
      <vt:lpstr>Piloto CL C#1</vt:lpstr>
      <vt:lpstr>Relave Ro AQxM</vt:lpstr>
      <vt:lpstr>Jms Pre Cl</vt:lpstr>
      <vt:lpstr>Jms Pre SCV</vt:lpstr>
      <vt:lpstr>Rep Jms Pre SCV</vt:lpstr>
      <vt:lpstr>Jms Exp1 Pre SCV</vt:lpstr>
      <vt:lpstr>Test Dilucion Pre-SCV</vt:lpstr>
      <vt:lpstr>AQ Cond#1 CBase</vt:lpstr>
      <vt:lpstr>AQ Cond#2 CBase</vt:lpstr>
      <vt:lpstr>Balance Cl Sept Día</vt:lpstr>
      <vt:lpstr>Balance Cl Sept Noche</vt:lpstr>
      <vt:lpstr>Balance Cl Sept Prom </vt:lpstr>
      <vt:lpstr>Balance Pre-Cl-SCV Sept</vt:lpstr>
      <vt:lpstr>Balance Pre-Cl-SCV Nov</vt:lpstr>
      <vt:lpstr>Balance Pre-Cl-SCV Dic (1)</vt:lpstr>
      <vt:lpstr>Balance Pre-Cl-SCV 27-11</vt:lpstr>
      <vt:lpstr>Balance Pre-Cl-SCV Dic</vt:lpstr>
      <vt:lpstr>Balance Pre-Cl-SCV Dic (2)</vt:lpstr>
      <vt:lpstr>23. Balance Pre-Cl (2)</vt:lpstr>
      <vt:lpstr>Hoja1</vt:lpstr>
      <vt:lpstr>Mine Modal</vt:lpstr>
      <vt:lpstr>Ocurrencia Cu </vt:lpstr>
      <vt:lpstr>Liberación</vt:lpstr>
      <vt:lpstr>Asociacion Mine</vt:lpstr>
      <vt:lpstr>Mine Modal Ro</vt:lpstr>
      <vt:lpstr>Ocurrencia Cu Ro</vt:lpstr>
      <vt:lpstr>Liberación Ro</vt:lpstr>
      <vt:lpstr>Asociacion Mine Ro</vt:lpstr>
      <vt:lpstr>Mine Modal Jms</vt:lpstr>
      <vt:lpstr>Ocurrencia Cu Jms</vt:lpstr>
      <vt:lpstr>Liberación Jms</vt:lpstr>
      <vt:lpstr>Asociacion Mine Jms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Muñoz</dc:creator>
  <cp:lastModifiedBy>Gabriel Lobos</cp:lastModifiedBy>
  <dcterms:created xsi:type="dcterms:W3CDTF">2024-08-28T13:30:06Z</dcterms:created>
  <dcterms:modified xsi:type="dcterms:W3CDTF">2026-01-09T16:03:19Z</dcterms:modified>
</cp:coreProperties>
</file>