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21EA179-8855-485B-93DB-F61E97112A46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Valuation-DCF_Amazon" sheetId="24" r:id="rId1"/>
  </sheets>
  <calcPr calcId="191029"/>
</workbook>
</file>

<file path=xl/calcChain.xml><?xml version="1.0" encoding="utf-8"?>
<calcChain xmlns="http://schemas.openxmlformats.org/spreadsheetml/2006/main">
  <c r="M12" i="24" l="1"/>
  <c r="M11" i="24"/>
  <c r="B22" i="24"/>
  <c r="B24" i="24" s="1"/>
  <c r="C22" i="24" l="1"/>
  <c r="D22" i="24" l="1"/>
  <c r="C24" i="24"/>
  <c r="E22" i="24" l="1"/>
  <c r="D24" i="24"/>
  <c r="F22" i="24" l="1"/>
  <c r="E24" i="24"/>
  <c r="G22" i="24" l="1"/>
  <c r="F24" i="24"/>
  <c r="G24" i="24" l="1"/>
  <c r="H22" i="24"/>
  <c r="I22" i="24" l="1"/>
  <c r="H24" i="24"/>
  <c r="J22" i="24" l="1"/>
  <c r="I24" i="24"/>
  <c r="K22" i="24" l="1"/>
  <c r="K24" i="24" s="1"/>
  <c r="J24" i="24"/>
  <c r="M9" i="24" l="1"/>
  <c r="M10" i="24" s="1"/>
  <c r="M13" i="24" s="1"/>
  <c r="N27" i="24" l="1"/>
  <c r="N28" i="24"/>
  <c r="F28" i="24"/>
  <c r="N21" i="24"/>
  <c r="N22" i="24" s="1"/>
  <c r="H28" i="24" l="1"/>
  <c r="G28" i="24"/>
  <c r="I28" i="24"/>
  <c r="J28" i="24"/>
  <c r="K28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Saleheen</author>
  </authors>
  <commentList>
    <comment ref="L16" authorId="0" shapeId="0" xr:uid="{00000000-0006-0000-2E00-000001000000}">
      <text>
        <r>
          <rPr>
            <b/>
            <sz val="12"/>
            <color indexed="81"/>
            <rFont val="Tahoma"/>
            <family val="2"/>
          </rPr>
          <t xml:space="preserve">i.e.last year er net operating cash flow ke current cash flow dhore next 10 years er projection korbo. </t>
        </r>
      </text>
    </comment>
    <comment ref="L18" authorId="0" shapeId="0" xr:uid="{00000000-0006-0000-2E00-000002000000}">
      <text>
        <r>
          <rPr>
            <b/>
            <sz val="11"/>
            <color indexed="81"/>
            <rFont val="Tahoma"/>
            <family val="2"/>
          </rPr>
          <t>Real GDP + Inflation = Nominal GDP. Now, Nominal GDP + Premium (3% to 5% worldwide). Then we will get the discount rate according to RIMU.
According to me, the value of real GDP can be replaced by interest rate i.e. deposit rate.</t>
        </r>
      </text>
    </comment>
    <comment ref="M27" authorId="0" shapeId="0" xr:uid="{00000000-0006-0000-2E00-000003000000}">
      <text>
        <r>
          <rPr>
            <b/>
            <sz val="11"/>
            <color indexed="81"/>
            <rFont val="Tahoma"/>
            <family val="2"/>
          </rPr>
          <t>So, if the intrinsic value is 2960.44 &amp; the market price is 2000 then we can get 48% discount. 52 weeks high - low also helps getting a idea where it can probably fall &amp; probably rise. + CFA (L1)</t>
        </r>
      </text>
    </comment>
  </commentList>
</comments>
</file>

<file path=xl/sharedStrings.xml><?xml version="1.0" encoding="utf-8"?>
<sst xmlns="http://schemas.openxmlformats.org/spreadsheetml/2006/main" count="49" uniqueCount="48">
  <si>
    <t>Coke</t>
  </si>
  <si>
    <t>Amazon</t>
  </si>
  <si>
    <t>M.Price</t>
  </si>
  <si>
    <t>Name of Stock</t>
  </si>
  <si>
    <t>Stock Symbol</t>
  </si>
  <si>
    <t>Operating cash flow (Current)</t>
  </si>
  <si>
    <t>Total Debt (Short + Long term debt)</t>
  </si>
  <si>
    <t>Cash + Short term investments</t>
  </si>
  <si>
    <t>Cash flow growth rate (Y1 - Y5)</t>
  </si>
  <si>
    <t>Cash flow growth rate (Y6 - Y10)</t>
  </si>
  <si>
    <t>No of shares outstanding</t>
  </si>
  <si>
    <t>PV of 10 years cash flows</t>
  </si>
  <si>
    <t>Less debt per share</t>
  </si>
  <si>
    <t>Plus cash per share</t>
  </si>
  <si>
    <t>Final intrinsic value per share</t>
  </si>
  <si>
    <t>Curent year</t>
  </si>
  <si>
    <t>Take the last fiscal year as current year</t>
  </si>
  <si>
    <t>Discount rate</t>
  </si>
  <si>
    <t>Year</t>
  </si>
  <si>
    <t>Cash flow (Projected)</t>
  </si>
  <si>
    <t>Discount Factor</t>
  </si>
  <si>
    <t>Discounted Value</t>
  </si>
  <si>
    <t>2019-20</t>
  </si>
  <si>
    <t>2020-21</t>
  </si>
  <si>
    <t>2021-22</t>
  </si>
  <si>
    <t>2022-23</t>
  </si>
  <si>
    <t>2023-24</t>
  </si>
  <si>
    <t>2024-25</t>
  </si>
  <si>
    <t>2025-26</t>
  </si>
  <si>
    <t>2026-27</t>
  </si>
  <si>
    <t>2027-28</t>
  </si>
  <si>
    <t>2028-29</t>
  </si>
  <si>
    <t>2029-30</t>
  </si>
  <si>
    <t>AMZN</t>
  </si>
  <si>
    <t>Figure in millions</t>
  </si>
  <si>
    <t>I have modified my way</t>
  </si>
  <si>
    <t>Intrinsic value per share before Cash &amp; Debt</t>
  </si>
  <si>
    <t>It is difficult to say coke is cheap based on market price or P/E</t>
  </si>
  <si>
    <t>Intrinsic value (in TAKA)</t>
  </si>
  <si>
    <t>Intrinsic value (in other currency)</t>
  </si>
  <si>
    <t>BDT vs USD</t>
  </si>
  <si>
    <t>Intrinsic value</t>
  </si>
  <si>
    <t>Margin of Safety</t>
  </si>
  <si>
    <t>The discount we can get</t>
  </si>
  <si>
    <t>Trade price in relation to intrinsic</t>
  </si>
  <si>
    <t>Market Price (Hypothetical-Lower)</t>
  </si>
  <si>
    <t>Market Price (Hypothetical-Higher)</t>
  </si>
  <si>
    <t>Intrinsic Value Calculator (Discounted cash flow Method of 10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</si>
</sst>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DA8F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61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5" borderId="0" xfId="0" applyFill="1"/>
    <xf numFmtId="0" fontId="4" fillId="3" borderId="8" xfId="0" applyFont="1" applyFill="1" applyBorder="1" applyAlignment="1">
      <alignment horizontal="center"/>
    </xf>
    <xf numFmtId="0" fontId="4" fillId="3" borderId="6" xfId="0" applyFont="1" applyFill="1" applyBorder="1"/>
    <xf numFmtId="0" fontId="4" fillId="3" borderId="8" xfId="0" applyFont="1" applyFill="1" applyBorder="1"/>
    <xf numFmtId="43" fontId="4" fillId="3" borderId="8" xfId="0" applyNumberFormat="1" applyFont="1" applyFill="1" applyBorder="1"/>
    <xf numFmtId="0" fontId="4" fillId="3" borderId="0" xfId="0" applyFont="1" applyFill="1" applyBorder="1"/>
    <xf numFmtId="2" fontId="4" fillId="3" borderId="8" xfId="0" applyNumberFormat="1" applyFont="1" applyFill="1" applyBorder="1"/>
    <xf numFmtId="0" fontId="4" fillId="3" borderId="3" xfId="0" applyFont="1" applyFill="1" applyBorder="1"/>
    <xf numFmtId="9" fontId="4" fillId="3" borderId="8" xfId="0" applyNumberFormat="1" applyFont="1" applyFill="1" applyBorder="1"/>
    <xf numFmtId="43" fontId="4" fillId="3" borderId="8" xfId="1" applyFont="1" applyFill="1" applyBorder="1"/>
    <xf numFmtId="0" fontId="4" fillId="3" borderId="7" xfId="0" applyFont="1" applyFill="1" applyBorder="1"/>
    <xf numFmtId="0" fontId="4" fillId="3" borderId="9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center"/>
    </xf>
    <xf numFmtId="0" fontId="4" fillId="3" borderId="9" xfId="0" applyFont="1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0" xfId="0" applyFill="1" applyBorder="1"/>
    <xf numFmtId="0" fontId="0" fillId="5" borderId="4" xfId="0" applyFill="1" applyBorder="1"/>
    <xf numFmtId="0" fontId="4" fillId="3" borderId="13" xfId="0" applyFont="1" applyFill="1" applyBorder="1" applyAlignment="1">
      <alignment horizontal="center"/>
    </xf>
    <xf numFmtId="0" fontId="4" fillId="3" borderId="2" xfId="0" applyFont="1" applyFill="1" applyBorder="1"/>
    <xf numFmtId="0" fontId="4" fillId="3" borderId="4" xfId="0" applyFont="1" applyFill="1" applyBorder="1"/>
    <xf numFmtId="3" fontId="4" fillId="3" borderId="13" xfId="0" applyNumberFormat="1" applyFont="1" applyFill="1" applyBorder="1" applyAlignment="1">
      <alignment horizontal="center" vertical="center"/>
    </xf>
    <xf numFmtId="10" fontId="4" fillId="3" borderId="13" xfId="0" applyNumberFormat="1" applyFont="1" applyFill="1" applyBorder="1" applyAlignment="1">
      <alignment horizontal="center"/>
    </xf>
    <xf numFmtId="9" fontId="4" fillId="3" borderId="13" xfId="0" applyNumberFormat="1" applyFont="1" applyFill="1" applyBorder="1" applyAlignment="1">
      <alignment horizontal="center"/>
    </xf>
    <xf numFmtId="166" fontId="4" fillId="3" borderId="13" xfId="0" applyNumberFormat="1" applyFont="1" applyFill="1" applyBorder="1" applyAlignment="1">
      <alignment horizontal="center"/>
    </xf>
    <xf numFmtId="3" fontId="4" fillId="3" borderId="3" xfId="0" applyNumberFormat="1" applyFont="1" applyFill="1" applyBorder="1"/>
    <xf numFmtId="43" fontId="4" fillId="3" borderId="13" xfId="1" applyFont="1" applyFill="1" applyBorder="1"/>
    <xf numFmtId="43" fontId="4" fillId="3" borderId="15" xfId="1" applyFont="1" applyFill="1" applyBorder="1"/>
    <xf numFmtId="43" fontId="4" fillId="3" borderId="16" xfId="1" applyFont="1" applyFill="1" applyBorder="1"/>
    <xf numFmtId="0" fontId="0" fillId="0" borderId="17" xfId="0" applyBorder="1"/>
    <xf numFmtId="2" fontId="4" fillId="3" borderId="8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2" borderId="8" xfId="0" applyFont="1" applyFill="1" applyBorder="1"/>
    <xf numFmtId="43" fontId="4" fillId="3" borderId="0" xfId="1" applyFont="1" applyFill="1" applyBorder="1"/>
    <xf numFmtId="0" fontId="4" fillId="6" borderId="17" xfId="0" applyFont="1" applyFill="1" applyBorder="1"/>
    <xf numFmtId="0" fontId="4" fillId="6" borderId="18" xfId="0" applyFont="1" applyFill="1" applyBorder="1" applyAlignment="1">
      <alignment horizontal="center"/>
    </xf>
    <xf numFmtId="0" fontId="4" fillId="6" borderId="13" xfId="0" applyFont="1" applyFill="1" applyBorder="1"/>
    <xf numFmtId="0" fontId="4" fillId="6" borderId="19" xfId="0" applyFont="1" applyFill="1" applyBorder="1" applyAlignment="1">
      <alignment horizontal="center"/>
    </xf>
    <xf numFmtId="10" fontId="4" fillId="6" borderId="19" xfId="2" applyNumberFormat="1" applyFont="1" applyFill="1" applyBorder="1" applyAlignment="1">
      <alignment horizontal="center"/>
    </xf>
    <xf numFmtId="0" fontId="4" fillId="6" borderId="15" xfId="0" applyFont="1" applyFill="1" applyBorder="1"/>
    <xf numFmtId="9" fontId="4" fillId="6" borderId="20" xfId="2" applyFont="1" applyFill="1" applyBorder="1" applyAlignment="1">
      <alignment horizontal="center"/>
    </xf>
    <xf numFmtId="0" fontId="0" fillId="0" borderId="4" xfId="0" applyBorder="1" applyAlignment="1"/>
    <xf numFmtId="0" fontId="0" fillId="0" borderId="0" xfId="0" applyBorder="1" applyAlignment="1"/>
    <xf numFmtId="0" fontId="4" fillId="3" borderId="9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0" fontId="2" fillId="0" borderId="13" xfId="0" applyFont="1" applyBorder="1"/>
    <xf numFmtId="0" fontId="2" fillId="0" borderId="15" xfId="0" applyFont="1" applyBorder="1"/>
  </cellXfs>
  <cellStyles count="5">
    <cellStyle name="Comma" xfId="1" builtinId="3"/>
    <cellStyle name="Normal" xfId="0" builtinId="0"/>
    <cellStyle name="Normal 2" xfId="4" xr:uid="{00000000-0005-0000-0000-000003000000}"/>
    <cellStyle name="Normal 7" xfId="3" xr:uid="{00000000-0005-0000-0000-000004000000}"/>
    <cellStyle name="Percent" xfId="2" builtinId="5"/>
  </cellStyles>
  <dxfs count="0"/>
  <tableStyles count="0" defaultTableStyle="TableStyleMedium2" defaultPivotStyle="PivotStyleMedium9"/>
  <colors>
    <mruColors>
      <color rgb="FF9DA8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28"/>
  <sheetViews>
    <sheetView tabSelected="1" zoomScale="80" zoomScaleNormal="80" workbookViewId="0">
      <selection activeCell="H32" sqref="H32"/>
    </sheetView>
  </sheetViews>
  <sheetFormatPr defaultRowHeight="15" x14ac:dyDescent="0.25"/>
  <cols>
    <col min="1" max="1" width="42.42578125" customWidth="1"/>
    <col min="2" max="3" width="16.28515625" bestFit="1" customWidth="1"/>
    <col min="4" max="4" width="20" bestFit="1" customWidth="1"/>
    <col min="5" max="5" width="16" bestFit="1" customWidth="1"/>
    <col min="6" max="6" width="29.140625" customWidth="1"/>
    <col min="7" max="9" width="16.28515625" bestFit="1" customWidth="1"/>
    <col min="10" max="10" width="30.140625" bestFit="1" customWidth="1"/>
    <col min="11" max="11" width="16" bestFit="1" customWidth="1"/>
    <col min="12" max="12" width="72.85546875" customWidth="1"/>
    <col min="13" max="13" width="50.7109375" bestFit="1" customWidth="1"/>
    <col min="14" max="14" width="46.5703125" bestFit="1" customWidth="1"/>
  </cols>
  <sheetData>
    <row r="1" spans="1:14" x14ac:dyDescent="0.25">
      <c r="A1" s="36"/>
      <c r="B1" s="39" t="s">
        <v>2</v>
      </c>
      <c r="C1" s="2"/>
      <c r="D1" s="2"/>
      <c r="E1" s="2"/>
      <c r="F1" s="3"/>
    </row>
    <row r="2" spans="1:14" x14ac:dyDescent="0.25">
      <c r="A2" s="59" t="s">
        <v>0</v>
      </c>
      <c r="B2" s="38">
        <v>48</v>
      </c>
      <c r="C2" s="50" t="s">
        <v>37</v>
      </c>
      <c r="D2" s="50"/>
      <c r="E2" s="50"/>
      <c r="F2" s="49"/>
    </row>
    <row r="3" spans="1:14" ht="15.75" thickBot="1" x14ac:dyDescent="0.3">
      <c r="A3" s="60" t="s">
        <v>1</v>
      </c>
      <c r="B3" s="38">
        <v>1800</v>
      </c>
      <c r="C3" s="4"/>
      <c r="D3" s="4"/>
      <c r="E3" s="4"/>
      <c r="F3" s="1"/>
    </row>
    <row r="5" spans="1:14" ht="15.75" thickBot="1" x14ac:dyDescent="0.3"/>
    <row r="6" spans="1:14" ht="18.75" x14ac:dyDescent="0.3">
      <c r="A6" s="5"/>
      <c r="B6" s="19"/>
      <c r="C6" s="53" t="s">
        <v>47</v>
      </c>
      <c r="D6" s="53"/>
      <c r="E6" s="53"/>
      <c r="F6" s="53"/>
      <c r="G6" s="53"/>
      <c r="H6" s="53"/>
      <c r="I6" s="53"/>
      <c r="J6" s="53"/>
      <c r="K6" s="53"/>
      <c r="L6" s="20"/>
      <c r="M6" s="20"/>
      <c r="N6" s="21"/>
    </row>
    <row r="7" spans="1:14" ht="18.75" x14ac:dyDescent="0.3">
      <c r="A7" s="5"/>
      <c r="B7" s="22"/>
      <c r="C7" s="54" t="s">
        <v>34</v>
      </c>
      <c r="D7" s="54"/>
      <c r="E7" s="54"/>
      <c r="F7" s="54"/>
      <c r="G7" s="54"/>
      <c r="H7" s="54"/>
      <c r="I7" s="54"/>
      <c r="J7" s="54"/>
      <c r="K7" s="54"/>
      <c r="L7" s="23"/>
      <c r="M7" s="23"/>
      <c r="N7" s="24"/>
    </row>
    <row r="8" spans="1:14" ht="15.75" thickBot="1" x14ac:dyDescent="0.3">
      <c r="A8" s="5"/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</row>
    <row r="9" spans="1:14" ht="18.75" x14ac:dyDescent="0.3">
      <c r="A9" s="16" t="s">
        <v>3</v>
      </c>
      <c r="B9" s="25" t="s">
        <v>1</v>
      </c>
      <c r="C9" s="7"/>
      <c r="D9" s="7"/>
      <c r="E9" s="7"/>
      <c r="F9" s="7"/>
      <c r="G9" s="7"/>
      <c r="H9" s="7"/>
      <c r="I9" s="7"/>
      <c r="J9" s="7"/>
      <c r="K9" s="7"/>
      <c r="L9" s="8" t="s">
        <v>11</v>
      </c>
      <c r="M9" s="9">
        <f>SUM(B24:K24)</f>
        <v>1441149.1506881472</v>
      </c>
      <c r="N9" s="26"/>
    </row>
    <row r="10" spans="1:14" ht="18.75" x14ac:dyDescent="0.3">
      <c r="A10" s="16" t="s">
        <v>4</v>
      </c>
      <c r="B10" s="25" t="s">
        <v>33</v>
      </c>
      <c r="C10" s="10"/>
      <c r="D10" s="10"/>
      <c r="E10" s="10"/>
      <c r="F10" s="10"/>
      <c r="G10" s="10"/>
      <c r="H10" s="10"/>
      <c r="I10" s="10"/>
      <c r="J10" s="10"/>
      <c r="K10" s="10"/>
      <c r="L10" s="8" t="s">
        <v>36</v>
      </c>
      <c r="M10" s="9">
        <f>M9/B17</f>
        <v>2924.4098025327662</v>
      </c>
      <c r="N10" s="27"/>
    </row>
    <row r="11" spans="1:14" ht="18.75" x14ac:dyDescent="0.3">
      <c r="A11" s="16" t="s">
        <v>5</v>
      </c>
      <c r="B11" s="28">
        <v>30723</v>
      </c>
      <c r="C11" s="10"/>
      <c r="D11" s="10"/>
      <c r="E11" s="10"/>
      <c r="F11" s="10"/>
      <c r="G11" s="10"/>
      <c r="H11" s="10"/>
      <c r="I11" s="10"/>
      <c r="J11" s="10"/>
      <c r="K11" s="10"/>
      <c r="L11" s="8" t="s">
        <v>12</v>
      </c>
      <c r="M11" s="11">
        <f>B12/B17</f>
        <v>47.67654220779221</v>
      </c>
      <c r="N11" s="27"/>
    </row>
    <row r="12" spans="1:14" ht="18.75" x14ac:dyDescent="0.3">
      <c r="A12" s="16" t="s">
        <v>6</v>
      </c>
      <c r="B12" s="28">
        <v>23495</v>
      </c>
      <c r="C12" s="10"/>
      <c r="D12" s="10"/>
      <c r="E12" s="10"/>
      <c r="F12" s="10"/>
      <c r="G12" s="10"/>
      <c r="H12" s="10"/>
      <c r="I12" s="10"/>
      <c r="J12" s="10"/>
      <c r="K12" s="10"/>
      <c r="L12" s="8" t="s">
        <v>13</v>
      </c>
      <c r="M12" s="11">
        <f>B13/B17</f>
        <v>83.705357142857139</v>
      </c>
      <c r="N12" s="27"/>
    </row>
    <row r="13" spans="1:14" ht="18.75" x14ac:dyDescent="0.3">
      <c r="A13" s="16" t="s">
        <v>7</v>
      </c>
      <c r="B13" s="28">
        <v>41250</v>
      </c>
      <c r="C13" s="10"/>
      <c r="D13" s="10"/>
      <c r="E13" s="10"/>
      <c r="F13" s="10"/>
      <c r="G13" s="10"/>
      <c r="H13" s="10"/>
      <c r="I13" s="10"/>
      <c r="J13" s="10"/>
      <c r="K13" s="10"/>
      <c r="L13" s="40" t="s">
        <v>14</v>
      </c>
      <c r="M13" s="9">
        <f>M10-M11+M12</f>
        <v>2960.4386174678311</v>
      </c>
      <c r="N13" s="27"/>
    </row>
    <row r="14" spans="1:14" ht="18.75" x14ac:dyDescent="0.3">
      <c r="A14" s="16" t="s">
        <v>8</v>
      </c>
      <c r="B14" s="29">
        <v>0.495</v>
      </c>
      <c r="C14" s="10"/>
      <c r="D14" s="10"/>
      <c r="E14" s="10"/>
      <c r="F14" s="10"/>
      <c r="G14" s="10"/>
      <c r="H14" s="10"/>
      <c r="I14" s="10"/>
      <c r="J14" s="10"/>
      <c r="K14" s="10"/>
      <c r="L14" s="51"/>
      <c r="M14" s="52"/>
      <c r="N14" s="27"/>
    </row>
    <row r="15" spans="1:14" ht="18.75" x14ac:dyDescent="0.3">
      <c r="A15" s="16" t="s">
        <v>9</v>
      </c>
      <c r="B15" s="30">
        <v>0.2</v>
      </c>
      <c r="C15" s="10"/>
      <c r="D15" s="10"/>
      <c r="E15" s="10"/>
      <c r="F15" s="10"/>
      <c r="G15" s="10"/>
      <c r="H15" s="10"/>
      <c r="I15" s="10"/>
      <c r="J15" s="10"/>
      <c r="K15" s="10"/>
      <c r="L15" s="51"/>
      <c r="M15" s="52"/>
      <c r="N15" s="27"/>
    </row>
    <row r="16" spans="1:14" ht="18.75" x14ac:dyDescent="0.3">
      <c r="A16" s="16"/>
      <c r="B16" s="25"/>
      <c r="C16" s="10"/>
      <c r="D16" s="10"/>
      <c r="E16" s="10"/>
      <c r="F16" s="10"/>
      <c r="G16" s="10"/>
      <c r="H16" s="10"/>
      <c r="I16" s="10"/>
      <c r="J16" s="10"/>
      <c r="K16" s="10"/>
      <c r="L16" s="8" t="s">
        <v>15</v>
      </c>
      <c r="M16" s="6" t="s">
        <v>22</v>
      </c>
      <c r="N16" s="27" t="s">
        <v>16</v>
      </c>
    </row>
    <row r="17" spans="1:14" ht="18.75" x14ac:dyDescent="0.3">
      <c r="A17" s="16" t="s">
        <v>10</v>
      </c>
      <c r="B17" s="31">
        <v>492.8</v>
      </c>
      <c r="C17" s="10"/>
      <c r="D17" s="10"/>
      <c r="E17" s="10"/>
      <c r="F17" s="10"/>
      <c r="G17" s="10"/>
      <c r="H17" s="10"/>
      <c r="I17" s="10"/>
      <c r="J17" s="10"/>
      <c r="K17" s="10"/>
      <c r="L17" s="8"/>
      <c r="M17" s="8"/>
      <c r="N17" s="27"/>
    </row>
    <row r="18" spans="1:14" ht="18.75" x14ac:dyDescent="0.3">
      <c r="A18" s="12"/>
      <c r="B18" s="32"/>
      <c r="C18" s="10"/>
      <c r="D18" s="10"/>
      <c r="E18" s="10"/>
      <c r="F18" s="10"/>
      <c r="G18" s="10"/>
      <c r="H18" s="10"/>
      <c r="I18" s="10"/>
      <c r="J18" s="10"/>
      <c r="K18" s="10"/>
      <c r="L18" s="8" t="s">
        <v>17</v>
      </c>
      <c r="M18" s="13">
        <v>0.09</v>
      </c>
      <c r="N18" s="27"/>
    </row>
    <row r="19" spans="1:14" ht="18.75" x14ac:dyDescent="0.3">
      <c r="A19" s="12"/>
      <c r="B19" s="32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27"/>
    </row>
    <row r="20" spans="1:14" ht="18.75" x14ac:dyDescent="0.3">
      <c r="A20" s="12"/>
      <c r="B20" s="12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27"/>
    </row>
    <row r="21" spans="1:14" ht="18.75" x14ac:dyDescent="0.3">
      <c r="A21" s="17" t="s">
        <v>18</v>
      </c>
      <c r="B21" s="25" t="s">
        <v>23</v>
      </c>
      <c r="C21" s="6" t="s">
        <v>24</v>
      </c>
      <c r="D21" s="6" t="s">
        <v>25</v>
      </c>
      <c r="E21" s="6" t="s">
        <v>26</v>
      </c>
      <c r="F21" s="6" t="s">
        <v>27</v>
      </c>
      <c r="G21" s="6" t="s">
        <v>28</v>
      </c>
      <c r="H21" s="6" t="s">
        <v>29</v>
      </c>
      <c r="I21" s="6" t="s">
        <v>30</v>
      </c>
      <c r="J21" s="6" t="s">
        <v>31</v>
      </c>
      <c r="K21" s="6" t="s">
        <v>32</v>
      </c>
      <c r="L21" s="10"/>
      <c r="M21" s="8" t="s">
        <v>38</v>
      </c>
      <c r="N21" s="37">
        <f>M13</f>
        <v>2960.4386174678311</v>
      </c>
    </row>
    <row r="22" spans="1:14" ht="18.75" x14ac:dyDescent="0.3">
      <c r="A22" s="18" t="s">
        <v>19</v>
      </c>
      <c r="B22" s="33">
        <f>B11+(B11*$B$14)</f>
        <v>45930.885000000002</v>
      </c>
      <c r="C22" s="14">
        <f>B22+(B22*$B$14)</f>
        <v>68666.673074999999</v>
      </c>
      <c r="D22" s="14">
        <f>C22+(C22*$B$14)</f>
        <v>102656.676247125</v>
      </c>
      <c r="E22" s="14">
        <f>D22+(D22*$B$14)</f>
        <v>153471.73098945187</v>
      </c>
      <c r="F22" s="14">
        <f>E22+(E22*$B$14)</f>
        <v>229440.23782923055</v>
      </c>
      <c r="G22" s="14">
        <f>F22+(F22*$B$15)</f>
        <v>275328.28539507667</v>
      </c>
      <c r="H22" s="14">
        <f t="shared" ref="H22:K22" si="0">G22+(G22*$B$15)</f>
        <v>330393.94247409201</v>
      </c>
      <c r="I22" s="14">
        <f t="shared" si="0"/>
        <v>396472.73096891039</v>
      </c>
      <c r="J22" s="14">
        <f t="shared" si="0"/>
        <v>475767.27716269245</v>
      </c>
      <c r="K22" s="14">
        <f t="shared" si="0"/>
        <v>570920.73259523092</v>
      </c>
      <c r="L22" s="10"/>
      <c r="M22" s="8" t="s">
        <v>39</v>
      </c>
      <c r="N22" s="37">
        <f>N21/N23</f>
        <v>34.828689617268601</v>
      </c>
    </row>
    <row r="23" spans="1:14" ht="18.75" x14ac:dyDescent="0.3">
      <c r="A23" s="18" t="s">
        <v>20</v>
      </c>
      <c r="B23" s="55" t="s">
        <v>35</v>
      </c>
      <c r="C23" s="56"/>
      <c r="D23" s="56"/>
      <c r="E23" s="56"/>
      <c r="F23" s="56"/>
      <c r="G23" s="56"/>
      <c r="H23" s="56"/>
      <c r="I23" s="56"/>
      <c r="J23" s="56"/>
      <c r="K23" s="52"/>
      <c r="L23" s="10"/>
      <c r="M23" s="8" t="s">
        <v>40</v>
      </c>
      <c r="N23" s="37">
        <v>85</v>
      </c>
    </row>
    <row r="24" spans="1:14" ht="19.5" thickBot="1" x14ac:dyDescent="0.35">
      <c r="A24" s="18" t="s">
        <v>21</v>
      </c>
      <c r="B24" s="34">
        <f>B22/(1+$M$18)^1</f>
        <v>42138.426605504588</v>
      </c>
      <c r="C24" s="35">
        <f>C22/(1+$M$18)^2</f>
        <v>57795.36493140307</v>
      </c>
      <c r="D24" s="35">
        <f>D22/(1+$M$18)^3</f>
        <v>79269.78951600696</v>
      </c>
      <c r="E24" s="35">
        <f>E22/(1+$M$18)^4</f>
        <v>108723.24341874348</v>
      </c>
      <c r="F24" s="35">
        <f>F22/(1+$M$18)^5</f>
        <v>149120.41184497386</v>
      </c>
      <c r="G24" s="35">
        <f>G22/(1+$M$18)^6</f>
        <v>164169.26074676021</v>
      </c>
      <c r="H24" s="35">
        <f>H22/(1+$M$18)^7</f>
        <v>180736.80082212132</v>
      </c>
      <c r="I24" s="35">
        <f>I22/(1+$M$18)^8</f>
        <v>198976.29448306933</v>
      </c>
      <c r="J24" s="35">
        <f>J22/(1+$M$18)^9</f>
        <v>219056.47099053502</v>
      </c>
      <c r="K24" s="35">
        <f>K22/(1+$M$18)^10</f>
        <v>241163.08732902934</v>
      </c>
      <c r="L24" s="15"/>
      <c r="M24" s="10"/>
      <c r="N24" s="27"/>
    </row>
    <row r="25" spans="1:14" ht="18.75" x14ac:dyDescent="0.3">
      <c r="A25" s="10"/>
      <c r="B25" s="41"/>
      <c r="C25" s="41"/>
      <c r="D25" s="41"/>
      <c r="E25" s="41"/>
      <c r="F25" s="10"/>
      <c r="G25" s="10"/>
      <c r="H25" s="10"/>
      <c r="I25" s="10"/>
      <c r="J25" s="10"/>
      <c r="K25" s="10"/>
      <c r="L25" s="10"/>
      <c r="M25" s="42" t="s">
        <v>45</v>
      </c>
      <c r="N25" s="43">
        <v>2000</v>
      </c>
    </row>
    <row r="26" spans="1:14" ht="18.75" x14ac:dyDescent="0.3">
      <c r="A26" s="10"/>
      <c r="B26" s="41"/>
      <c r="C26" s="41"/>
      <c r="D26" s="41"/>
      <c r="E26" s="41"/>
      <c r="F26" s="57" t="s">
        <v>41</v>
      </c>
      <c r="G26" s="58" t="s">
        <v>42</v>
      </c>
      <c r="H26" s="58"/>
      <c r="I26" s="58"/>
      <c r="J26" s="58"/>
      <c r="K26" s="58"/>
      <c r="L26" s="10"/>
      <c r="M26" s="44" t="s">
        <v>46</v>
      </c>
      <c r="N26" s="45">
        <v>6000</v>
      </c>
    </row>
    <row r="27" spans="1:14" ht="18.75" x14ac:dyDescent="0.3">
      <c r="A27" s="10"/>
      <c r="B27" s="41"/>
      <c r="C27" s="41"/>
      <c r="D27" s="41"/>
      <c r="E27" s="41"/>
      <c r="F27" s="57"/>
      <c r="G27" s="13">
        <v>0.05</v>
      </c>
      <c r="H27" s="13">
        <v>0.1</v>
      </c>
      <c r="I27" s="13">
        <v>0.15</v>
      </c>
      <c r="J27" s="13">
        <v>0.2</v>
      </c>
      <c r="K27" s="13">
        <v>0.25</v>
      </c>
      <c r="L27" s="10"/>
      <c r="M27" s="44" t="s">
        <v>43</v>
      </c>
      <c r="N27" s="46">
        <f>(M13/N25)-1</f>
        <v>0.4802193087339155</v>
      </c>
    </row>
    <row r="28" spans="1:14" ht="19.5" thickBot="1" x14ac:dyDescent="0.35">
      <c r="A28" s="10"/>
      <c r="B28" s="41"/>
      <c r="C28" s="41"/>
      <c r="D28" s="41"/>
      <c r="E28" s="41"/>
      <c r="F28" s="14">
        <f>M13</f>
        <v>2960.4386174678311</v>
      </c>
      <c r="G28" s="14">
        <f>$F$28-($F$28*G27)</f>
        <v>2812.4166865944394</v>
      </c>
      <c r="H28" s="14">
        <f>$F$28-($F$28*H27)</f>
        <v>2664.3947557210481</v>
      </c>
      <c r="I28" s="14">
        <f>$F$28-($F$28*I27)</f>
        <v>2516.3728248476564</v>
      </c>
      <c r="J28" s="14">
        <f>$F$28-($F$28*J27)</f>
        <v>2368.3508939742651</v>
      </c>
      <c r="K28" s="14">
        <f>$F$28-($F$28*K27)</f>
        <v>2220.3289631008734</v>
      </c>
      <c r="L28" s="10"/>
      <c r="M28" s="47" t="s">
        <v>44</v>
      </c>
      <c r="N28" s="48">
        <f>N26/M13</f>
        <v>2.0267267034680199</v>
      </c>
    </row>
  </sheetData>
  <mergeCells count="7">
    <mergeCell ref="F26:F27"/>
    <mergeCell ref="G26:K26"/>
    <mergeCell ref="L14:M14"/>
    <mergeCell ref="L15:M15"/>
    <mergeCell ref="C6:K6"/>
    <mergeCell ref="C7:K7"/>
    <mergeCell ref="B23:K2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Valuation-DCF_Amazon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2006-09-16T00:00:00Z</dcterms:created>
  <dcterms:modified xsi:type="dcterms:W3CDTF">2023-08-27T05:21:01Z</dcterms:modified>
</cp:coreProperties>
</file>