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202300"/>
  <mc:AlternateContent xmlns:mc="http://schemas.openxmlformats.org/markup-compatibility/2006">
    <mc:Choice Requires="x15">
      <x15ac:absPath xmlns:x15ac="http://schemas.microsoft.com/office/spreadsheetml/2010/11/ac" url="C:\Users\rhukom\Documents\"/>
    </mc:Choice>
  </mc:AlternateContent>
  <xr:revisionPtr revIDLastSave="0" documentId="13_ncr:1_{E68DDB2B-924D-4424-89DE-C69A67E44D66}" xr6:coauthVersionLast="47" xr6:coauthVersionMax="47" xr10:uidLastSave="{00000000-0000-0000-0000-000000000000}"/>
  <bookViews>
    <workbookView xWindow="-120" yWindow="-120" windowWidth="20730" windowHeight="11760" xr2:uid="{397FB070-C688-43EE-8D19-AED7EC90D76E}"/>
  </bookViews>
  <sheets>
    <sheet name="Cost analysis" sheetId="1" r:id="rId1"/>
    <sheet name="Sheet2"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6" i="1" l="1"/>
  <c r="C27" i="1"/>
  <c r="C19" i="1"/>
  <c r="E20" i="1"/>
  <c r="C20" i="1"/>
  <c r="E19" i="1"/>
  <c r="E18" i="1"/>
  <c r="C21" i="1"/>
  <c r="E21" i="1" s="1"/>
  <c r="K15" i="1"/>
  <c r="Q14" i="1"/>
  <c r="M14" i="1"/>
  <c r="I14" i="1"/>
  <c r="Q13" i="1"/>
  <c r="Q15" i="1" s="1"/>
  <c r="O15" i="1" s="1"/>
  <c r="O16" i="1" s="1"/>
  <c r="M13" i="1"/>
  <c r="M15" i="1" s="1"/>
  <c r="I13" i="1"/>
  <c r="I15" i="1" s="1"/>
  <c r="C13" i="1"/>
  <c r="K4" i="1"/>
  <c r="G4" i="1"/>
  <c r="M4" i="1"/>
  <c r="I4" i="1"/>
  <c r="E9" i="1"/>
  <c r="C9" i="1" s="1"/>
  <c r="Q3" i="1"/>
  <c r="Q2" i="1"/>
  <c r="M3" i="1"/>
  <c r="M2" i="1"/>
  <c r="I3" i="1"/>
  <c r="I2" i="1"/>
  <c r="E8" i="1"/>
  <c r="E7" i="1"/>
  <c r="C7" i="1" s="1"/>
  <c r="C2" i="1"/>
  <c r="C22" i="1" l="1"/>
  <c r="E22" i="1" s="1"/>
  <c r="G13" i="1"/>
  <c r="G16" i="1"/>
  <c r="G17" i="1" s="1"/>
  <c r="I17" i="1" s="1"/>
  <c r="K16" i="1"/>
  <c r="K17" i="1" s="1"/>
  <c r="M17" i="1" s="1"/>
  <c r="K13" i="1"/>
  <c r="Q16" i="1"/>
  <c r="O17" i="1"/>
  <c r="Q17" i="1" s="1"/>
  <c r="Q4" i="1"/>
  <c r="O4" i="1" s="1"/>
  <c r="O5" i="1" s="1"/>
  <c r="O6" i="1" s="1"/>
  <c r="Q6" i="1" s="1"/>
  <c r="Q5" i="1"/>
  <c r="K2" i="1"/>
  <c r="K5" i="1"/>
  <c r="G2" i="1"/>
  <c r="C8" i="1"/>
  <c r="G5" i="1"/>
  <c r="G6" i="1" s="1"/>
  <c r="G18" i="1" l="1"/>
  <c r="I18" i="1" s="1"/>
  <c r="K18" i="1"/>
  <c r="M18" i="1" s="1"/>
  <c r="G7" i="1"/>
  <c r="I7" i="1" s="1"/>
  <c r="I6" i="1"/>
  <c r="K6" i="1"/>
  <c r="K7" i="1" l="1"/>
  <c r="M7" i="1" s="1"/>
  <c r="M6" i="1"/>
  <c r="C10" i="1"/>
  <c r="E10" i="1" s="1"/>
  <c r="C11" i="1" l="1"/>
  <c r="E11" i="1" s="1"/>
</calcChain>
</file>

<file path=xl/sharedStrings.xml><?xml version="1.0" encoding="utf-8"?>
<sst xmlns="http://schemas.openxmlformats.org/spreadsheetml/2006/main" count="111" uniqueCount="32">
  <si>
    <t>Fixed Costs</t>
  </si>
  <si>
    <t>Administrative expenses</t>
  </si>
  <si>
    <t>refinery overhead</t>
  </si>
  <si>
    <t>X</t>
  </si>
  <si>
    <t>Y</t>
  </si>
  <si>
    <t>Direct Labor</t>
  </si>
  <si>
    <t>Total</t>
  </si>
  <si>
    <t>Revenue</t>
  </si>
  <si>
    <t>Cost Benefit Analysis of Primary Product</t>
  </si>
  <si>
    <t>Amt of PP</t>
  </si>
  <si>
    <t>Gross Profit</t>
  </si>
  <si>
    <t>Cost Benefit Analysis of K</t>
  </si>
  <si>
    <t>Variable Costs</t>
  </si>
  <si>
    <t>Cost Benefit Analysis of M</t>
  </si>
  <si>
    <t>Amt of K</t>
  </si>
  <si>
    <t>Amt of M</t>
  </si>
  <si>
    <t>X/lb</t>
  </si>
  <si>
    <t>Y/lb</t>
  </si>
  <si>
    <t>Waste</t>
  </si>
  <si>
    <t xml:space="preserve">K / Waste  </t>
  </si>
  <si>
    <t>M / Waste</t>
  </si>
  <si>
    <t>Cost Benefit Analysis of Treatment</t>
  </si>
  <si>
    <t xml:space="preserve">T / Waste </t>
  </si>
  <si>
    <t>Amt to T</t>
  </si>
  <si>
    <t>Given</t>
  </si>
  <si>
    <t>TVC/lb</t>
  </si>
  <si>
    <t>GP/lb</t>
  </si>
  <si>
    <t>Previous Period</t>
  </si>
  <si>
    <t>DL/lb</t>
  </si>
  <si>
    <t>Projected (w/o VC)</t>
  </si>
  <si>
    <t>Total Revenue</t>
  </si>
  <si>
    <t>Total GP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</si>
</sst>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_(&quot;$&quot;* \(#,##0.00\);_(&quot;$&quot;* &quot;-&quot;??_);_(@_)"/>
  </numFmts>
  <fonts count="3" x14ac:knownFonts="1">
    <font>
      <sz val="11"/>
      <color theme="1"/>
      <name val="Aptos Narrow"/>
      <family val="2"/>
      <scheme val="minor"/>
    </font>
    <font>
      <sz val="11"/>
      <color theme="1"/>
      <name val="Aptos Narrow"/>
      <family val="2"/>
      <scheme val="minor"/>
    </font>
    <font>
      <b/>
      <sz val="11"/>
      <color theme="1"/>
      <name val="Aptos Narrow"/>
      <family val="2"/>
      <scheme val="minor"/>
    </font>
  </fonts>
  <fills count="2">
    <fill>
      <patternFill patternType="none"/>
    </fill>
    <fill>
      <patternFill patternType="gray125"/>
    </fill>
  </fills>
  <borders count="1">
    <border>
      <left/>
      <right/>
      <top/>
      <bottom/>
      <diagonal/>
    </border>
  </borders>
  <cellStyleXfs count="2">
    <xf numFmtId="0" fontId="0" fillId="0" borderId="0"/>
    <xf numFmtId="44" fontId="1" fillId="0" borderId="0" applyFont="0" applyFill="0" applyBorder="0" applyAlignment="0" applyProtection="0"/>
  </cellStyleXfs>
  <cellXfs count="7">
    <xf numFmtId="0" fontId="0" fillId="0" borderId="0" xfId="0"/>
    <xf numFmtId="0" fontId="0" fillId="0" borderId="0" xfId="0" applyAlignment="1">
      <alignment horizontal="center"/>
    </xf>
    <xf numFmtId="0" fontId="2" fillId="0" borderId="0" xfId="0" applyFont="1"/>
    <xf numFmtId="44" fontId="0" fillId="0" borderId="0" xfId="1" applyFont="1"/>
    <xf numFmtId="0" fontId="0" fillId="0" borderId="0" xfId="0" applyFont="1" applyAlignment="1">
      <alignment horizontal="center"/>
    </xf>
    <xf numFmtId="44" fontId="0" fillId="0" borderId="0" xfId="0" applyNumberFormat="1"/>
    <xf numFmtId="0" fontId="0" fillId="0" borderId="0" xfId="0" applyAlignment="1">
      <alignment horizontal="center" vertical="center" wrapText="1"/>
    </xf>
  </cellXfs>
  <cellStyles count="2">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5</xdr:col>
      <xdr:colOff>0</xdr:colOff>
      <xdr:row>7</xdr:row>
      <xdr:rowOff>1</xdr:rowOff>
    </xdr:from>
    <xdr:to>
      <xdr:col>14</xdr:col>
      <xdr:colOff>0</xdr:colOff>
      <xdr:row>11</xdr:row>
      <xdr:rowOff>1</xdr:rowOff>
    </xdr:to>
    <xdr:sp macro="" textlink="">
      <xdr:nvSpPr>
        <xdr:cNvPr id="2" name="TextBox 1">
          <a:extLst>
            <a:ext uri="{FF2B5EF4-FFF2-40B4-BE49-F238E27FC236}">
              <a16:creationId xmlns:a16="http://schemas.microsoft.com/office/drawing/2014/main" id="{D0F880CB-D015-838E-8DCD-ED1D8E52B775}"/>
            </a:ext>
          </a:extLst>
        </xdr:cNvPr>
        <xdr:cNvSpPr txBox="1"/>
      </xdr:nvSpPr>
      <xdr:spPr>
        <a:xfrm>
          <a:off x="4914900" y="1333501"/>
          <a:ext cx="7877175" cy="762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As we can see here, </a:t>
          </a:r>
          <a:r>
            <a:rPr lang="en-US"/>
            <a:t>The primary product is profitable at </a:t>
          </a:r>
          <a:r>
            <a:rPr lang="en-US" b="1"/>
            <a:t>$1.03 per pound</a:t>
          </a:r>
          <a:r>
            <a:rPr lang="en-US"/>
            <a:t>, while </a:t>
          </a:r>
          <a:r>
            <a:rPr lang="en-US" b="1"/>
            <a:t>Products K (-$0.07), M ($0.19), and Treatment (-$0.25) contribute to losses</a:t>
          </a:r>
          <a:r>
            <a:rPr lang="en-US"/>
            <a:t>. To improve profitability,</a:t>
          </a:r>
          <a:r>
            <a:rPr lang="en-US" baseline="0"/>
            <a:t> the primary product is still the main priority to absorb the costs of waste disposal. </a:t>
          </a:r>
          <a:endParaRPr lang="en-US" sz="1100"/>
        </a:p>
      </xdr:txBody>
    </xdr:sp>
    <xdr:clientData/>
  </xdr:twoCellAnchor>
  <xdr:twoCellAnchor>
    <xdr:from>
      <xdr:col>5</xdr:col>
      <xdr:colOff>0</xdr:colOff>
      <xdr:row>18</xdr:row>
      <xdr:rowOff>1</xdr:rowOff>
    </xdr:from>
    <xdr:to>
      <xdr:col>14</xdr:col>
      <xdr:colOff>0</xdr:colOff>
      <xdr:row>22</xdr:row>
      <xdr:rowOff>1</xdr:rowOff>
    </xdr:to>
    <xdr:sp macro="" textlink="">
      <xdr:nvSpPr>
        <xdr:cNvPr id="3" name="TextBox 2">
          <a:extLst>
            <a:ext uri="{FF2B5EF4-FFF2-40B4-BE49-F238E27FC236}">
              <a16:creationId xmlns:a16="http://schemas.microsoft.com/office/drawing/2014/main" id="{83B3780D-2150-4808-BC4A-DEA31E2FC976}"/>
            </a:ext>
          </a:extLst>
        </xdr:cNvPr>
        <xdr:cNvSpPr txBox="1"/>
      </xdr:nvSpPr>
      <xdr:spPr>
        <a:xfrm>
          <a:off x="4914900" y="1333501"/>
          <a:ext cx="7877175" cy="762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As we can see here, </a:t>
          </a:r>
          <a:r>
            <a:rPr lang="en-US"/>
            <a:t>The primary product is profitable at </a:t>
          </a:r>
          <a:r>
            <a:rPr lang="en-US" b="1"/>
            <a:t>$1.03 per pound</a:t>
          </a:r>
          <a:r>
            <a:rPr lang="en-US"/>
            <a:t>, while </a:t>
          </a:r>
          <a:r>
            <a:rPr lang="en-US" b="1"/>
            <a:t>Products K (-$0.73), M (-$0.18), and Treatment (-$0.25) contribute to losses</a:t>
          </a:r>
          <a:r>
            <a:rPr lang="en-US"/>
            <a:t>. To improve profitability,</a:t>
          </a:r>
          <a:r>
            <a:rPr lang="en-US" baseline="0"/>
            <a:t> the primary product is still the main priority to absorb the costs of waste disposal. Interestingly, when accounting for the costs of X, K costs more than treatment.</a:t>
          </a:r>
          <a:endParaRPr lang="en-US" sz="1100"/>
        </a:p>
      </xdr:txBody>
    </xdr:sp>
    <xdr:clientData/>
  </xdr:twoCellAnchor>
  <xdr:twoCellAnchor>
    <xdr:from>
      <xdr:col>5</xdr:col>
      <xdr:colOff>0</xdr:colOff>
      <xdr:row>18</xdr:row>
      <xdr:rowOff>0</xdr:rowOff>
    </xdr:from>
    <xdr:to>
      <xdr:col>14</xdr:col>
      <xdr:colOff>0</xdr:colOff>
      <xdr:row>25</xdr:row>
      <xdr:rowOff>123825</xdr:rowOff>
    </xdr:to>
    <xdr:sp macro="" textlink="">
      <xdr:nvSpPr>
        <xdr:cNvPr id="4" name="TextBox 3">
          <a:extLst>
            <a:ext uri="{FF2B5EF4-FFF2-40B4-BE49-F238E27FC236}">
              <a16:creationId xmlns:a16="http://schemas.microsoft.com/office/drawing/2014/main" id="{DDBC2136-3E44-4887-8FFA-403E5D729D03}"/>
            </a:ext>
          </a:extLst>
        </xdr:cNvPr>
        <xdr:cNvSpPr txBox="1"/>
      </xdr:nvSpPr>
      <xdr:spPr>
        <a:xfrm>
          <a:off x="4914900" y="3429000"/>
          <a:ext cx="7877175" cy="14573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The</a:t>
          </a:r>
          <a:r>
            <a:rPr lang="en-US" sz="1100" baseline="0"/>
            <a:t> only meaningful discussion here is if we proceed under the preposition that the costs for 7500 units of X and 9000 units of Y has been imbibed in some other account as if it hasn't and is being accounted for as a cost incurred within the upcoming month than we are screwed as that is not enough materials to even produce the primary product at the breakeven point. Using the previous month for its baseline unit costs and profits, we can see that past the breakeven point, the PP still has the highest profit contribution or contribution margin. Hence, if we proceed with that in mind and prioritize PP's production, we will be left with 3000 units of X (as 1 unit of X and 2 units of Y is needed for every lb of PP). With the costs already paid for, it is more profitable to use 1500 units of X to produce 3000 units of K (with a contribution margin of $0.60) than to buy 1500 units of Y to produce 3000 units of M (with a contribution margin of $0.19). Hence, there would also be no need to consider treatment and we would still have 1500 units of K to be used the month after. </a:t>
          </a:r>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684787-4FAA-417F-A393-613D898F3A6C}">
  <dimension ref="A1:S27"/>
  <sheetViews>
    <sheetView tabSelected="1" topLeftCell="A2" workbookViewId="0">
      <selection activeCell="B28" sqref="B28"/>
    </sheetView>
  </sheetViews>
  <sheetFormatPr defaultRowHeight="15" x14ac:dyDescent="0.25"/>
  <cols>
    <col min="2" max="2" width="27" customWidth="1"/>
    <col min="3" max="3" width="19.28515625" customWidth="1"/>
    <col min="6" max="6" width="14.140625" bestFit="1" customWidth="1"/>
    <col min="7" max="7" width="18.7109375" customWidth="1"/>
    <col min="8" max="8" width="12.140625" bestFit="1" customWidth="1"/>
    <col min="10" max="10" width="13.85546875" bestFit="1" customWidth="1"/>
    <col min="11" max="11" width="17.28515625" customWidth="1"/>
    <col min="12" max="12" width="9.5703125" bestFit="1" customWidth="1"/>
    <col min="14" max="14" width="14.140625" bestFit="1" customWidth="1"/>
    <col min="15" max="15" width="25.140625" customWidth="1"/>
  </cols>
  <sheetData>
    <row r="1" spans="1:19" x14ac:dyDescent="0.25">
      <c r="A1" s="6" t="s">
        <v>27</v>
      </c>
      <c r="B1" s="1" t="s">
        <v>8</v>
      </c>
      <c r="C1" s="1"/>
      <c r="F1" s="1" t="s">
        <v>11</v>
      </c>
      <c r="G1" s="1"/>
      <c r="J1" s="1" t="s">
        <v>13</v>
      </c>
      <c r="K1" s="1"/>
      <c r="N1" s="4" t="s">
        <v>21</v>
      </c>
      <c r="O1" s="4"/>
    </row>
    <row r="2" spans="1:19" x14ac:dyDescent="0.25">
      <c r="A2" s="6"/>
      <c r="B2" s="2" t="s">
        <v>7</v>
      </c>
      <c r="C2" s="3">
        <f>5.7*E2</f>
        <v>68400</v>
      </c>
      <c r="D2" t="s">
        <v>9</v>
      </c>
      <c r="E2">
        <v>12000</v>
      </c>
      <c r="F2" s="2" t="s">
        <v>7</v>
      </c>
      <c r="G2" s="3">
        <f>0.8*I4</f>
        <v>6400</v>
      </c>
      <c r="H2" t="s">
        <v>18</v>
      </c>
      <c r="I2">
        <f>E2/3</f>
        <v>4000</v>
      </c>
      <c r="J2" s="2" t="s">
        <v>7</v>
      </c>
      <c r="K2" s="3">
        <f>0.65*M4</f>
        <v>5200</v>
      </c>
      <c r="L2" t="s">
        <v>18</v>
      </c>
      <c r="M2">
        <f>E2/3</f>
        <v>4000</v>
      </c>
      <c r="N2" s="2" t="s">
        <v>7</v>
      </c>
      <c r="O2" s="3">
        <v>0</v>
      </c>
      <c r="P2" t="s">
        <v>18</v>
      </c>
      <c r="Q2">
        <f>E2/3</f>
        <v>4000</v>
      </c>
    </row>
    <row r="3" spans="1:19" x14ac:dyDescent="0.25">
      <c r="A3" s="6"/>
      <c r="B3" s="2" t="s">
        <v>0</v>
      </c>
      <c r="C3" s="3"/>
      <c r="F3" s="2" t="s">
        <v>12</v>
      </c>
      <c r="G3" s="3"/>
      <c r="H3" t="s">
        <v>19</v>
      </c>
      <c r="I3">
        <f xml:space="preserve"> 1</f>
        <v>1</v>
      </c>
      <c r="J3" s="2" t="s">
        <v>12</v>
      </c>
      <c r="K3" s="3"/>
      <c r="L3" t="s">
        <v>20</v>
      </c>
      <c r="M3">
        <f>1</f>
        <v>1</v>
      </c>
      <c r="N3" s="2" t="s">
        <v>12</v>
      </c>
      <c r="O3" s="3"/>
      <c r="P3" t="s">
        <v>22</v>
      </c>
      <c r="Q3">
        <f>1</f>
        <v>1</v>
      </c>
    </row>
    <row r="4" spans="1:19" x14ac:dyDescent="0.25">
      <c r="A4" s="6"/>
      <c r="B4" t="s">
        <v>1</v>
      </c>
      <c r="C4" s="3">
        <v>13000</v>
      </c>
      <c r="F4" t="s">
        <v>3</v>
      </c>
      <c r="G4" s="3">
        <f>E7*I2</f>
        <v>5333.333333333333</v>
      </c>
      <c r="H4" t="s">
        <v>14</v>
      </c>
      <c r="I4">
        <f>I2*I3*2</f>
        <v>8000</v>
      </c>
      <c r="J4" t="s">
        <v>4</v>
      </c>
      <c r="K4" s="3">
        <f>E8*M2</f>
        <v>2916.6666666666665</v>
      </c>
      <c r="L4" t="s">
        <v>15</v>
      </c>
      <c r="M4">
        <f>M2*M3*2</f>
        <v>8000</v>
      </c>
      <c r="N4" t="s">
        <v>5</v>
      </c>
      <c r="O4" s="3">
        <f>Q4*0.25</f>
        <v>1000</v>
      </c>
      <c r="P4" t="s">
        <v>23</v>
      </c>
      <c r="Q4">
        <f>Q2*Q3</f>
        <v>4000</v>
      </c>
    </row>
    <row r="5" spans="1:19" x14ac:dyDescent="0.25">
      <c r="A5" s="6"/>
      <c r="B5" t="s">
        <v>2</v>
      </c>
      <c r="C5" s="3">
        <v>4500</v>
      </c>
      <c r="F5" t="s">
        <v>5</v>
      </c>
      <c r="G5" s="3">
        <f>0.2*I4</f>
        <v>1600</v>
      </c>
      <c r="J5" t="s">
        <v>5</v>
      </c>
      <c r="K5" s="3">
        <f>0.1*M4</f>
        <v>800</v>
      </c>
      <c r="N5" s="2" t="s">
        <v>6</v>
      </c>
      <c r="O5" s="3">
        <f>O4</f>
        <v>1000</v>
      </c>
      <c r="P5" t="s">
        <v>25</v>
      </c>
      <c r="Q5" s="5">
        <f>O5/Q4</f>
        <v>0.25</v>
      </c>
    </row>
    <row r="6" spans="1:19" x14ac:dyDescent="0.25">
      <c r="A6" s="6"/>
      <c r="B6" s="2" t="s">
        <v>12</v>
      </c>
      <c r="C6" s="3"/>
      <c r="F6" s="2" t="s">
        <v>6</v>
      </c>
      <c r="G6" s="3">
        <f>G4+G5</f>
        <v>6933.333333333333</v>
      </c>
      <c r="H6" t="s">
        <v>25</v>
      </c>
      <c r="I6" s="5">
        <f>G6/I4</f>
        <v>0.86666666666666659</v>
      </c>
      <c r="J6" s="2" t="s">
        <v>6</v>
      </c>
      <c r="K6" s="3">
        <f>SUM(K4:K5)</f>
        <v>3716.6666666666665</v>
      </c>
      <c r="L6" t="s">
        <v>25</v>
      </c>
      <c r="M6" s="5">
        <f>K6/M4</f>
        <v>0.46458333333333329</v>
      </c>
      <c r="N6" s="2" t="s">
        <v>10</v>
      </c>
      <c r="O6" s="3">
        <f>O2-O5</f>
        <v>-1000</v>
      </c>
      <c r="P6" t="s">
        <v>26</v>
      </c>
      <c r="Q6" s="5">
        <f>O6/Q4</f>
        <v>-0.25</v>
      </c>
    </row>
    <row r="7" spans="1:19" x14ac:dyDescent="0.25">
      <c r="A7" s="6"/>
      <c r="B7" t="s">
        <v>3</v>
      </c>
      <c r="C7" s="3">
        <f>E7*E2</f>
        <v>16000</v>
      </c>
      <c r="D7" t="s">
        <v>16</v>
      </c>
      <c r="E7">
        <f>16/12</f>
        <v>1.3333333333333333</v>
      </c>
      <c r="F7" s="2" t="s">
        <v>10</v>
      </c>
      <c r="G7" s="3">
        <f>G2-G6</f>
        <v>-533.33333333333303</v>
      </c>
      <c r="H7" t="s">
        <v>26</v>
      </c>
      <c r="I7" s="5">
        <f>G7/I4</f>
        <v>-6.6666666666666624E-2</v>
      </c>
      <c r="J7" s="2" t="s">
        <v>10</v>
      </c>
      <c r="K7" s="3">
        <f>K2-K6</f>
        <v>1483.3333333333335</v>
      </c>
      <c r="L7" t="s">
        <v>26</v>
      </c>
      <c r="M7" s="5">
        <f>K7/M4</f>
        <v>0.18541666666666667</v>
      </c>
    </row>
    <row r="8" spans="1:19" x14ac:dyDescent="0.25">
      <c r="A8" s="6"/>
      <c r="B8" t="s">
        <v>4</v>
      </c>
      <c r="C8" s="3">
        <f>(E8*2)*E2</f>
        <v>17500</v>
      </c>
      <c r="D8" t="s">
        <v>17</v>
      </c>
      <c r="E8">
        <f>17.5/24</f>
        <v>0.72916666666666663</v>
      </c>
      <c r="I8" s="5"/>
    </row>
    <row r="9" spans="1:19" x14ac:dyDescent="0.25">
      <c r="A9" s="6"/>
      <c r="B9" t="s">
        <v>5</v>
      </c>
      <c r="C9" s="3">
        <f>(E9)*E2</f>
        <v>5000</v>
      </c>
      <c r="D9" t="s">
        <v>28</v>
      </c>
      <c r="E9" s="5">
        <f>5/12</f>
        <v>0.41666666666666669</v>
      </c>
    </row>
    <row r="10" spans="1:19" x14ac:dyDescent="0.25">
      <c r="A10" s="6"/>
      <c r="B10" s="2" t="s">
        <v>6</v>
      </c>
      <c r="C10" s="3">
        <f>SUM(C4:C9)</f>
        <v>56000</v>
      </c>
      <c r="D10" t="s">
        <v>25</v>
      </c>
      <c r="E10" s="5">
        <f>C10/E2</f>
        <v>4.666666666666667</v>
      </c>
    </row>
    <row r="11" spans="1:19" x14ac:dyDescent="0.25">
      <c r="A11" s="6"/>
      <c r="B11" s="2" t="s">
        <v>10</v>
      </c>
      <c r="C11" s="3">
        <f>C2-C10</f>
        <v>12400</v>
      </c>
      <c r="D11" t="s">
        <v>26</v>
      </c>
      <c r="E11" s="5">
        <f>C11/E2</f>
        <v>1.0333333333333334</v>
      </c>
    </row>
    <row r="12" spans="1:19" x14ac:dyDescent="0.25">
      <c r="A12" s="6" t="s">
        <v>29</v>
      </c>
      <c r="B12" s="1" t="s">
        <v>8</v>
      </c>
      <c r="C12" s="1"/>
      <c r="F12" s="1" t="s">
        <v>11</v>
      </c>
      <c r="G12" s="1"/>
      <c r="J12" s="1" t="s">
        <v>13</v>
      </c>
      <c r="K12" s="1"/>
      <c r="N12" s="4" t="s">
        <v>21</v>
      </c>
      <c r="O12" s="4"/>
      <c r="R12" t="s">
        <v>24</v>
      </c>
    </row>
    <row r="13" spans="1:19" x14ac:dyDescent="0.25">
      <c r="A13" s="6"/>
      <c r="B13" s="2" t="s">
        <v>7</v>
      </c>
      <c r="C13" s="3">
        <f>5.7*E13</f>
        <v>25650</v>
      </c>
      <c r="D13" t="s">
        <v>9</v>
      </c>
      <c r="E13">
        <v>4500</v>
      </c>
      <c r="F13" s="2" t="s">
        <v>7</v>
      </c>
      <c r="G13" s="3">
        <f>0.8*I15</f>
        <v>2400</v>
      </c>
      <c r="H13" t="s">
        <v>18</v>
      </c>
      <c r="I13">
        <f>E13/3</f>
        <v>1500</v>
      </c>
      <c r="J13" s="2" t="s">
        <v>7</v>
      </c>
      <c r="K13" s="3">
        <f>0.65*M15</f>
        <v>1950</v>
      </c>
      <c r="L13" t="s">
        <v>18</v>
      </c>
      <c r="M13">
        <f>E13/3</f>
        <v>1500</v>
      </c>
      <c r="N13" s="2" t="s">
        <v>7</v>
      </c>
      <c r="O13" s="3">
        <v>0</v>
      </c>
      <c r="P13" t="s">
        <v>18</v>
      </c>
      <c r="Q13">
        <f>E13/3</f>
        <v>1500</v>
      </c>
      <c r="R13" t="s">
        <v>3</v>
      </c>
      <c r="S13">
        <v>7500</v>
      </c>
    </row>
    <row r="14" spans="1:19" x14ac:dyDescent="0.25">
      <c r="A14" s="6"/>
      <c r="B14" s="2" t="s">
        <v>0</v>
      </c>
      <c r="C14" s="3"/>
      <c r="F14" s="2" t="s">
        <v>12</v>
      </c>
      <c r="G14" s="3"/>
      <c r="H14" t="s">
        <v>19</v>
      </c>
      <c r="I14">
        <f xml:space="preserve"> 1</f>
        <v>1</v>
      </c>
      <c r="J14" s="2" t="s">
        <v>12</v>
      </c>
      <c r="K14" s="3"/>
      <c r="L14" t="s">
        <v>20</v>
      </c>
      <c r="M14">
        <f>1</f>
        <v>1</v>
      </c>
      <c r="N14" s="2" t="s">
        <v>12</v>
      </c>
      <c r="O14" s="3"/>
      <c r="P14" t="s">
        <v>22</v>
      </c>
      <c r="Q14">
        <f>1</f>
        <v>1</v>
      </c>
      <c r="R14" t="s">
        <v>4</v>
      </c>
      <c r="S14">
        <v>9000</v>
      </c>
    </row>
    <row r="15" spans="1:19" x14ac:dyDescent="0.25">
      <c r="A15" s="6"/>
      <c r="B15" t="s">
        <v>1</v>
      </c>
      <c r="C15" s="3">
        <v>13000</v>
      </c>
      <c r="F15" t="s">
        <v>3</v>
      </c>
      <c r="G15" s="3">
        <v>0</v>
      </c>
      <c r="H15" t="s">
        <v>14</v>
      </c>
      <c r="I15">
        <f>I13*I14*2</f>
        <v>3000</v>
      </c>
      <c r="J15" t="s">
        <v>4</v>
      </c>
      <c r="K15" s="3">
        <f>E19*M13</f>
        <v>1093.75</v>
      </c>
      <c r="L15" t="s">
        <v>15</v>
      </c>
      <c r="M15">
        <f>M13*M14*2</f>
        <v>3000</v>
      </c>
      <c r="N15" t="s">
        <v>5</v>
      </c>
      <c r="O15" s="3">
        <f>Q15*0.25</f>
        <v>375</v>
      </c>
      <c r="P15" t="s">
        <v>23</v>
      </c>
      <c r="Q15">
        <f>Q13*Q14</f>
        <v>1500</v>
      </c>
    </row>
    <row r="16" spans="1:19" x14ac:dyDescent="0.25">
      <c r="A16" s="6"/>
      <c r="B16" t="s">
        <v>2</v>
      </c>
      <c r="C16" s="3">
        <v>4500</v>
      </c>
      <c r="F16" t="s">
        <v>5</v>
      </c>
      <c r="G16" s="3">
        <f>0.2*I15</f>
        <v>600</v>
      </c>
      <c r="J16" t="s">
        <v>5</v>
      </c>
      <c r="K16" s="3">
        <f>0.1*M15</f>
        <v>300</v>
      </c>
      <c r="N16" s="2" t="s">
        <v>6</v>
      </c>
      <c r="O16" s="3">
        <f>O15</f>
        <v>375</v>
      </c>
      <c r="P16" t="s">
        <v>25</v>
      </c>
      <c r="Q16" s="5">
        <f>O16/Q15</f>
        <v>0.25</v>
      </c>
    </row>
    <row r="17" spans="1:17" x14ac:dyDescent="0.25">
      <c r="A17" s="6"/>
      <c r="B17" s="2" t="s">
        <v>12</v>
      </c>
      <c r="C17" s="3"/>
      <c r="F17" s="2" t="s">
        <v>6</v>
      </c>
      <c r="G17" s="3">
        <f>G15+G16</f>
        <v>600</v>
      </c>
      <c r="H17" t="s">
        <v>25</v>
      </c>
      <c r="I17" s="5">
        <f>G17/I15</f>
        <v>0.2</v>
      </c>
      <c r="J17" s="2" t="s">
        <v>6</v>
      </c>
      <c r="K17" s="3">
        <f>SUM(K15:K16)</f>
        <v>1393.75</v>
      </c>
      <c r="L17" t="s">
        <v>25</v>
      </c>
      <c r="M17" s="5">
        <f>K17/M15</f>
        <v>0.46458333333333335</v>
      </c>
      <c r="N17" s="2" t="s">
        <v>10</v>
      </c>
      <c r="O17" s="3">
        <f>O13-O16</f>
        <v>-375</v>
      </c>
      <c r="P17" t="s">
        <v>26</v>
      </c>
      <c r="Q17" s="5">
        <f>O17/Q15</f>
        <v>-0.25</v>
      </c>
    </row>
    <row r="18" spans="1:17" x14ac:dyDescent="0.25">
      <c r="A18" s="6"/>
      <c r="B18" t="s">
        <v>3</v>
      </c>
      <c r="C18" s="3">
        <v>0</v>
      </c>
      <c r="D18" t="s">
        <v>16</v>
      </c>
      <c r="E18">
        <f>16/12</f>
        <v>1.3333333333333333</v>
      </c>
      <c r="F18" s="2" t="s">
        <v>10</v>
      </c>
      <c r="G18" s="3">
        <f>G13-G17</f>
        <v>1800</v>
      </c>
      <c r="H18" t="s">
        <v>26</v>
      </c>
      <c r="I18" s="5">
        <f>G18/I15</f>
        <v>0.6</v>
      </c>
      <c r="J18" s="2" t="s">
        <v>10</v>
      </c>
      <c r="K18" s="3">
        <f>K13-K17</f>
        <v>556.25</v>
      </c>
      <c r="L18" t="s">
        <v>26</v>
      </c>
      <c r="M18" s="5">
        <f>K18/M15</f>
        <v>0.18541666666666667</v>
      </c>
    </row>
    <row r="19" spans="1:17" x14ac:dyDescent="0.25">
      <c r="A19" s="6"/>
      <c r="B19" t="s">
        <v>4</v>
      </c>
      <c r="C19" s="3">
        <f>0</f>
        <v>0</v>
      </c>
      <c r="D19" t="s">
        <v>17</v>
      </c>
      <c r="E19">
        <f>17.5/24</f>
        <v>0.72916666666666663</v>
      </c>
      <c r="I19" s="5"/>
    </row>
    <row r="20" spans="1:17" x14ac:dyDescent="0.25">
      <c r="A20" s="6"/>
      <c r="B20" t="s">
        <v>5</v>
      </c>
      <c r="C20" s="3">
        <f>(E20)*E13</f>
        <v>1875</v>
      </c>
      <c r="D20" t="s">
        <v>28</v>
      </c>
      <c r="E20" s="5">
        <f>5/12</f>
        <v>0.41666666666666669</v>
      </c>
    </row>
    <row r="21" spans="1:17" x14ac:dyDescent="0.25">
      <c r="A21" s="6"/>
      <c r="B21" s="2" t="s">
        <v>6</v>
      </c>
      <c r="C21" s="3">
        <f>SUM(C15:C20)</f>
        <v>19375</v>
      </c>
      <c r="D21" t="s">
        <v>25</v>
      </c>
      <c r="E21" s="5">
        <f>C21/E13</f>
        <v>4.3055555555555554</v>
      </c>
    </row>
    <row r="22" spans="1:17" x14ac:dyDescent="0.25">
      <c r="A22" s="6"/>
      <c r="B22" s="2" t="s">
        <v>10</v>
      </c>
      <c r="C22" s="3">
        <f>C13-C21</f>
        <v>6275</v>
      </c>
      <c r="D22" t="s">
        <v>26</v>
      </c>
      <c r="E22" s="5">
        <f>C22/E13</f>
        <v>1.3944444444444444</v>
      </c>
    </row>
    <row r="26" spans="1:17" x14ac:dyDescent="0.25">
      <c r="B26" s="2" t="s">
        <v>30</v>
      </c>
      <c r="C26" s="5">
        <f>C13+G13</f>
        <v>28050</v>
      </c>
    </row>
    <row r="27" spans="1:17" x14ac:dyDescent="0.25">
      <c r="B27" s="2" t="s">
        <v>31</v>
      </c>
      <c r="C27" s="5">
        <f>C22+G18</f>
        <v>8075</v>
      </c>
    </row>
  </sheetData>
  <mergeCells count="10">
    <mergeCell ref="B1:C1"/>
    <mergeCell ref="F1:G1"/>
    <mergeCell ref="J1:K1"/>
    <mergeCell ref="N1:O1"/>
    <mergeCell ref="A1:A11"/>
    <mergeCell ref="B12:C12"/>
    <mergeCell ref="F12:G12"/>
    <mergeCell ref="J12:K12"/>
    <mergeCell ref="N12:O12"/>
    <mergeCell ref="A12:A22"/>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865AC1-D8D4-4A88-A889-7F51BA68FFD3}">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Cost analysis</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Radjamin A. Hukom</dc:creator>
  <cp:lastModifiedBy>Radjamin A. Hukom</cp:lastModifiedBy>
  <dcterms:created xsi:type="dcterms:W3CDTF">2025-02-23T18:27:01Z</dcterms:created>
  <dcterms:modified xsi:type="dcterms:W3CDTF">2025-02-23T21:46:23Z</dcterms:modified>
</cp:coreProperties>
</file>