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rhukom\Documents\"/>
    </mc:Choice>
  </mc:AlternateContent>
  <xr:revisionPtr revIDLastSave="0" documentId="8_{DF02B710-986D-467E-BF7F-3142B0071EF6}" xr6:coauthVersionLast="47" xr6:coauthVersionMax="47" xr10:uidLastSave="{00000000-0000-0000-0000-000000000000}"/>
  <bookViews>
    <workbookView xWindow="-120" yWindow="-120" windowWidth="20730" windowHeight="11760" xr2:uid="{397FB070-C688-43EE-8D19-AED7EC90D76E}"/>
  </bookViews>
  <sheets>
    <sheet name="Cost analysis" sheetId="1" r:id="rId1"/>
    <sheet name="Answer Report 1" sheetId="3" r:id="rId2"/>
    <sheet name="Sensitivity Report 1" sheetId="4" r:id="rId3"/>
    <sheet name="Limits Report 1" sheetId="5" r:id="rId4"/>
    <sheet name="Sheet2" sheetId="2" r:id="rId5"/>
    <sheet name="Answer Report 2" sheetId="7" r:id="rId6"/>
    <sheet name="Sensitivity Report 2" sheetId="8" r:id="rId7"/>
    <sheet name="Limits Report 2" sheetId="9" r:id="rId8"/>
    <sheet name="Sheet1" sheetId="6" r:id="rId9"/>
  </sheets>
  <definedNames>
    <definedName name="solver_adj" localSheetId="8" hidden="1">Sheet1!$B$1:$B$3,Sheet1!$B$5,Sheet1!$B$6</definedName>
    <definedName name="solver_adj" localSheetId="4" hidden="1">Sheet2!$B$1:$B$4</definedName>
    <definedName name="solver_cvg" localSheetId="8" hidden="1">0.0001</definedName>
    <definedName name="solver_cvg" localSheetId="4" hidden="1">0.0001</definedName>
    <definedName name="solver_drv" localSheetId="8" hidden="1">1</definedName>
    <definedName name="solver_drv" localSheetId="4" hidden="1">2</definedName>
    <definedName name="solver_eng" localSheetId="8" hidden="1">2</definedName>
    <definedName name="solver_eng" localSheetId="4" hidden="1">2</definedName>
    <definedName name="solver_est" localSheetId="8" hidden="1">1</definedName>
    <definedName name="solver_est" localSheetId="4" hidden="1">1</definedName>
    <definedName name="solver_itr" localSheetId="8" hidden="1">2147483647</definedName>
    <definedName name="solver_itr" localSheetId="4" hidden="1">2147483647</definedName>
    <definedName name="solver_lhs1" localSheetId="8" hidden="1">Sheet1!$B$1:$B$3</definedName>
    <definedName name="solver_lhs1" localSheetId="4" hidden="1">Sheet2!$B$1:$B$4</definedName>
    <definedName name="solver_lhs2" localSheetId="8" hidden="1">Sheet1!$C$1</definedName>
    <definedName name="solver_lhs2" localSheetId="4" hidden="1">Sheet2!$D$1</definedName>
    <definedName name="solver_lhs3" localSheetId="8" hidden="1">Sheet1!$C$2</definedName>
    <definedName name="solver_lhs3" localSheetId="4" hidden="1">Sheet2!$D$2</definedName>
    <definedName name="solver_lhs4" localSheetId="8" hidden="1">Sheet1!$C$3</definedName>
    <definedName name="solver_lhs4" localSheetId="4" hidden="1">Sheet2!$D$3</definedName>
    <definedName name="solver_mip" localSheetId="8" hidden="1">2147483647</definedName>
    <definedName name="solver_mip" localSheetId="4" hidden="1">2147483647</definedName>
    <definedName name="solver_mni" localSheetId="8" hidden="1">30</definedName>
    <definedName name="solver_mni" localSheetId="4" hidden="1">30</definedName>
    <definedName name="solver_mrt" localSheetId="8" hidden="1">0.075</definedName>
    <definedName name="solver_mrt" localSheetId="4" hidden="1">0.075</definedName>
    <definedName name="solver_msl" localSheetId="8" hidden="1">2</definedName>
    <definedName name="solver_msl" localSheetId="4" hidden="1">2</definedName>
    <definedName name="solver_neg" localSheetId="8" hidden="1">1</definedName>
    <definedName name="solver_neg" localSheetId="4" hidden="1">1</definedName>
    <definedName name="solver_nod" localSheetId="8" hidden="1">2147483647</definedName>
    <definedName name="solver_nod" localSheetId="4" hidden="1">2147483647</definedName>
    <definedName name="solver_num" localSheetId="8" hidden="1">4</definedName>
    <definedName name="solver_num" localSheetId="4" hidden="1">4</definedName>
    <definedName name="solver_nwt" localSheetId="8" hidden="1">1</definedName>
    <definedName name="solver_nwt" localSheetId="4" hidden="1">1</definedName>
    <definedName name="solver_opt" localSheetId="8" hidden="1">Sheet1!$B$4</definedName>
    <definedName name="solver_opt" localSheetId="4" hidden="1">Sheet2!$B$5</definedName>
    <definedName name="solver_pre" localSheetId="8" hidden="1">0.000001</definedName>
    <definedName name="solver_pre" localSheetId="4" hidden="1">0.000001</definedName>
    <definedName name="solver_rbv" localSheetId="8" hidden="1">1</definedName>
    <definedName name="solver_rbv" localSheetId="4" hidden="1">2</definedName>
    <definedName name="solver_rel1" localSheetId="8" hidden="1">3</definedName>
    <definedName name="solver_rel1" localSheetId="4" hidden="1">3</definedName>
    <definedName name="solver_rel2" localSheetId="8" hidden="1">1</definedName>
    <definedName name="solver_rel2" localSheetId="4" hidden="1">1</definedName>
    <definedName name="solver_rel3" localSheetId="8" hidden="1">1</definedName>
    <definedName name="solver_rel3" localSheetId="4" hidden="1">1</definedName>
    <definedName name="solver_rel4" localSheetId="8" hidden="1">2</definedName>
    <definedName name="solver_rel4" localSheetId="4" hidden="1">2</definedName>
    <definedName name="solver_rhs1" localSheetId="8" hidden="1">0</definedName>
    <definedName name="solver_rhs1" localSheetId="4" hidden="1">0</definedName>
    <definedName name="solver_rhs2" localSheetId="8" hidden="1">7500</definedName>
    <definedName name="solver_rhs2" localSheetId="4" hidden="1">7500</definedName>
    <definedName name="solver_rhs3" localSheetId="8" hidden="1">9000</definedName>
    <definedName name="solver_rhs3" localSheetId="4" hidden="1">9000</definedName>
    <definedName name="solver_rhs4" localSheetId="8" hidden="1">0</definedName>
    <definedName name="solver_rhs4" localSheetId="4" hidden="1">0</definedName>
    <definedName name="solver_rlx" localSheetId="8" hidden="1">2</definedName>
    <definedName name="solver_rlx" localSheetId="4" hidden="1">2</definedName>
    <definedName name="solver_rsd" localSheetId="8" hidden="1">0</definedName>
    <definedName name="solver_rsd" localSheetId="4" hidden="1">0</definedName>
    <definedName name="solver_scl" localSheetId="8" hidden="1">1</definedName>
    <definedName name="solver_scl" localSheetId="4" hidden="1">2</definedName>
    <definedName name="solver_sho" localSheetId="3" hidden="1">2</definedName>
    <definedName name="solver_sho" localSheetId="7" hidden="1">2</definedName>
    <definedName name="solver_sho" localSheetId="8" hidden="1">2</definedName>
    <definedName name="solver_sho" localSheetId="4" hidden="1">2</definedName>
    <definedName name="solver_ssz" localSheetId="8" hidden="1">100</definedName>
    <definedName name="solver_ssz" localSheetId="4" hidden="1">100</definedName>
    <definedName name="solver_tim" localSheetId="8" hidden="1">2147483647</definedName>
    <definedName name="solver_tim" localSheetId="4" hidden="1">2147483647</definedName>
    <definedName name="solver_tol" localSheetId="8" hidden="1">0.01</definedName>
    <definedName name="solver_tol" localSheetId="4" hidden="1">0.01</definedName>
    <definedName name="solver_typ" localSheetId="8" hidden="1">1</definedName>
    <definedName name="solver_typ" localSheetId="4" hidden="1">1</definedName>
    <definedName name="solver_val" localSheetId="8" hidden="1">0</definedName>
    <definedName name="solver_val" localSheetId="4" hidden="1">0</definedName>
    <definedName name="solver_ver" localSheetId="8" hidden="1">3</definedName>
    <definedName name="solver_ver" localSheetId="4"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6" l="1"/>
  <c r="C3" i="6"/>
  <c r="C2" i="6"/>
  <c r="C1" i="6"/>
  <c r="C34" i="1"/>
  <c r="E35" i="1"/>
  <c r="C35" i="1" s="1"/>
  <c r="E34" i="1"/>
  <c r="E33" i="1"/>
  <c r="M29" i="1"/>
  <c r="I29" i="1"/>
  <c r="M28" i="1"/>
  <c r="M30" i="1" s="1"/>
  <c r="K30" i="1" s="1"/>
  <c r="K31" i="1" s="1"/>
  <c r="I28" i="1"/>
  <c r="I30" i="1" s="1"/>
  <c r="C28" i="1"/>
  <c r="D3" i="2"/>
  <c r="D2" i="2"/>
  <c r="D1" i="2"/>
  <c r="K32" i="1" l="1"/>
  <c r="M32" i="1" s="1"/>
  <c r="M31" i="1"/>
  <c r="C36" i="1"/>
  <c r="E36" i="1" s="1"/>
  <c r="G31" i="1"/>
  <c r="G28" i="1"/>
  <c r="G30" i="1"/>
  <c r="B8" i="2"/>
  <c r="B7" i="2"/>
  <c r="B6" i="2"/>
  <c r="B5" i="2"/>
  <c r="C23" i="1"/>
  <c r="C24" i="1"/>
  <c r="C19" i="1"/>
  <c r="E20" i="1"/>
  <c r="C20" i="1"/>
  <c r="E19" i="1"/>
  <c r="E18" i="1"/>
  <c r="C21" i="1"/>
  <c r="E21" i="1" s="1"/>
  <c r="K15" i="1"/>
  <c r="Q14" i="1"/>
  <c r="M14" i="1"/>
  <c r="I14" i="1"/>
  <c r="Q13" i="1"/>
  <c r="Q15" i="1" s="1"/>
  <c r="O15" i="1" s="1"/>
  <c r="O16" i="1" s="1"/>
  <c r="M13" i="1"/>
  <c r="M15" i="1" s="1"/>
  <c r="I13" i="1"/>
  <c r="I15" i="1" s="1"/>
  <c r="C13" i="1"/>
  <c r="K4" i="1"/>
  <c r="G4" i="1"/>
  <c r="M4" i="1"/>
  <c r="I4" i="1"/>
  <c r="E9" i="1"/>
  <c r="C9" i="1" s="1"/>
  <c r="Q3" i="1"/>
  <c r="Q2" i="1"/>
  <c r="M3" i="1"/>
  <c r="M2" i="1"/>
  <c r="I3" i="1"/>
  <c r="I2" i="1"/>
  <c r="E8" i="1"/>
  <c r="E7" i="1"/>
  <c r="C7" i="1" s="1"/>
  <c r="C2" i="1"/>
  <c r="G32" i="1" l="1"/>
  <c r="I32" i="1" s="1"/>
  <c r="C37" i="1"/>
  <c r="E37" i="1" s="1"/>
  <c r="C38" i="1"/>
  <c r="C22" i="1"/>
  <c r="E22" i="1" s="1"/>
  <c r="G13" i="1"/>
  <c r="G16" i="1"/>
  <c r="G17" i="1" s="1"/>
  <c r="I17" i="1" s="1"/>
  <c r="K16" i="1"/>
  <c r="K17" i="1" s="1"/>
  <c r="M17" i="1" s="1"/>
  <c r="K13" i="1"/>
  <c r="Q16" i="1"/>
  <c r="O17" i="1"/>
  <c r="Q17" i="1" s="1"/>
  <c r="Q4" i="1"/>
  <c r="O4" i="1" s="1"/>
  <c r="O5" i="1" s="1"/>
  <c r="O6" i="1" s="1"/>
  <c r="Q6" i="1" s="1"/>
  <c r="Q5" i="1"/>
  <c r="K2" i="1"/>
  <c r="K5" i="1"/>
  <c r="G2" i="1"/>
  <c r="C8" i="1"/>
  <c r="G5" i="1"/>
  <c r="G6" i="1" s="1"/>
  <c r="G33" i="1" l="1"/>
  <c r="I33" i="1" s="1"/>
  <c r="G18" i="1"/>
  <c r="I18" i="1" s="1"/>
  <c r="K18" i="1"/>
  <c r="M18" i="1" s="1"/>
  <c r="G7" i="1"/>
  <c r="I7" i="1" s="1"/>
  <c r="I6" i="1"/>
  <c r="K6" i="1"/>
  <c r="C39" i="1" l="1"/>
  <c r="K7" i="1"/>
  <c r="M7" i="1" s="1"/>
  <c r="M6" i="1"/>
  <c r="C10" i="1"/>
  <c r="E10" i="1" s="1"/>
  <c r="C11" i="1" l="1"/>
  <c r="E11" i="1" s="1"/>
</calcChain>
</file>

<file path=xl/sharedStrings.xml><?xml version="1.0" encoding="utf-8"?>
<sst xmlns="http://schemas.openxmlformats.org/spreadsheetml/2006/main" count="464" uniqueCount="123">
  <si>
    <t>Fixed Costs</t>
  </si>
  <si>
    <t>Administrative expenses</t>
  </si>
  <si>
    <t>refinery overhead</t>
  </si>
  <si>
    <t>X</t>
  </si>
  <si>
    <t>Y</t>
  </si>
  <si>
    <t>Direct Labor</t>
  </si>
  <si>
    <t>Total</t>
  </si>
  <si>
    <t>Revenue</t>
  </si>
  <si>
    <t>Cost Benefit Analysis of Primary Product</t>
  </si>
  <si>
    <t>Amt of PP</t>
  </si>
  <si>
    <t>Gross Profit</t>
  </si>
  <si>
    <t>Cost Benefit Analysis of K</t>
  </si>
  <si>
    <t>Variable Costs</t>
  </si>
  <si>
    <t>Cost Benefit Analysis of M</t>
  </si>
  <si>
    <t>Amt of K</t>
  </si>
  <si>
    <t>Amt of M</t>
  </si>
  <si>
    <t>X/lb</t>
  </si>
  <si>
    <t>Y/lb</t>
  </si>
  <si>
    <t>Waste</t>
  </si>
  <si>
    <t xml:space="preserve">K / Waste  </t>
  </si>
  <si>
    <t>M / Waste</t>
  </si>
  <si>
    <t>Cost Benefit Analysis of Treatment</t>
  </si>
  <si>
    <t xml:space="preserve">T / Waste </t>
  </si>
  <si>
    <t>Amt to T</t>
  </si>
  <si>
    <t>Given</t>
  </si>
  <si>
    <t>TVC/lb</t>
  </si>
  <si>
    <t>GP/lb</t>
  </si>
  <si>
    <t>Previous Period</t>
  </si>
  <si>
    <t>DL/lb</t>
  </si>
  <si>
    <t>Projected (w/o VC)</t>
  </si>
  <si>
    <t>Total Revenue</t>
  </si>
  <si>
    <t>Total GP</t>
  </si>
  <si>
    <t>Primary Product (PP)</t>
  </si>
  <si>
    <t>Product K (K)</t>
  </si>
  <si>
    <t>Product M (M)</t>
  </si>
  <si>
    <t>Waste Treated (T)</t>
  </si>
  <si>
    <t>Total Profit</t>
  </si>
  <si>
    <t>Material X used</t>
  </si>
  <si>
    <t>Material Y Used</t>
  </si>
  <si>
    <t>Waste Balance</t>
  </si>
  <si>
    <t>Microsoft Excel 16.0 Answer Report</t>
  </si>
  <si>
    <t>Worksheet: [T1_TMP_chem.xlsx]Sheet2</t>
  </si>
  <si>
    <t>Report Created: 2/23/2025 5:08:25 PM</t>
  </si>
  <si>
    <t>Result: Solver found a solution.  All Constraints and optimality conditions are satisfied.</t>
  </si>
  <si>
    <t>Solver Engine</t>
  </si>
  <si>
    <t>Engine: Simplex LP</t>
  </si>
  <si>
    <t>Solution Time: 0.047 Seconds.</t>
  </si>
  <si>
    <t>Iterations: 4 Subproblems: 0</t>
  </si>
  <si>
    <t>Solver Options</t>
  </si>
  <si>
    <t>Max Time Unlimited,  Iterations Unlimited, Precision 0.000001</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</si>
  <si>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</si>
  <si>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</si>
  <si>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</si>
  <si>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</si>
  <si>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</si>
  <si>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</si>
  <si>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</si>
  <si>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</si>
  <si>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</si>
  <si>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</si>
  <si>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</si>
  <si>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</si>
  <si>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</si>
  <si>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$B$5</t>
  </si>
  <si>
    <t>$B$1</t>
  </si>
  <si>
    <t>Contin</t>
  </si>
  <si>
    <t>$B$2</t>
  </si>
  <si>
    <t>$B$3</t>
  </si>
  <si>
    <t>$B$4</t>
  </si>
  <si>
    <t>$D$1</t>
  </si>
  <si>
    <t>$D$1&lt;=7500</t>
  </si>
  <si>
    <t>Binding</t>
  </si>
  <si>
    <t>$D$2</t>
  </si>
  <si>
    <t>$D$2&lt;=9000</t>
  </si>
  <si>
    <t>$D$3</t>
  </si>
  <si>
    <t>$D$3=0</t>
  </si>
  <si>
    <t>$B$1&gt;=0</t>
  </si>
  <si>
    <t>Not Binding</t>
  </si>
  <si>
    <t>$B$2&gt;=0</t>
  </si>
  <si>
    <t>$B$3&gt;=0</t>
  </si>
  <si>
    <t>$B$4&gt;=0</t>
  </si>
  <si>
    <t>Microsoft Excel 16.0 Sensitivity Report</t>
  </si>
  <si>
    <t>Report Created: 2/23/2025 5:08:26 PM</t>
  </si>
  <si>
    <t>Final</t>
  </si>
  <si>
    <t>Value</t>
  </si>
  <si>
    <t>Reduced</t>
  </si>
  <si>
    <t>Cost</t>
  </si>
  <si>
    <t>Objective</t>
  </si>
  <si>
    <t>Coefficient</t>
  </si>
  <si>
    <t>Allowable</t>
  </si>
  <si>
    <t>Increase</t>
  </si>
  <si>
    <t>Decrease</t>
  </si>
  <si>
    <t>Shadow</t>
  </si>
  <si>
    <t>Price</t>
  </si>
  <si>
    <t>Constraint</t>
  </si>
  <si>
    <t>R.H. Side</t>
  </si>
  <si>
    <t>Microsoft Excel 16.0 Limits Report</t>
  </si>
  <si>
    <t>Report Created: 2/23/2025 5:08:27 PM</t>
  </si>
  <si>
    <t>Variable</t>
  </si>
  <si>
    <t>Lower</t>
  </si>
  <si>
    <t>Limit</t>
  </si>
  <si>
    <t>Result</t>
  </si>
  <si>
    <t>Upper</t>
  </si>
  <si>
    <t>w/oK but buy Y</t>
  </si>
  <si>
    <t>w/o K, not buy Y</t>
  </si>
  <si>
    <t>PP</t>
  </si>
  <si>
    <t>M</t>
  </si>
  <si>
    <t>T</t>
  </si>
  <si>
    <t>Profit</t>
  </si>
  <si>
    <t>Worksheet: [T1_TMP_chem.xlsx]Sheet1</t>
  </si>
  <si>
    <t>Report Created: 2/25/2025 1:15:41 PM</t>
  </si>
  <si>
    <t>Solution Time: 0.031 Seconds.</t>
  </si>
  <si>
    <t>Iterations: 3 Subproblems: 0</t>
  </si>
  <si>
    <t>Max Time Unlimited,  Iterations Unlimited, Precision 0.000001, Use Automatic Scaling</t>
  </si>
  <si>
    <t>$B$6</t>
  </si>
  <si>
    <t>$C$1</t>
  </si>
  <si>
    <t>$C$1&lt;=7500</t>
  </si>
  <si>
    <t>$C$2</t>
  </si>
  <si>
    <t>$C$2&lt;=9000</t>
  </si>
  <si>
    <t>$C$3</t>
  </si>
  <si>
    <t>$C$3=0</t>
  </si>
  <si>
    <t>Report Created: 2/25/2025 1:15:42 PM</t>
  </si>
  <si>
    <t>Report Created: 2/25/2025 1:15:43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</si>
</sst>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indexed="18"/>
      <name val="Aptos Narrow"/>
      <family val="2"/>
      <scheme val="minor"/>
    </font>
  </fonts>
  <fills count="2">
    <fill>
      <patternFill patternType="none"/>
    </fill>
    <fill>
      <patternFill patternType="gray125"/>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2" fillId="0" borderId="0" xfId="0" applyFont="1"/>
    <xf numFmtId="44" fontId="0" fillId="0" borderId="0" xfId="1" applyFont="1"/>
    <xf numFmtId="44" fontId="0" fillId="0" borderId="0" xfId="0" applyNumberFormat="1"/>
    <xf numFmtId="0" fontId="0" fillId="0" borderId="4" xfId="0" applyBorder="1"/>
    <xf numFmtId="0" fontId="3" fillId="0" borderId="3" xfId="0" applyFont="1" applyBorder="1" applyAlignment="1">
      <alignment horizontal="center"/>
    </xf>
    <xf numFmtId="0" fontId="0" fillId="0" borderId="5" xfId="0" applyBorder="1"/>
    <xf numFmtId="0" fontId="3" fillId="0" borderId="1" xfId="0" applyFont="1" applyBorder="1" applyAlignment="1">
      <alignment horizontal="center"/>
    </xf>
    <xf numFmtId="0" fontId="3" fillId="0" borderId="2" xfId="0" applyFont="1" applyBorder="1" applyAlignment="1">
      <alignment horizontal="center"/>
    </xf>
    <xf numFmtId="0" fontId="0" fillId="0" borderId="0" xfId="0" applyAlignment="1">
      <alignment horizontal="center"/>
    </xf>
    <xf numFmtId="0" fontId="0" fillId="0" borderId="0" xfId="0"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5</xdr:col>
      <xdr:colOff>0</xdr:colOff>
      <xdr:row>7</xdr:row>
      <xdr:rowOff>1</xdr:rowOff>
    </xdr:from>
    <xdr:to>
      <xdr:col>14</xdr:col>
      <xdr:colOff>0</xdr:colOff>
      <xdr:row>11</xdr:row>
      <xdr:rowOff>1</xdr:rowOff>
    </xdr:to>
    <xdr:sp macro="" textlink="">
      <xdr:nvSpPr>
        <xdr:cNvPr id="2" name="TextBox 1">
          <a:extLst>
            <a:ext uri="{FF2B5EF4-FFF2-40B4-BE49-F238E27FC236}">
              <a16:creationId xmlns:a16="http://schemas.microsoft.com/office/drawing/2014/main" id="{D0F880CB-D015-838E-8DCD-ED1D8E52B775}"/>
            </a:ext>
          </a:extLst>
        </xdr:cNvPr>
        <xdr:cNvSpPr txBox="1"/>
      </xdr:nvSpPr>
      <xdr:spPr>
        <a:xfrm>
          <a:off x="4914900" y="1333501"/>
          <a:ext cx="78771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we can see here, </a:t>
          </a:r>
          <a:r>
            <a:rPr lang="en-US"/>
            <a:t>The primary product is profitable at </a:t>
          </a:r>
          <a:r>
            <a:rPr lang="en-US" b="1"/>
            <a:t>$1.03 per pound</a:t>
          </a:r>
          <a:r>
            <a:rPr lang="en-US"/>
            <a:t>, while </a:t>
          </a:r>
          <a:r>
            <a:rPr lang="en-US" b="1"/>
            <a:t>Products K (-$0.07), M ($0.19), and Treatment (-$0.25) contribute to losses</a:t>
          </a:r>
          <a:r>
            <a:rPr lang="en-US"/>
            <a:t>. To improve profitability,</a:t>
          </a:r>
          <a:r>
            <a:rPr lang="en-US" baseline="0"/>
            <a:t> the primary product is still the main priority to absorb the costs of waste disposal. </a:t>
          </a:r>
          <a:endParaRPr lang="en-US" sz="1100"/>
        </a:p>
      </xdr:txBody>
    </xdr:sp>
    <xdr:clientData/>
  </xdr:twoCellAnchor>
  <xdr:twoCellAnchor>
    <xdr:from>
      <xdr:col>5</xdr:col>
      <xdr:colOff>0</xdr:colOff>
      <xdr:row>18</xdr:row>
      <xdr:rowOff>1</xdr:rowOff>
    </xdr:from>
    <xdr:to>
      <xdr:col>14</xdr:col>
      <xdr:colOff>0</xdr:colOff>
      <xdr:row>22</xdr:row>
      <xdr:rowOff>1</xdr:rowOff>
    </xdr:to>
    <xdr:sp macro="" textlink="">
      <xdr:nvSpPr>
        <xdr:cNvPr id="3" name="TextBox 2">
          <a:extLst>
            <a:ext uri="{FF2B5EF4-FFF2-40B4-BE49-F238E27FC236}">
              <a16:creationId xmlns:a16="http://schemas.microsoft.com/office/drawing/2014/main" id="{83B3780D-2150-4808-BC4A-DEA31E2FC976}"/>
            </a:ext>
          </a:extLst>
        </xdr:cNvPr>
        <xdr:cNvSpPr txBox="1"/>
      </xdr:nvSpPr>
      <xdr:spPr>
        <a:xfrm>
          <a:off x="4914900" y="1333501"/>
          <a:ext cx="78771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we can see here, </a:t>
          </a:r>
          <a:r>
            <a:rPr lang="en-US"/>
            <a:t>The primary product is profitable at </a:t>
          </a:r>
          <a:r>
            <a:rPr lang="en-US" b="1"/>
            <a:t>$1.03 per pound</a:t>
          </a:r>
          <a:r>
            <a:rPr lang="en-US"/>
            <a:t>, while </a:t>
          </a:r>
          <a:r>
            <a:rPr lang="en-US" b="1"/>
            <a:t>Products K (-$0.73), M (-$0.18), and Treatment (-$0.25) contribute to losses</a:t>
          </a:r>
          <a:r>
            <a:rPr lang="en-US"/>
            <a:t>. To improve profitability,</a:t>
          </a:r>
          <a:r>
            <a:rPr lang="en-US" baseline="0"/>
            <a:t> the primary product is still the main priority to absorb the costs of waste disposal. Interestingly, when accounting for the costs of X, K costs more than treatment.</a:t>
          </a:r>
          <a:endParaRPr lang="en-US" sz="1100"/>
        </a:p>
      </xdr:txBody>
    </xdr:sp>
    <xdr:clientData/>
  </xdr:twoCellAnchor>
  <xdr:twoCellAnchor>
    <xdr:from>
      <xdr:col>5</xdr:col>
      <xdr:colOff>0</xdr:colOff>
      <xdr:row>18</xdr:row>
      <xdr:rowOff>0</xdr:rowOff>
    </xdr:from>
    <xdr:to>
      <xdr:col>14</xdr:col>
      <xdr:colOff>0</xdr:colOff>
      <xdr:row>25</xdr:row>
      <xdr:rowOff>123825</xdr:rowOff>
    </xdr:to>
    <xdr:sp macro="" textlink="">
      <xdr:nvSpPr>
        <xdr:cNvPr id="4" name="TextBox 3">
          <a:extLst>
            <a:ext uri="{FF2B5EF4-FFF2-40B4-BE49-F238E27FC236}">
              <a16:creationId xmlns:a16="http://schemas.microsoft.com/office/drawing/2014/main" id="{DDBC2136-3E44-4887-8FFA-403E5D729D03}"/>
            </a:ext>
          </a:extLst>
        </xdr:cNvPr>
        <xdr:cNvSpPr txBox="1"/>
      </xdr:nvSpPr>
      <xdr:spPr>
        <a:xfrm>
          <a:off x="4914900" y="3429000"/>
          <a:ext cx="787717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only meaningful discussion here is if we proceed under the preposition that the costs for 7500 units of X and 9000 units of Y has been imbibed in some other account as if it hasn't and is being accounted for as a cost incurred within the upcoming month than we are screwed as that is not enough materials to even produce the primary product at the breakeven point. Using the previous month for its baseline unit costs and profits, we can see that past the breakeven point, the PP still has the highest profit contribution or contribution margin. Hence, if we proceed with that in mind and prioritize PP's production, we will be left with 3000 units of X (as 1 unit of X and 2 units of Y is needed for every lb of PP). With the costs already paid for, it is more profitable to use 1500 units of X to produce 3000 units of K (with a contribution margin of $0.60) than to buy 1500 units of Y to produce 3000 units of M (with a contribution margin of $0.19). Hence, there would also be no need to consider treatment and we would still have 1500 units of K to be used the month after. </a:t>
          </a:r>
          <a:endParaRPr lang="en-US" sz="1100"/>
        </a:p>
      </xdr:txBody>
    </xdr:sp>
    <xdr:clientData/>
  </xdr:twoCellAnchor>
  <xdr:twoCellAnchor>
    <xdr:from>
      <xdr:col>5</xdr:col>
      <xdr:colOff>0</xdr:colOff>
      <xdr:row>33</xdr:row>
      <xdr:rowOff>1</xdr:rowOff>
    </xdr:from>
    <xdr:to>
      <xdr:col>14</xdr:col>
      <xdr:colOff>0</xdr:colOff>
      <xdr:row>37</xdr:row>
      <xdr:rowOff>1</xdr:rowOff>
    </xdr:to>
    <xdr:sp macro="" textlink="">
      <xdr:nvSpPr>
        <xdr:cNvPr id="5" name="TextBox 4">
          <a:extLst>
            <a:ext uri="{FF2B5EF4-FFF2-40B4-BE49-F238E27FC236}">
              <a16:creationId xmlns:a16="http://schemas.microsoft.com/office/drawing/2014/main" id="{147B4EDA-6120-4BDE-9664-EB4264D1948C}"/>
            </a:ext>
          </a:extLst>
        </xdr:cNvPr>
        <xdr:cNvSpPr txBox="1"/>
      </xdr:nvSpPr>
      <xdr:spPr>
        <a:xfrm>
          <a:off x="4925786" y="3429001"/>
          <a:ext cx="7892143"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a:t>
          </a:r>
          <a:r>
            <a:rPr lang="en-US" sz="1100" baseline="0"/>
            <a:t> we can see here, buying additional Y (a total of 6000*Y for P and 2500*Y for M) is the optimal move here to maximize Gross Profit as 46000 is greater than 27600</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787-4FAA-417F-A393-613D898F3A6C}">
  <dimension ref="A1:S41"/>
  <sheetViews>
    <sheetView tabSelected="1" topLeftCell="A16" zoomScale="70" zoomScaleNormal="70" workbookViewId="0">
      <selection activeCell="I38" sqref="I38"/>
    </sheetView>
  </sheetViews>
  <sheetFormatPr defaultRowHeight="15" x14ac:dyDescent="0.25"/>
  <cols>
    <col min="1" max="1" width="19.28515625" bestFit="1" customWidth="1"/>
    <col min="2" max="2" width="27" customWidth="1"/>
    <col min="3" max="3" width="19.28515625" customWidth="1"/>
    <col min="6" max="6" width="14.140625" bestFit="1" customWidth="1"/>
    <col min="7" max="7" width="18.7109375" customWidth="1"/>
    <col min="8" max="8" width="12.140625" bestFit="1" customWidth="1"/>
    <col min="10" max="10" width="13.85546875" bestFit="1" customWidth="1"/>
    <col min="11" max="11" width="17.28515625" customWidth="1"/>
    <col min="12" max="12" width="9.5703125" bestFit="1" customWidth="1"/>
    <col min="14" max="14" width="14.140625" bestFit="1" customWidth="1"/>
    <col min="15" max="15" width="25.140625" customWidth="1"/>
  </cols>
  <sheetData>
    <row r="1" spans="1:19" x14ac:dyDescent="0.25">
      <c r="A1" s="10" t="s">
        <v>27</v>
      </c>
      <c r="B1" s="9" t="s">
        <v>8</v>
      </c>
      <c r="C1" s="9"/>
      <c r="F1" s="9" t="s">
        <v>11</v>
      </c>
      <c r="G1" s="9"/>
      <c r="J1" s="9" t="s">
        <v>13</v>
      </c>
      <c r="K1" s="9"/>
      <c r="N1" s="9" t="s">
        <v>21</v>
      </c>
      <c r="O1" s="9"/>
    </row>
    <row r="2" spans="1:19" x14ac:dyDescent="0.25">
      <c r="A2" s="10"/>
      <c r="B2" s="1" t="s">
        <v>7</v>
      </c>
      <c r="C2" s="2">
        <f>5.7*E2</f>
        <v>68400</v>
      </c>
      <c r="D2" t="s">
        <v>9</v>
      </c>
      <c r="E2">
        <v>12000</v>
      </c>
      <c r="F2" s="1" t="s">
        <v>7</v>
      </c>
      <c r="G2" s="2">
        <f>0.8*I4</f>
        <v>6400</v>
      </c>
      <c r="H2" t="s">
        <v>18</v>
      </c>
      <c r="I2">
        <f>E2/3</f>
        <v>4000</v>
      </c>
      <c r="J2" s="1" t="s">
        <v>7</v>
      </c>
      <c r="K2" s="2">
        <f>0.65*M4</f>
        <v>5200</v>
      </c>
      <c r="L2" t="s">
        <v>18</v>
      </c>
      <c r="M2">
        <f>E2/3</f>
        <v>4000</v>
      </c>
      <c r="N2" s="1" t="s">
        <v>7</v>
      </c>
      <c r="O2" s="2">
        <v>0</v>
      </c>
      <c r="P2" t="s">
        <v>18</v>
      </c>
      <c r="Q2">
        <f>E2/3</f>
        <v>4000</v>
      </c>
    </row>
    <row r="3" spans="1:19" x14ac:dyDescent="0.25">
      <c r="A3" s="10"/>
      <c r="B3" s="1" t="s">
        <v>0</v>
      </c>
      <c r="C3" s="2"/>
      <c r="F3" s="1" t="s">
        <v>12</v>
      </c>
      <c r="G3" s="2"/>
      <c r="H3" t="s">
        <v>19</v>
      </c>
      <c r="I3">
        <f xml:space="preserve"> 1</f>
        <v>1</v>
      </c>
      <c r="J3" s="1" t="s">
        <v>12</v>
      </c>
      <c r="K3" s="2"/>
      <c r="L3" t="s">
        <v>20</v>
      </c>
      <c r="M3">
        <f>1</f>
        <v>1</v>
      </c>
      <c r="N3" s="1" t="s">
        <v>12</v>
      </c>
      <c r="O3" s="2"/>
      <c r="P3" t="s">
        <v>22</v>
      </c>
      <c r="Q3">
        <f>1</f>
        <v>1</v>
      </c>
    </row>
    <row r="4" spans="1:19" x14ac:dyDescent="0.25">
      <c r="A4" s="10"/>
      <c r="B4" t="s">
        <v>1</v>
      </c>
      <c r="C4" s="2">
        <v>13000</v>
      </c>
      <c r="F4" t="s">
        <v>3</v>
      </c>
      <c r="G4" s="2">
        <f>E7*I2</f>
        <v>5333.333333333333</v>
      </c>
      <c r="H4" t="s">
        <v>14</v>
      </c>
      <c r="I4">
        <f>I2*I3*2</f>
        <v>8000</v>
      </c>
      <c r="J4" t="s">
        <v>4</v>
      </c>
      <c r="K4" s="2">
        <f>E8*M2</f>
        <v>2916.6666666666665</v>
      </c>
      <c r="L4" t="s">
        <v>15</v>
      </c>
      <c r="M4">
        <f>M2*M3*2</f>
        <v>8000</v>
      </c>
      <c r="N4" t="s">
        <v>5</v>
      </c>
      <c r="O4" s="2">
        <f>Q4*0.25</f>
        <v>1000</v>
      </c>
      <c r="P4" t="s">
        <v>23</v>
      </c>
      <c r="Q4">
        <f>Q2*Q3</f>
        <v>4000</v>
      </c>
    </row>
    <row r="5" spans="1:19" x14ac:dyDescent="0.25">
      <c r="A5" s="10"/>
      <c r="B5" t="s">
        <v>2</v>
      </c>
      <c r="C5" s="2">
        <v>4500</v>
      </c>
      <c r="F5" t="s">
        <v>5</v>
      </c>
      <c r="G5" s="2">
        <f>0.2*I4</f>
        <v>1600</v>
      </c>
      <c r="J5" t="s">
        <v>5</v>
      </c>
      <c r="K5" s="2">
        <f>0.1*M4</f>
        <v>800</v>
      </c>
      <c r="N5" s="1" t="s">
        <v>6</v>
      </c>
      <c r="O5" s="2">
        <f>O4</f>
        <v>1000</v>
      </c>
      <c r="P5" t="s">
        <v>25</v>
      </c>
      <c r="Q5" s="3">
        <f>O5/Q4</f>
        <v>0.25</v>
      </c>
    </row>
    <row r="6" spans="1:19" x14ac:dyDescent="0.25">
      <c r="A6" s="10"/>
      <c r="B6" s="1" t="s">
        <v>12</v>
      </c>
      <c r="C6" s="2"/>
      <c r="F6" s="1" t="s">
        <v>6</v>
      </c>
      <c r="G6" s="2">
        <f>G4+G5</f>
        <v>6933.333333333333</v>
      </c>
      <c r="H6" t="s">
        <v>25</v>
      </c>
      <c r="I6" s="3">
        <f>G6/I4</f>
        <v>0.86666666666666659</v>
      </c>
      <c r="J6" s="1" t="s">
        <v>6</v>
      </c>
      <c r="K6" s="2">
        <f>SUM(K4:K5)</f>
        <v>3716.6666666666665</v>
      </c>
      <c r="L6" t="s">
        <v>25</v>
      </c>
      <c r="M6" s="3">
        <f>K6/M4</f>
        <v>0.46458333333333329</v>
      </c>
      <c r="N6" s="1" t="s">
        <v>10</v>
      </c>
      <c r="O6" s="2">
        <f>O2-O5</f>
        <v>-1000</v>
      </c>
      <c r="P6" t="s">
        <v>26</v>
      </c>
      <c r="Q6" s="3">
        <f>O6/Q4</f>
        <v>-0.25</v>
      </c>
    </row>
    <row r="7" spans="1:19" x14ac:dyDescent="0.25">
      <c r="A7" s="10"/>
      <c r="B7" t="s">
        <v>3</v>
      </c>
      <c r="C7" s="2">
        <f>E7*E2</f>
        <v>16000</v>
      </c>
      <c r="D7" t="s">
        <v>16</v>
      </c>
      <c r="E7">
        <f>16/12</f>
        <v>1.3333333333333333</v>
      </c>
      <c r="F7" s="1" t="s">
        <v>10</v>
      </c>
      <c r="G7" s="2">
        <f>G2-G6</f>
        <v>-533.33333333333303</v>
      </c>
      <c r="H7" t="s">
        <v>26</v>
      </c>
      <c r="I7" s="3">
        <f>G7/I4</f>
        <v>-6.6666666666666624E-2</v>
      </c>
      <c r="J7" s="1" t="s">
        <v>10</v>
      </c>
      <c r="K7" s="2">
        <f>K2-K6</f>
        <v>1483.3333333333335</v>
      </c>
      <c r="L7" t="s">
        <v>26</v>
      </c>
      <c r="M7" s="3">
        <f>K7/M4</f>
        <v>0.18541666666666667</v>
      </c>
    </row>
    <row r="8" spans="1:19" x14ac:dyDescent="0.25">
      <c r="A8" s="10"/>
      <c r="B8" t="s">
        <v>4</v>
      </c>
      <c r="C8" s="2">
        <f>(E8*2)*E2</f>
        <v>17500</v>
      </c>
      <c r="D8" t="s">
        <v>17</v>
      </c>
      <c r="E8">
        <f>17.5/24</f>
        <v>0.72916666666666663</v>
      </c>
      <c r="I8" s="3"/>
    </row>
    <row r="9" spans="1:19" x14ac:dyDescent="0.25">
      <c r="A9" s="10"/>
      <c r="B9" t="s">
        <v>5</v>
      </c>
      <c r="C9" s="2">
        <f>(E9)*E2</f>
        <v>5000</v>
      </c>
      <c r="D9" t="s">
        <v>28</v>
      </c>
      <c r="E9" s="3">
        <f>5/12</f>
        <v>0.41666666666666669</v>
      </c>
    </row>
    <row r="10" spans="1:19" x14ac:dyDescent="0.25">
      <c r="A10" s="10"/>
      <c r="B10" s="1" t="s">
        <v>6</v>
      </c>
      <c r="C10" s="2">
        <f>SUM(C4:C9)</f>
        <v>56000</v>
      </c>
      <c r="D10" t="s">
        <v>25</v>
      </c>
      <c r="E10" s="3">
        <f>C10/E2</f>
        <v>4.666666666666667</v>
      </c>
    </row>
    <row r="11" spans="1:19" x14ac:dyDescent="0.25">
      <c r="A11" s="10"/>
      <c r="B11" s="1" t="s">
        <v>10</v>
      </c>
      <c r="C11" s="2">
        <f>C2-C10</f>
        <v>12400</v>
      </c>
      <c r="D11" t="s">
        <v>26</v>
      </c>
      <c r="E11" s="3">
        <f>C11/E2</f>
        <v>1.0333333333333334</v>
      </c>
    </row>
    <row r="12" spans="1:19" x14ac:dyDescent="0.25">
      <c r="A12" s="10" t="s">
        <v>29</v>
      </c>
      <c r="B12" s="9" t="s">
        <v>8</v>
      </c>
      <c r="C12" s="9"/>
      <c r="F12" s="9" t="s">
        <v>11</v>
      </c>
      <c r="G12" s="9"/>
      <c r="J12" s="9" t="s">
        <v>13</v>
      </c>
      <c r="K12" s="9"/>
      <c r="N12" s="9" t="s">
        <v>21</v>
      </c>
      <c r="O12" s="9"/>
      <c r="R12" t="s">
        <v>24</v>
      </c>
    </row>
    <row r="13" spans="1:19" x14ac:dyDescent="0.25">
      <c r="A13" s="10"/>
      <c r="B13" s="1" t="s">
        <v>7</v>
      </c>
      <c r="C13" s="2">
        <f>5.7*E13</f>
        <v>25650</v>
      </c>
      <c r="D13" t="s">
        <v>9</v>
      </c>
      <c r="E13">
        <v>4500</v>
      </c>
      <c r="F13" s="1" t="s">
        <v>7</v>
      </c>
      <c r="G13" s="2">
        <f>0.8*I15</f>
        <v>2400</v>
      </c>
      <c r="H13" t="s">
        <v>18</v>
      </c>
      <c r="I13">
        <f>E13/3</f>
        <v>1500</v>
      </c>
      <c r="J13" s="1" t="s">
        <v>7</v>
      </c>
      <c r="K13" s="2">
        <f>0.65*M15</f>
        <v>1950</v>
      </c>
      <c r="L13" t="s">
        <v>18</v>
      </c>
      <c r="M13">
        <f>E13/3</f>
        <v>1500</v>
      </c>
      <c r="N13" s="1" t="s">
        <v>7</v>
      </c>
      <c r="O13" s="2">
        <v>0</v>
      </c>
      <c r="P13" t="s">
        <v>18</v>
      </c>
      <c r="Q13">
        <f>E13/3</f>
        <v>1500</v>
      </c>
      <c r="R13" t="s">
        <v>3</v>
      </c>
      <c r="S13">
        <v>7500</v>
      </c>
    </row>
    <row r="14" spans="1:19" x14ac:dyDescent="0.25">
      <c r="A14" s="10"/>
      <c r="B14" s="1" t="s">
        <v>0</v>
      </c>
      <c r="C14" s="2"/>
      <c r="F14" s="1" t="s">
        <v>12</v>
      </c>
      <c r="G14" s="2"/>
      <c r="H14" t="s">
        <v>19</v>
      </c>
      <c r="I14">
        <f xml:space="preserve"> 1</f>
        <v>1</v>
      </c>
      <c r="J14" s="1" t="s">
        <v>12</v>
      </c>
      <c r="K14" s="2"/>
      <c r="L14" t="s">
        <v>20</v>
      </c>
      <c r="M14">
        <f>1</f>
        <v>1</v>
      </c>
      <c r="N14" s="1" t="s">
        <v>12</v>
      </c>
      <c r="O14" s="2"/>
      <c r="P14" t="s">
        <v>22</v>
      </c>
      <c r="Q14">
        <f>1</f>
        <v>1</v>
      </c>
      <c r="R14" t="s">
        <v>4</v>
      </c>
      <c r="S14">
        <v>9000</v>
      </c>
    </row>
    <row r="15" spans="1:19" x14ac:dyDescent="0.25">
      <c r="A15" s="10"/>
      <c r="B15" t="s">
        <v>1</v>
      </c>
      <c r="C15" s="2">
        <v>13000</v>
      </c>
      <c r="F15" t="s">
        <v>3</v>
      </c>
      <c r="G15" s="2">
        <v>0</v>
      </c>
      <c r="H15" t="s">
        <v>14</v>
      </c>
      <c r="I15">
        <f>I13*I14*2</f>
        <v>3000</v>
      </c>
      <c r="J15" t="s">
        <v>4</v>
      </c>
      <c r="K15" s="2">
        <f>E19*M13</f>
        <v>1093.75</v>
      </c>
      <c r="L15" t="s">
        <v>15</v>
      </c>
      <c r="M15">
        <f>M13*M14*2</f>
        <v>3000</v>
      </c>
      <c r="N15" t="s">
        <v>5</v>
      </c>
      <c r="O15" s="2">
        <f>Q15*0.25</f>
        <v>375</v>
      </c>
      <c r="P15" t="s">
        <v>23</v>
      </c>
      <c r="Q15">
        <f>Q13*Q14</f>
        <v>1500</v>
      </c>
    </row>
    <row r="16" spans="1:19" x14ac:dyDescent="0.25">
      <c r="A16" s="10"/>
      <c r="B16" t="s">
        <v>2</v>
      </c>
      <c r="C16" s="2">
        <v>4500</v>
      </c>
      <c r="F16" t="s">
        <v>5</v>
      </c>
      <c r="G16" s="2">
        <f>0.2*I15</f>
        <v>600</v>
      </c>
      <c r="J16" t="s">
        <v>5</v>
      </c>
      <c r="K16" s="2">
        <f>0.1*M15</f>
        <v>300</v>
      </c>
      <c r="N16" s="1" t="s">
        <v>6</v>
      </c>
      <c r="O16" s="2">
        <f>O15</f>
        <v>375</v>
      </c>
      <c r="P16" t="s">
        <v>25</v>
      </c>
      <c r="Q16" s="3">
        <f>O16/Q15</f>
        <v>0.25</v>
      </c>
    </row>
    <row r="17" spans="1:17" x14ac:dyDescent="0.25">
      <c r="A17" s="10"/>
      <c r="B17" s="1" t="s">
        <v>12</v>
      </c>
      <c r="C17" s="2"/>
      <c r="F17" s="1" t="s">
        <v>6</v>
      </c>
      <c r="G17" s="2">
        <f>G15+G16</f>
        <v>600</v>
      </c>
      <c r="H17" t="s">
        <v>25</v>
      </c>
      <c r="I17" s="3">
        <f>G17/I15</f>
        <v>0.2</v>
      </c>
      <c r="J17" s="1" t="s">
        <v>6</v>
      </c>
      <c r="K17" s="2">
        <f>SUM(K15:K16)</f>
        <v>1393.75</v>
      </c>
      <c r="L17" t="s">
        <v>25</v>
      </c>
      <c r="M17" s="3">
        <f>K17/M15</f>
        <v>0.46458333333333335</v>
      </c>
      <c r="N17" s="1" t="s">
        <v>10</v>
      </c>
      <c r="O17" s="2">
        <f>O13-O16</f>
        <v>-375</v>
      </c>
      <c r="P17" t="s">
        <v>26</v>
      </c>
      <c r="Q17" s="3">
        <f>O17/Q15</f>
        <v>-0.25</v>
      </c>
    </row>
    <row r="18" spans="1:17" x14ac:dyDescent="0.25">
      <c r="A18" s="10"/>
      <c r="B18" t="s">
        <v>3</v>
      </c>
      <c r="C18" s="2">
        <v>0</v>
      </c>
      <c r="D18" t="s">
        <v>16</v>
      </c>
      <c r="E18">
        <f>16/12</f>
        <v>1.3333333333333333</v>
      </c>
      <c r="F18" s="1" t="s">
        <v>10</v>
      </c>
      <c r="G18" s="2">
        <f>G13-G17</f>
        <v>1800</v>
      </c>
      <c r="H18" t="s">
        <v>26</v>
      </c>
      <c r="I18" s="3">
        <f>G18/I15</f>
        <v>0.6</v>
      </c>
      <c r="J18" s="1" t="s">
        <v>10</v>
      </c>
      <c r="K18" s="2">
        <f>K13-K17</f>
        <v>556.25</v>
      </c>
      <c r="L18" t="s">
        <v>26</v>
      </c>
      <c r="M18" s="3">
        <f>K18/M15</f>
        <v>0.18541666666666667</v>
      </c>
    </row>
    <row r="19" spans="1:17" x14ac:dyDescent="0.25">
      <c r="A19" s="10"/>
      <c r="B19" t="s">
        <v>4</v>
      </c>
      <c r="C19" s="2">
        <f>0</f>
        <v>0</v>
      </c>
      <c r="D19" t="s">
        <v>17</v>
      </c>
      <c r="E19">
        <f>17.5/24</f>
        <v>0.72916666666666663</v>
      </c>
      <c r="I19" s="3"/>
    </row>
    <row r="20" spans="1:17" x14ac:dyDescent="0.25">
      <c r="A20" s="10"/>
      <c r="B20" t="s">
        <v>5</v>
      </c>
      <c r="C20" s="2">
        <f>(E20)*E13</f>
        <v>1875</v>
      </c>
      <c r="D20" t="s">
        <v>28</v>
      </c>
      <c r="E20" s="3">
        <f>5/12</f>
        <v>0.41666666666666669</v>
      </c>
    </row>
    <row r="21" spans="1:17" x14ac:dyDescent="0.25">
      <c r="A21" s="10"/>
      <c r="B21" s="1" t="s">
        <v>6</v>
      </c>
      <c r="C21" s="2">
        <f>SUM(C15:C20)</f>
        <v>19375</v>
      </c>
      <c r="D21" t="s">
        <v>25</v>
      </c>
      <c r="E21" s="3">
        <f>C21/E13</f>
        <v>4.3055555555555554</v>
      </c>
    </row>
    <row r="22" spans="1:17" x14ac:dyDescent="0.25">
      <c r="A22" s="10"/>
      <c r="B22" s="1" t="s">
        <v>10</v>
      </c>
      <c r="C22" s="2">
        <f>C13-C21</f>
        <v>6275</v>
      </c>
      <c r="D22" t="s">
        <v>26</v>
      </c>
      <c r="E22" s="3">
        <f>C22/E13</f>
        <v>1.3944444444444444</v>
      </c>
    </row>
    <row r="23" spans="1:17" x14ac:dyDescent="0.25">
      <c r="B23" s="1" t="s">
        <v>30</v>
      </c>
      <c r="C23" s="3">
        <f>C13+G13</f>
        <v>28050</v>
      </c>
    </row>
    <row r="24" spans="1:17" x14ac:dyDescent="0.25">
      <c r="B24" s="1" t="s">
        <v>31</v>
      </c>
      <c r="C24" s="3">
        <f>C22+G18</f>
        <v>8075</v>
      </c>
    </row>
    <row r="27" spans="1:17" x14ac:dyDescent="0.25">
      <c r="B27" s="9" t="s">
        <v>8</v>
      </c>
      <c r="C27" s="9"/>
      <c r="F27" s="9" t="s">
        <v>13</v>
      </c>
      <c r="G27" s="9"/>
      <c r="J27" s="9" t="s">
        <v>21</v>
      </c>
      <c r="K27" s="9"/>
      <c r="N27" t="s">
        <v>24</v>
      </c>
    </row>
    <row r="28" spans="1:17" x14ac:dyDescent="0.25">
      <c r="B28" s="1" t="s">
        <v>7</v>
      </c>
      <c r="C28" s="2">
        <f>5.7*E28</f>
        <v>42750</v>
      </c>
      <c r="D28" t="s">
        <v>9</v>
      </c>
      <c r="E28">
        <v>7500</v>
      </c>
      <c r="F28" s="1" t="s">
        <v>7</v>
      </c>
      <c r="G28" s="2">
        <f>0.65*I30</f>
        <v>3250</v>
      </c>
      <c r="H28" t="s">
        <v>18</v>
      </c>
      <c r="I28">
        <f>E28/3</f>
        <v>2500</v>
      </c>
      <c r="J28" s="1" t="s">
        <v>7</v>
      </c>
      <c r="K28" s="2">
        <v>0</v>
      </c>
      <c r="L28" t="s">
        <v>18</v>
      </c>
      <c r="M28">
        <f>E28/3</f>
        <v>2500</v>
      </c>
      <c r="N28" t="s">
        <v>3</v>
      </c>
      <c r="O28">
        <v>7500</v>
      </c>
    </row>
    <row r="29" spans="1:17" x14ac:dyDescent="0.25">
      <c r="B29" s="1" t="s">
        <v>0</v>
      </c>
      <c r="C29" s="2"/>
      <c r="F29" s="1" t="s">
        <v>12</v>
      </c>
      <c r="G29" s="2"/>
      <c r="H29" t="s">
        <v>20</v>
      </c>
      <c r="I29">
        <f>1</f>
        <v>1</v>
      </c>
      <c r="J29" s="1" t="s">
        <v>12</v>
      </c>
      <c r="K29" s="2"/>
      <c r="L29" t="s">
        <v>22</v>
      </c>
      <c r="M29">
        <f>1</f>
        <v>1</v>
      </c>
      <c r="N29" t="s">
        <v>4</v>
      </c>
      <c r="O29">
        <v>9000</v>
      </c>
    </row>
    <row r="30" spans="1:17" x14ac:dyDescent="0.25">
      <c r="B30" t="s">
        <v>1</v>
      </c>
      <c r="C30" s="2">
        <v>13000</v>
      </c>
      <c r="F30" t="s">
        <v>4</v>
      </c>
      <c r="G30" s="2">
        <f>E34*I28</f>
        <v>1822.9166666666665</v>
      </c>
      <c r="H30" t="s">
        <v>15</v>
      </c>
      <c r="I30">
        <f>I28*I29*2</f>
        <v>5000</v>
      </c>
      <c r="J30" t="s">
        <v>5</v>
      </c>
      <c r="K30" s="2">
        <f>M30*0.25</f>
        <v>625</v>
      </c>
      <c r="L30" t="s">
        <v>23</v>
      </c>
      <c r="M30">
        <f>M28*M29</f>
        <v>2500</v>
      </c>
    </row>
    <row r="31" spans="1:17" x14ac:dyDescent="0.25">
      <c r="B31" t="s">
        <v>2</v>
      </c>
      <c r="C31" s="2">
        <v>4500</v>
      </c>
      <c r="F31" t="s">
        <v>5</v>
      </c>
      <c r="G31" s="2">
        <f>0.1*I30</f>
        <v>500</v>
      </c>
      <c r="J31" s="1" t="s">
        <v>6</v>
      </c>
      <c r="K31" s="2">
        <f>K30</f>
        <v>625</v>
      </c>
      <c r="L31" t="s">
        <v>25</v>
      </c>
      <c r="M31" s="3">
        <f>K31/M30</f>
        <v>0.25</v>
      </c>
    </row>
    <row r="32" spans="1:17" x14ac:dyDescent="0.25">
      <c r="B32" s="1" t="s">
        <v>12</v>
      </c>
      <c r="C32" s="2"/>
      <c r="F32" s="1" t="s">
        <v>6</v>
      </c>
      <c r="G32" s="2">
        <f>SUM(G30:G31)</f>
        <v>2322.9166666666665</v>
      </c>
      <c r="H32" t="s">
        <v>25</v>
      </c>
      <c r="I32" s="3">
        <f>G32/I30</f>
        <v>0.46458333333333329</v>
      </c>
      <c r="J32" s="1" t="s">
        <v>10</v>
      </c>
      <c r="K32" s="2">
        <f>K28-K31</f>
        <v>-625</v>
      </c>
      <c r="L32" t="s">
        <v>26</v>
      </c>
      <c r="M32" s="3">
        <f>K32/M30</f>
        <v>-0.25</v>
      </c>
    </row>
    <row r="33" spans="1:9" x14ac:dyDescent="0.25">
      <c r="B33" t="s">
        <v>3</v>
      </c>
      <c r="C33" s="2">
        <v>0</v>
      </c>
      <c r="D33" t="s">
        <v>16</v>
      </c>
      <c r="E33">
        <f>16/12</f>
        <v>1.3333333333333333</v>
      </c>
      <c r="F33" s="1" t="s">
        <v>10</v>
      </c>
      <c r="G33" s="2">
        <f>G28-G32</f>
        <v>927.08333333333348</v>
      </c>
      <c r="H33" t="s">
        <v>26</v>
      </c>
      <c r="I33" s="3">
        <f>G33/I30</f>
        <v>0.1854166666666667</v>
      </c>
    </row>
    <row r="34" spans="1:9" x14ac:dyDescent="0.25">
      <c r="B34" t="s">
        <v>4</v>
      </c>
      <c r="C34" s="2">
        <f>6000*E34</f>
        <v>4375</v>
      </c>
      <c r="D34" t="s">
        <v>17</v>
      </c>
      <c r="E34">
        <f>17.5/24</f>
        <v>0.72916666666666663</v>
      </c>
      <c r="I34" s="3"/>
    </row>
    <row r="35" spans="1:9" x14ac:dyDescent="0.25">
      <c r="B35" t="s">
        <v>5</v>
      </c>
      <c r="C35" s="2">
        <f>(E35)*E28</f>
        <v>3125</v>
      </c>
      <c r="D35" t="s">
        <v>28</v>
      </c>
      <c r="E35" s="3">
        <f>5/12</f>
        <v>0.41666666666666669</v>
      </c>
    </row>
    <row r="36" spans="1:9" x14ac:dyDescent="0.25">
      <c r="B36" s="1" t="s">
        <v>6</v>
      </c>
      <c r="C36" s="2">
        <f>SUM(C30:C35)</f>
        <v>25000</v>
      </c>
      <c r="D36" t="s">
        <v>25</v>
      </c>
      <c r="E36" s="3">
        <f>C36/E28</f>
        <v>3.3333333333333335</v>
      </c>
    </row>
    <row r="37" spans="1:9" x14ac:dyDescent="0.25">
      <c r="B37" s="1" t="s">
        <v>10</v>
      </c>
      <c r="C37" s="2">
        <f>C28-C36</f>
        <v>17750</v>
      </c>
      <c r="D37" t="s">
        <v>26</v>
      </c>
      <c r="E37" s="3">
        <f>C37/E28</f>
        <v>2.3666666666666667</v>
      </c>
    </row>
    <row r="38" spans="1:9" x14ac:dyDescent="0.25">
      <c r="A38" s="10" t="s">
        <v>103</v>
      </c>
      <c r="B38" s="1" t="s">
        <v>30</v>
      </c>
      <c r="C38" s="3">
        <f>C28+G28</f>
        <v>46000</v>
      </c>
    </row>
    <row r="39" spans="1:9" x14ac:dyDescent="0.25">
      <c r="A39" s="10"/>
      <c r="B39" s="1" t="s">
        <v>31</v>
      </c>
      <c r="C39" s="3">
        <f>C37+G33</f>
        <v>18677.083333333332</v>
      </c>
    </row>
    <row r="40" spans="1:9" x14ac:dyDescent="0.25">
      <c r="A40" s="10" t="s">
        <v>104</v>
      </c>
      <c r="B40" t="s">
        <v>30</v>
      </c>
      <c r="C40">
        <v>27600</v>
      </c>
    </row>
    <row r="41" spans="1:9" x14ac:dyDescent="0.25">
      <c r="A41" s="10"/>
      <c r="B41" t="s">
        <v>31</v>
      </c>
      <c r="C41">
        <v>6831.25</v>
      </c>
    </row>
  </sheetData>
  <mergeCells count="15">
    <mergeCell ref="B1:C1"/>
    <mergeCell ref="F1:G1"/>
    <mergeCell ref="J1:K1"/>
    <mergeCell ref="N1:O1"/>
    <mergeCell ref="A1:A11"/>
    <mergeCell ref="B12:C12"/>
    <mergeCell ref="F12:G12"/>
    <mergeCell ref="J12:K12"/>
    <mergeCell ref="N12:O12"/>
    <mergeCell ref="A12:A22"/>
    <mergeCell ref="B27:C27"/>
    <mergeCell ref="F27:G27"/>
    <mergeCell ref="J27:K27"/>
    <mergeCell ref="A40:A41"/>
    <mergeCell ref="A38:A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059CA-9370-46BD-976A-142F971D87DF}">
  <dimension ref="A1:G35"/>
  <sheetViews>
    <sheetView showGridLines="0" topLeftCell="A4" workbookViewId="0"/>
  </sheetViews>
  <sheetFormatPr defaultRowHeight="15" x14ac:dyDescent="0.25"/>
  <cols>
    <col min="1" max="1" width="2.28515625" customWidth="1"/>
    <col min="2" max="2" width="5.28515625" bestFit="1" customWidth="1"/>
    <col min="3" max="3" width="19.5703125" bestFit="1" customWidth="1"/>
    <col min="4" max="4" width="13.5703125" bestFit="1" customWidth="1"/>
    <col min="5" max="6" width="11.28515625" bestFit="1" customWidth="1"/>
    <col min="7" max="7" width="5.7109375" bestFit="1" customWidth="1"/>
  </cols>
  <sheetData>
    <row r="1" spans="1:5" x14ac:dyDescent="0.25">
      <c r="A1" s="1" t="s">
        <v>40</v>
      </c>
    </row>
    <row r="2" spans="1:5" x14ac:dyDescent="0.25">
      <c r="A2" s="1" t="s">
        <v>41</v>
      </c>
    </row>
    <row r="3" spans="1:5" x14ac:dyDescent="0.25">
      <c r="A3" s="1" t="s">
        <v>42</v>
      </c>
    </row>
    <row r="4" spans="1:5" x14ac:dyDescent="0.25">
      <c r="A4" s="1" t="s">
        <v>43</v>
      </c>
    </row>
    <row r="5" spans="1:5" x14ac:dyDescent="0.25">
      <c r="A5" s="1" t="s">
        <v>44</v>
      </c>
    </row>
    <row r="6" spans="1:5" x14ac:dyDescent="0.25">
      <c r="A6" s="1"/>
      <c r="B6" t="s">
        <v>45</v>
      </c>
    </row>
    <row r="7" spans="1:5" x14ac:dyDescent="0.25">
      <c r="A7" s="1"/>
      <c r="B7" t="s">
        <v>46</v>
      </c>
    </row>
    <row r="8" spans="1:5" x14ac:dyDescent="0.25">
      <c r="A8" s="1"/>
      <c r="B8" t="s">
        <v>47</v>
      </c>
    </row>
    <row r="9" spans="1:5" x14ac:dyDescent="0.25">
      <c r="A9" s="1" t="s">
        <v>48</v>
      </c>
    </row>
    <row r="10" spans="1:5" x14ac:dyDescent="0.25">
      <c r="B10" t="s">
        <v>49</v>
      </c>
    </row>
    <row r="11" spans="1:5" x14ac:dyDescent="0.25">
      <c r="B11" t="s">
        <v>50</v>
      </c>
    </row>
    <row r="14" spans="1:5" ht="15.75" thickBot="1" x14ac:dyDescent="0.3">
      <c r="A14" t="s">
        <v>51</v>
      </c>
    </row>
    <row r="15" spans="1:5" ht="15.75" thickBot="1" x14ac:dyDescent="0.3">
      <c r="B15" s="5" t="s">
        <v>52</v>
      </c>
      <c r="C15" s="5" t="s">
        <v>53</v>
      </c>
      <c r="D15" s="5" t="s">
        <v>54</v>
      </c>
      <c r="E15" s="5" t="s">
        <v>55</v>
      </c>
    </row>
    <row r="16" spans="1:5" ht="15.75" thickBot="1" x14ac:dyDescent="0.3">
      <c r="B16" s="4" t="s">
        <v>63</v>
      </c>
      <c r="C16" s="4" t="s">
        <v>36</v>
      </c>
      <c r="D16" s="4">
        <v>0</v>
      </c>
      <c r="E16" s="4">
        <v>27075</v>
      </c>
    </row>
    <row r="19" spans="1:7" ht="15.75" thickBot="1" x14ac:dyDescent="0.3">
      <c r="A19" t="s">
        <v>56</v>
      </c>
    </row>
    <row r="20" spans="1:7" ht="15.75" thickBot="1" x14ac:dyDescent="0.3">
      <c r="B20" s="5" t="s">
        <v>52</v>
      </c>
      <c r="C20" s="5" t="s">
        <v>53</v>
      </c>
      <c r="D20" s="5" t="s">
        <v>54</v>
      </c>
      <c r="E20" s="5" t="s">
        <v>55</v>
      </c>
      <c r="F20" s="5" t="s">
        <v>57</v>
      </c>
    </row>
    <row r="21" spans="1:7" x14ac:dyDescent="0.25">
      <c r="B21" s="6" t="s">
        <v>64</v>
      </c>
      <c r="C21" s="6" t="s">
        <v>32</v>
      </c>
      <c r="D21" s="6">
        <v>0</v>
      </c>
      <c r="E21" s="6">
        <v>4500</v>
      </c>
      <c r="F21" s="6" t="s">
        <v>65</v>
      </c>
    </row>
    <row r="22" spans="1:7" x14ac:dyDescent="0.25">
      <c r="B22" s="6" t="s">
        <v>66</v>
      </c>
      <c r="C22" s="6" t="s">
        <v>33</v>
      </c>
      <c r="D22" s="6">
        <v>0</v>
      </c>
      <c r="E22" s="6">
        <v>3000</v>
      </c>
      <c r="F22" s="6" t="s">
        <v>65</v>
      </c>
    </row>
    <row r="23" spans="1:7" x14ac:dyDescent="0.25">
      <c r="B23" s="6" t="s">
        <v>67</v>
      </c>
      <c r="C23" s="6" t="s">
        <v>34</v>
      </c>
      <c r="D23" s="6">
        <v>0</v>
      </c>
      <c r="E23" s="6">
        <v>0</v>
      </c>
      <c r="F23" s="6" t="s">
        <v>65</v>
      </c>
    </row>
    <row r="24" spans="1:7" ht="15.75" thickBot="1" x14ac:dyDescent="0.3">
      <c r="B24" s="4" t="s">
        <v>68</v>
      </c>
      <c r="C24" s="4" t="s">
        <v>35</v>
      </c>
      <c r="D24" s="4">
        <v>0</v>
      </c>
      <c r="E24" s="4">
        <v>1500</v>
      </c>
      <c r="F24" s="4" t="s">
        <v>65</v>
      </c>
    </row>
    <row r="27" spans="1:7" ht="15.75" thickBot="1" x14ac:dyDescent="0.3">
      <c r="A27" t="s">
        <v>58</v>
      </c>
    </row>
    <row r="28" spans="1:7" ht="15.75" thickBot="1" x14ac:dyDescent="0.3">
      <c r="B28" s="5" t="s">
        <v>52</v>
      </c>
      <c r="C28" s="5" t="s">
        <v>53</v>
      </c>
      <c r="D28" s="5" t="s">
        <v>59</v>
      </c>
      <c r="E28" s="5" t="s">
        <v>60</v>
      </c>
      <c r="F28" s="5" t="s">
        <v>61</v>
      </c>
      <c r="G28" s="5" t="s">
        <v>62</v>
      </c>
    </row>
    <row r="29" spans="1:7" x14ac:dyDescent="0.25">
      <c r="B29" s="6" t="s">
        <v>69</v>
      </c>
      <c r="C29" s="6" t="s">
        <v>32</v>
      </c>
      <c r="D29" s="6">
        <v>7500</v>
      </c>
      <c r="E29" s="6" t="s">
        <v>70</v>
      </c>
      <c r="F29" s="6" t="s">
        <v>71</v>
      </c>
      <c r="G29" s="6">
        <v>0</v>
      </c>
    </row>
    <row r="30" spans="1:7" x14ac:dyDescent="0.25">
      <c r="B30" s="6" t="s">
        <v>72</v>
      </c>
      <c r="C30" s="6" t="s">
        <v>33</v>
      </c>
      <c r="D30" s="6">
        <v>9000</v>
      </c>
      <c r="E30" s="6" t="s">
        <v>73</v>
      </c>
      <c r="F30" s="6" t="s">
        <v>71</v>
      </c>
      <c r="G30" s="6">
        <v>0</v>
      </c>
    </row>
    <row r="31" spans="1:7" x14ac:dyDescent="0.25">
      <c r="B31" s="6" t="s">
        <v>74</v>
      </c>
      <c r="C31" s="6" t="s">
        <v>34</v>
      </c>
      <c r="D31" s="6">
        <v>0</v>
      </c>
      <c r="E31" s="6" t="s">
        <v>75</v>
      </c>
      <c r="F31" s="6" t="s">
        <v>71</v>
      </c>
      <c r="G31" s="6">
        <v>0</v>
      </c>
    </row>
    <row r="32" spans="1:7" x14ac:dyDescent="0.25">
      <c r="B32" s="6" t="s">
        <v>64</v>
      </c>
      <c r="C32" s="6" t="s">
        <v>32</v>
      </c>
      <c r="D32" s="6">
        <v>4500</v>
      </c>
      <c r="E32" s="6" t="s">
        <v>76</v>
      </c>
      <c r="F32" s="6" t="s">
        <v>77</v>
      </c>
      <c r="G32" s="6">
        <v>4500</v>
      </c>
    </row>
    <row r="33" spans="2:7" x14ac:dyDescent="0.25">
      <c r="B33" s="6" t="s">
        <v>66</v>
      </c>
      <c r="C33" s="6" t="s">
        <v>33</v>
      </c>
      <c r="D33" s="6">
        <v>3000</v>
      </c>
      <c r="E33" s="6" t="s">
        <v>78</v>
      </c>
      <c r="F33" s="6" t="s">
        <v>77</v>
      </c>
      <c r="G33" s="6">
        <v>3000</v>
      </c>
    </row>
    <row r="34" spans="2:7" x14ac:dyDescent="0.25">
      <c r="B34" s="6" t="s">
        <v>67</v>
      </c>
      <c r="C34" s="6" t="s">
        <v>34</v>
      </c>
      <c r="D34" s="6">
        <v>0</v>
      </c>
      <c r="E34" s="6" t="s">
        <v>79</v>
      </c>
      <c r="F34" s="6" t="s">
        <v>71</v>
      </c>
      <c r="G34" s="6">
        <v>0</v>
      </c>
    </row>
    <row r="35" spans="2:7" ht="15.75" thickBot="1" x14ac:dyDescent="0.3">
      <c r="B35" s="4" t="s">
        <v>68</v>
      </c>
      <c r="C35" s="4" t="s">
        <v>35</v>
      </c>
      <c r="D35" s="4">
        <v>1500</v>
      </c>
      <c r="E35" s="4" t="s">
        <v>80</v>
      </c>
      <c r="F35" s="4" t="s">
        <v>77</v>
      </c>
      <c r="G35" s="4">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7F0FB-7A8C-483A-A81A-7E9EC23CAB7F}">
  <dimension ref="A1:H19"/>
  <sheetViews>
    <sheetView showGridLines="0" workbookViewId="0">
      <selection activeCell="B6" sqref="B6:H19"/>
    </sheetView>
  </sheetViews>
  <sheetFormatPr defaultRowHeight="15" x14ac:dyDescent="0.25"/>
  <cols>
    <col min="1" max="1" width="2.28515625" customWidth="1"/>
    <col min="2" max="2" width="5.28515625" bestFit="1" customWidth="1"/>
    <col min="3" max="3" width="19.5703125" bestFit="1" customWidth="1"/>
    <col min="4" max="4" width="6" bestFit="1" customWidth="1"/>
    <col min="5" max="5" width="9" bestFit="1" customWidth="1"/>
    <col min="6" max="6" width="11.28515625" bestFit="1" customWidth="1"/>
    <col min="7" max="8" width="9.7109375" bestFit="1" customWidth="1"/>
  </cols>
  <sheetData>
    <row r="1" spans="1:8" x14ac:dyDescent="0.25">
      <c r="A1" s="1" t="s">
        <v>81</v>
      </c>
    </row>
    <row r="2" spans="1:8" x14ac:dyDescent="0.25">
      <c r="A2" s="1" t="s">
        <v>41</v>
      </c>
    </row>
    <row r="3" spans="1:8" x14ac:dyDescent="0.25">
      <c r="A3" s="1" t="s">
        <v>82</v>
      </c>
    </row>
    <row r="6" spans="1:8" ht="15.75" thickBot="1" x14ac:dyDescent="0.3">
      <c r="A6" t="s">
        <v>56</v>
      </c>
    </row>
    <row r="7" spans="1:8" x14ac:dyDescent="0.25">
      <c r="B7" s="7"/>
      <c r="C7" s="7"/>
      <c r="D7" s="7" t="s">
        <v>83</v>
      </c>
      <c r="E7" s="7" t="s">
        <v>85</v>
      </c>
      <c r="F7" s="7" t="s">
        <v>87</v>
      </c>
      <c r="G7" s="7" t="s">
        <v>89</v>
      </c>
      <c r="H7" s="7" t="s">
        <v>89</v>
      </c>
    </row>
    <row r="8" spans="1:8" ht="15.75" thickBot="1" x14ac:dyDescent="0.3">
      <c r="B8" s="8" t="s">
        <v>52</v>
      </c>
      <c r="C8" s="8" t="s">
        <v>53</v>
      </c>
      <c r="D8" s="8" t="s">
        <v>84</v>
      </c>
      <c r="E8" s="8" t="s">
        <v>86</v>
      </c>
      <c r="F8" s="8" t="s">
        <v>88</v>
      </c>
      <c r="G8" s="8" t="s">
        <v>90</v>
      </c>
      <c r="H8" s="8" t="s">
        <v>91</v>
      </c>
    </row>
    <row r="9" spans="1:8" x14ac:dyDescent="0.25">
      <c r="B9" s="6" t="s">
        <v>64</v>
      </c>
      <c r="C9" s="6" t="s">
        <v>32</v>
      </c>
      <c r="D9" s="6">
        <v>4500</v>
      </c>
      <c r="E9" s="6">
        <v>0</v>
      </c>
      <c r="F9" s="6">
        <v>5.7</v>
      </c>
      <c r="G9" s="6">
        <v>1E+30</v>
      </c>
      <c r="H9" s="6">
        <v>2.9999999999999991</v>
      </c>
    </row>
    <row r="10" spans="1:8" x14ac:dyDescent="0.25">
      <c r="B10" s="6" t="s">
        <v>66</v>
      </c>
      <c r="C10" s="6" t="s">
        <v>33</v>
      </c>
      <c r="D10" s="6">
        <v>3000</v>
      </c>
      <c r="E10" s="6">
        <v>0</v>
      </c>
      <c r="F10" s="6">
        <v>0.59999999999999964</v>
      </c>
      <c r="G10" s="6">
        <v>2.9999999999999991</v>
      </c>
      <c r="H10" s="6">
        <v>0.84999999999999964</v>
      </c>
    </row>
    <row r="11" spans="1:8" x14ac:dyDescent="0.25">
      <c r="B11" s="6" t="s">
        <v>67</v>
      </c>
      <c r="C11" s="6" t="s">
        <v>34</v>
      </c>
      <c r="D11" s="6">
        <v>0</v>
      </c>
      <c r="E11" s="6">
        <v>-1.4999999999999996</v>
      </c>
      <c r="F11" s="6">
        <v>0.55000000000000071</v>
      </c>
      <c r="G11" s="6">
        <v>1.4999999999999996</v>
      </c>
      <c r="H11" s="6">
        <v>1E+30</v>
      </c>
    </row>
    <row r="12" spans="1:8" ht="15.75" thickBot="1" x14ac:dyDescent="0.3">
      <c r="B12" s="4" t="s">
        <v>68</v>
      </c>
      <c r="C12" s="4" t="s">
        <v>35</v>
      </c>
      <c r="D12" s="4">
        <v>1500</v>
      </c>
      <c r="E12" s="4">
        <v>0</v>
      </c>
      <c r="F12" s="4">
        <v>-0.25</v>
      </c>
      <c r="G12" s="4">
        <v>0.84999999999999964</v>
      </c>
      <c r="H12" s="4">
        <v>0.74999999999999978</v>
      </c>
    </row>
    <row r="14" spans="1:8" ht="15.75" thickBot="1" x14ac:dyDescent="0.3">
      <c r="A14" t="s">
        <v>58</v>
      </c>
    </row>
    <row r="15" spans="1:8" x14ac:dyDescent="0.25">
      <c r="B15" s="7"/>
      <c r="C15" s="7"/>
      <c r="D15" s="7" t="s">
        <v>83</v>
      </c>
      <c r="E15" s="7" t="s">
        <v>92</v>
      </c>
      <c r="F15" s="7" t="s">
        <v>94</v>
      </c>
      <c r="G15" s="7" t="s">
        <v>89</v>
      </c>
      <c r="H15" s="7" t="s">
        <v>89</v>
      </c>
    </row>
    <row r="16" spans="1:8" ht="15.75" thickBot="1" x14ac:dyDescent="0.3">
      <c r="B16" s="8" t="s">
        <v>52</v>
      </c>
      <c r="C16" s="8" t="s">
        <v>53</v>
      </c>
      <c r="D16" s="8" t="s">
        <v>84</v>
      </c>
      <c r="E16" s="8" t="s">
        <v>93</v>
      </c>
      <c r="F16" s="8" t="s">
        <v>95</v>
      </c>
      <c r="G16" s="8" t="s">
        <v>90</v>
      </c>
      <c r="H16" s="8" t="s">
        <v>91</v>
      </c>
    </row>
    <row r="17" spans="2:8" x14ac:dyDescent="0.25">
      <c r="B17" s="6" t="s">
        <v>69</v>
      </c>
      <c r="C17" s="6" t="s">
        <v>32</v>
      </c>
      <c r="D17" s="6">
        <v>7500</v>
      </c>
      <c r="E17" s="6">
        <v>0.84999999999999964</v>
      </c>
      <c r="F17" s="6">
        <v>7500</v>
      </c>
      <c r="G17" s="6">
        <v>1500</v>
      </c>
      <c r="H17" s="6">
        <v>3000</v>
      </c>
    </row>
    <row r="18" spans="2:8" x14ac:dyDescent="0.25">
      <c r="B18" s="6" t="s">
        <v>72</v>
      </c>
      <c r="C18" s="6" t="s">
        <v>33</v>
      </c>
      <c r="D18" s="6">
        <v>9000</v>
      </c>
      <c r="E18" s="6">
        <v>2.3000000000000003</v>
      </c>
      <c r="F18" s="6">
        <v>9000</v>
      </c>
      <c r="G18" s="6">
        <v>6000</v>
      </c>
      <c r="H18" s="6">
        <v>1500</v>
      </c>
    </row>
    <row r="19" spans="2:8" ht="15.75" thickBot="1" x14ac:dyDescent="0.3">
      <c r="B19" s="4" t="s">
        <v>74</v>
      </c>
      <c r="C19" s="4" t="s">
        <v>34</v>
      </c>
      <c r="D19" s="4">
        <v>0</v>
      </c>
      <c r="E19" s="4">
        <v>0.25</v>
      </c>
      <c r="F19" s="4">
        <v>0</v>
      </c>
      <c r="G19" s="4">
        <v>1500</v>
      </c>
      <c r="H19" s="4">
        <v>1E+30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1D631-C9CC-44E7-B9B5-85905F646A88}">
  <dimension ref="A1:J16"/>
  <sheetViews>
    <sheetView showGridLines="0" workbookViewId="0"/>
  </sheetViews>
  <sheetFormatPr defaultRowHeight="15" x14ac:dyDescent="0.25"/>
  <cols>
    <col min="1" max="1" width="2.28515625" customWidth="1"/>
    <col min="2" max="2" width="5.140625" bestFit="1" customWidth="1"/>
    <col min="3" max="3" width="19.5703125" bestFit="1" customWidth="1"/>
    <col min="4" max="4" width="6" bestFit="1" customWidth="1"/>
    <col min="5" max="5" width="2.28515625" customWidth="1"/>
    <col min="6" max="6" width="6.42578125" bestFit="1" customWidth="1"/>
    <col min="7" max="7" width="9.7109375" bestFit="1" customWidth="1"/>
    <col min="8" max="8" width="2.28515625" customWidth="1"/>
    <col min="9" max="9" width="6.42578125" bestFit="1" customWidth="1"/>
    <col min="10" max="10" width="9.7109375" bestFit="1" customWidth="1"/>
  </cols>
  <sheetData>
    <row r="1" spans="1:10" x14ac:dyDescent="0.25">
      <c r="A1" s="1" t="s">
        <v>96</v>
      </c>
    </row>
    <row r="2" spans="1:10" x14ac:dyDescent="0.25">
      <c r="A2" s="1" t="s">
        <v>41</v>
      </c>
    </row>
    <row r="3" spans="1:10" x14ac:dyDescent="0.25">
      <c r="A3" s="1" t="s">
        <v>97</v>
      </c>
    </row>
    <row r="5" spans="1:10" ht="15.75" thickBot="1" x14ac:dyDescent="0.3"/>
    <row r="6" spans="1:10" x14ac:dyDescent="0.25">
      <c r="B6" s="7"/>
      <c r="C6" s="7" t="s">
        <v>87</v>
      </c>
      <c r="D6" s="7"/>
    </row>
    <row r="7" spans="1:10" ht="15.75" thickBot="1" x14ac:dyDescent="0.3">
      <c r="B7" s="8" t="s">
        <v>52</v>
      </c>
      <c r="C7" s="8" t="s">
        <v>53</v>
      </c>
      <c r="D7" s="8" t="s">
        <v>84</v>
      </c>
    </row>
    <row r="8" spans="1:10" ht="15.75" thickBot="1" x14ac:dyDescent="0.3">
      <c r="B8" s="4" t="s">
        <v>63</v>
      </c>
      <c r="C8" s="4" t="s">
        <v>36</v>
      </c>
      <c r="D8" s="4">
        <v>27075</v>
      </c>
    </row>
    <row r="10" spans="1:10" ht="15.75" thickBot="1" x14ac:dyDescent="0.3"/>
    <row r="11" spans="1:10" x14ac:dyDescent="0.25">
      <c r="B11" s="7"/>
      <c r="C11" s="7" t="s">
        <v>98</v>
      </c>
      <c r="D11" s="7"/>
      <c r="F11" s="7" t="s">
        <v>99</v>
      </c>
      <c r="G11" s="7" t="s">
        <v>87</v>
      </c>
      <c r="I11" s="7" t="s">
        <v>102</v>
      </c>
      <c r="J11" s="7" t="s">
        <v>87</v>
      </c>
    </row>
    <row r="12" spans="1:10" ht="15.75" thickBot="1" x14ac:dyDescent="0.3">
      <c r="B12" s="8" t="s">
        <v>52</v>
      </c>
      <c r="C12" s="8" t="s">
        <v>53</v>
      </c>
      <c r="D12" s="8" t="s">
        <v>84</v>
      </c>
      <c r="F12" s="8" t="s">
        <v>100</v>
      </c>
      <c r="G12" s="8" t="s">
        <v>101</v>
      </c>
      <c r="I12" s="8" t="s">
        <v>100</v>
      </c>
      <c r="J12" s="8" t="s">
        <v>101</v>
      </c>
    </row>
    <row r="13" spans="1:10" x14ac:dyDescent="0.25">
      <c r="B13" s="6" t="s">
        <v>64</v>
      </c>
      <c r="C13" s="6" t="s">
        <v>32</v>
      </c>
      <c r="D13" s="6">
        <v>4500</v>
      </c>
      <c r="F13" s="6">
        <v>4500</v>
      </c>
      <c r="G13" s="6">
        <v>27075</v>
      </c>
      <c r="I13" s="6">
        <v>4500</v>
      </c>
      <c r="J13" s="6">
        <v>27075</v>
      </c>
    </row>
    <row r="14" spans="1:10" x14ac:dyDescent="0.25">
      <c r="B14" s="6" t="s">
        <v>66</v>
      </c>
      <c r="C14" s="6" t="s">
        <v>33</v>
      </c>
      <c r="D14" s="6">
        <v>3000</v>
      </c>
      <c r="F14" s="6">
        <v>3000</v>
      </c>
      <c r="G14" s="6">
        <v>27075</v>
      </c>
      <c r="I14" s="6">
        <v>3000</v>
      </c>
      <c r="J14" s="6">
        <v>27075</v>
      </c>
    </row>
    <row r="15" spans="1:10" x14ac:dyDescent="0.25">
      <c r="B15" s="6" t="s">
        <v>67</v>
      </c>
      <c r="C15" s="6" t="s">
        <v>34</v>
      </c>
      <c r="D15" s="6">
        <v>0</v>
      </c>
      <c r="F15" s="6">
        <v>0</v>
      </c>
      <c r="G15" s="6">
        <v>27075</v>
      </c>
      <c r="I15" s="6">
        <v>0</v>
      </c>
      <c r="J15" s="6">
        <v>27075</v>
      </c>
    </row>
    <row r="16" spans="1:10" ht="15.75" thickBot="1" x14ac:dyDescent="0.3">
      <c r="B16" s="4" t="s">
        <v>68</v>
      </c>
      <c r="C16" s="4" t="s">
        <v>35</v>
      </c>
      <c r="D16" s="4">
        <v>1500</v>
      </c>
      <c r="F16" s="4">
        <v>1500</v>
      </c>
      <c r="G16" s="4">
        <v>27075</v>
      </c>
      <c r="I16" s="4">
        <v>1500</v>
      </c>
      <c r="J16" s="4">
        <v>27075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5AC1-D8D4-4A88-A889-7F51BA68FFD3}">
  <dimension ref="A1:D8"/>
  <sheetViews>
    <sheetView workbookViewId="0">
      <selection activeCell="D1" sqref="D1"/>
    </sheetView>
  </sheetViews>
  <sheetFormatPr defaultRowHeight="15" x14ac:dyDescent="0.25"/>
  <cols>
    <col min="1" max="1" width="19.5703125" bestFit="1" customWidth="1"/>
  </cols>
  <sheetData>
    <row r="1" spans="1:4" x14ac:dyDescent="0.25">
      <c r="A1" t="s">
        <v>32</v>
      </c>
      <c r="B1">
        <v>4500</v>
      </c>
      <c r="D1">
        <f>B1+B2</f>
        <v>7500</v>
      </c>
    </row>
    <row r="2" spans="1:4" x14ac:dyDescent="0.25">
      <c r="A2" t="s">
        <v>33</v>
      </c>
      <c r="B2">
        <v>3000</v>
      </c>
      <c r="D2">
        <f>2*B1+B3</f>
        <v>9000</v>
      </c>
    </row>
    <row r="3" spans="1:4" x14ac:dyDescent="0.25">
      <c r="A3" t="s">
        <v>34</v>
      </c>
      <c r="B3">
        <v>0</v>
      </c>
      <c r="D3">
        <f>B1-(B2+B3+B4)</f>
        <v>0</v>
      </c>
    </row>
    <row r="4" spans="1:4" x14ac:dyDescent="0.25">
      <c r="A4" t="s">
        <v>35</v>
      </c>
      <c r="B4">
        <v>1500</v>
      </c>
    </row>
    <row r="5" spans="1:4" x14ac:dyDescent="0.25">
      <c r="A5" t="s">
        <v>36</v>
      </c>
      <c r="B5">
        <f>5.7*B1+0.8*B2+0.65*B3-0.25*B4-0.2*B2-0.1*B3</f>
        <v>27075</v>
      </c>
    </row>
    <row r="6" spans="1:4" x14ac:dyDescent="0.25">
      <c r="A6" t="s">
        <v>37</v>
      </c>
      <c r="B6">
        <f>B1+B2</f>
        <v>7500</v>
      </c>
    </row>
    <row r="7" spans="1:4" x14ac:dyDescent="0.25">
      <c r="A7" t="s">
        <v>38</v>
      </c>
      <c r="B7">
        <f>2*B1+B3</f>
        <v>9000</v>
      </c>
    </row>
    <row r="8" spans="1:4" x14ac:dyDescent="0.25">
      <c r="A8" t="s">
        <v>39</v>
      </c>
      <c r="B8">
        <f>B1 - (B2+B3+B4)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CEC1-A430-4271-ABEB-E4FC61C9DC35}">
  <dimension ref="A1:G35"/>
  <sheetViews>
    <sheetView showGridLines="0" topLeftCell="I1" workbookViewId="0"/>
  </sheetViews>
  <sheetFormatPr defaultRowHeight="15" x14ac:dyDescent="0.25"/>
  <cols>
    <col min="1" max="1" width="2.28515625" customWidth="1"/>
    <col min="2" max="2" width="5.140625" bestFit="1" customWidth="1"/>
    <col min="3" max="3" width="6.28515625" bestFit="1" customWidth="1"/>
    <col min="4" max="4" width="13.5703125" bestFit="1" customWidth="1"/>
    <col min="5" max="5" width="11.140625" bestFit="1" customWidth="1"/>
    <col min="6" max="6" width="11.28515625" bestFit="1" customWidth="1"/>
    <col min="7" max="7" width="5.7109375" bestFit="1" customWidth="1"/>
  </cols>
  <sheetData>
    <row r="1" spans="1:5" x14ac:dyDescent="0.25">
      <c r="A1" s="1" t="s">
        <v>40</v>
      </c>
    </row>
    <row r="2" spans="1:5" x14ac:dyDescent="0.25">
      <c r="A2" s="1" t="s">
        <v>109</v>
      </c>
    </row>
    <row r="3" spans="1:5" x14ac:dyDescent="0.25">
      <c r="A3" s="1" t="s">
        <v>110</v>
      </c>
    </row>
    <row r="4" spans="1:5" x14ac:dyDescent="0.25">
      <c r="A4" s="1" t="s">
        <v>43</v>
      </c>
    </row>
    <row r="5" spans="1:5" x14ac:dyDescent="0.25">
      <c r="A5" s="1" t="s">
        <v>44</v>
      </c>
    </row>
    <row r="6" spans="1:5" x14ac:dyDescent="0.25">
      <c r="A6" s="1"/>
      <c r="B6" t="s">
        <v>45</v>
      </c>
    </row>
    <row r="7" spans="1:5" x14ac:dyDescent="0.25">
      <c r="A7" s="1"/>
      <c r="B7" t="s">
        <v>111</v>
      </c>
    </row>
    <row r="8" spans="1:5" x14ac:dyDescent="0.25">
      <c r="A8" s="1"/>
      <c r="B8" t="s">
        <v>112</v>
      </c>
    </row>
    <row r="9" spans="1:5" x14ac:dyDescent="0.25">
      <c r="A9" s="1" t="s">
        <v>48</v>
      </c>
    </row>
    <row r="10" spans="1:5" x14ac:dyDescent="0.25">
      <c r="B10" t="s">
        <v>113</v>
      </c>
    </row>
    <row r="11" spans="1:5" x14ac:dyDescent="0.25">
      <c r="B11" t="s">
        <v>50</v>
      </c>
    </row>
    <row r="14" spans="1:5" ht="15.75" thickBot="1" x14ac:dyDescent="0.3">
      <c r="A14" t="s">
        <v>51</v>
      </c>
    </row>
    <row r="15" spans="1:5" ht="15.75" thickBot="1" x14ac:dyDescent="0.3">
      <c r="B15" s="5" t="s">
        <v>52</v>
      </c>
      <c r="C15" s="5" t="s">
        <v>53</v>
      </c>
      <c r="D15" s="5" t="s">
        <v>54</v>
      </c>
      <c r="E15" s="5" t="s">
        <v>55</v>
      </c>
    </row>
    <row r="16" spans="1:5" ht="15.75" thickBot="1" x14ac:dyDescent="0.3">
      <c r="B16" s="4" t="s">
        <v>68</v>
      </c>
      <c r="C16" s="4" t="s">
        <v>108</v>
      </c>
      <c r="D16" s="4">
        <v>0</v>
      </c>
      <c r="E16" s="4">
        <v>24525</v>
      </c>
    </row>
    <row r="19" spans="1:7" ht="15.75" thickBot="1" x14ac:dyDescent="0.3">
      <c r="A19" t="s">
        <v>56</v>
      </c>
    </row>
    <row r="20" spans="1:7" ht="15.75" thickBot="1" x14ac:dyDescent="0.3">
      <c r="B20" s="5" t="s">
        <v>52</v>
      </c>
      <c r="C20" s="5" t="s">
        <v>53</v>
      </c>
      <c r="D20" s="5" t="s">
        <v>54</v>
      </c>
      <c r="E20" s="5" t="s">
        <v>55</v>
      </c>
      <c r="F20" s="5" t="s">
        <v>57</v>
      </c>
    </row>
    <row r="21" spans="1:7" x14ac:dyDescent="0.25">
      <c r="B21" s="6" t="s">
        <v>64</v>
      </c>
      <c r="C21" s="6" t="s">
        <v>105</v>
      </c>
      <c r="D21" s="6">
        <v>0</v>
      </c>
      <c r="E21" s="6">
        <v>4500</v>
      </c>
      <c r="F21" s="6" t="s">
        <v>65</v>
      </c>
    </row>
    <row r="22" spans="1:7" x14ac:dyDescent="0.25">
      <c r="B22" s="6" t="s">
        <v>66</v>
      </c>
      <c r="C22" s="6" t="s">
        <v>106</v>
      </c>
      <c r="D22" s="6">
        <v>0</v>
      </c>
      <c r="E22" s="6">
        <v>0</v>
      </c>
      <c r="F22" s="6" t="s">
        <v>65</v>
      </c>
    </row>
    <row r="23" spans="1:7" x14ac:dyDescent="0.25">
      <c r="B23" s="6" t="s">
        <v>67</v>
      </c>
      <c r="C23" s="6" t="s">
        <v>107</v>
      </c>
      <c r="D23" s="6">
        <v>0</v>
      </c>
      <c r="E23" s="6">
        <v>4500</v>
      </c>
      <c r="F23" s="6" t="s">
        <v>65</v>
      </c>
    </row>
    <row r="24" spans="1:7" x14ac:dyDescent="0.25">
      <c r="B24" s="6" t="s">
        <v>63</v>
      </c>
      <c r="C24" s="6" t="s">
        <v>3</v>
      </c>
      <c r="D24" s="6">
        <v>0</v>
      </c>
      <c r="E24" s="6">
        <v>0</v>
      </c>
      <c r="F24" s="6" t="s">
        <v>65</v>
      </c>
    </row>
    <row r="25" spans="1:7" ht="15.75" thickBot="1" x14ac:dyDescent="0.3">
      <c r="B25" s="4" t="s">
        <v>114</v>
      </c>
      <c r="C25" s="4" t="s">
        <v>4</v>
      </c>
      <c r="D25" s="4">
        <v>0</v>
      </c>
      <c r="E25" s="4">
        <v>0</v>
      </c>
      <c r="F25" s="4" t="s">
        <v>65</v>
      </c>
    </row>
    <row r="28" spans="1:7" ht="15.75" thickBot="1" x14ac:dyDescent="0.3">
      <c r="A28" t="s">
        <v>58</v>
      </c>
    </row>
    <row r="29" spans="1:7" ht="15.75" thickBot="1" x14ac:dyDescent="0.3">
      <c r="B29" s="5" t="s">
        <v>52</v>
      </c>
      <c r="C29" s="5" t="s">
        <v>53</v>
      </c>
      <c r="D29" s="5" t="s">
        <v>59</v>
      </c>
      <c r="E29" s="5" t="s">
        <v>60</v>
      </c>
      <c r="F29" s="5" t="s">
        <v>61</v>
      </c>
      <c r="G29" s="5" t="s">
        <v>62</v>
      </c>
    </row>
    <row r="30" spans="1:7" x14ac:dyDescent="0.25">
      <c r="B30" s="6" t="s">
        <v>115</v>
      </c>
      <c r="C30" s="6" t="s">
        <v>105</v>
      </c>
      <c r="D30" s="6">
        <v>4500</v>
      </c>
      <c r="E30" s="6" t="s">
        <v>116</v>
      </c>
      <c r="F30" s="6" t="s">
        <v>77</v>
      </c>
      <c r="G30" s="6">
        <v>3000</v>
      </c>
    </row>
    <row r="31" spans="1:7" x14ac:dyDescent="0.25">
      <c r="B31" s="6" t="s">
        <v>117</v>
      </c>
      <c r="C31" s="6" t="s">
        <v>106</v>
      </c>
      <c r="D31" s="6">
        <v>9000</v>
      </c>
      <c r="E31" s="6" t="s">
        <v>118</v>
      </c>
      <c r="F31" s="6" t="s">
        <v>71</v>
      </c>
      <c r="G31" s="6">
        <v>0</v>
      </c>
    </row>
    <row r="32" spans="1:7" x14ac:dyDescent="0.25">
      <c r="B32" s="6" t="s">
        <v>119</v>
      </c>
      <c r="C32" s="6" t="s">
        <v>107</v>
      </c>
      <c r="D32" s="6">
        <v>0</v>
      </c>
      <c r="E32" s="6" t="s">
        <v>120</v>
      </c>
      <c r="F32" s="6" t="s">
        <v>71</v>
      </c>
      <c r="G32" s="6">
        <v>0</v>
      </c>
    </row>
    <row r="33" spans="2:7" x14ac:dyDescent="0.25">
      <c r="B33" s="6" t="s">
        <v>64</v>
      </c>
      <c r="C33" s="6" t="s">
        <v>105</v>
      </c>
      <c r="D33" s="6">
        <v>4500</v>
      </c>
      <c r="E33" s="6" t="s">
        <v>76</v>
      </c>
      <c r="F33" s="6" t="s">
        <v>77</v>
      </c>
      <c r="G33" s="6">
        <v>4500</v>
      </c>
    </row>
    <row r="34" spans="2:7" x14ac:dyDescent="0.25">
      <c r="B34" s="6" t="s">
        <v>66</v>
      </c>
      <c r="C34" s="6" t="s">
        <v>106</v>
      </c>
      <c r="D34" s="6">
        <v>0</v>
      </c>
      <c r="E34" s="6" t="s">
        <v>78</v>
      </c>
      <c r="F34" s="6" t="s">
        <v>71</v>
      </c>
      <c r="G34" s="6">
        <v>0</v>
      </c>
    </row>
    <row r="35" spans="2:7" ht="15.75" thickBot="1" x14ac:dyDescent="0.3">
      <c r="B35" s="4" t="s">
        <v>67</v>
      </c>
      <c r="C35" s="4" t="s">
        <v>107</v>
      </c>
      <c r="D35" s="4">
        <v>4500</v>
      </c>
      <c r="E35" s="4" t="s">
        <v>79</v>
      </c>
      <c r="F35" s="4" t="s">
        <v>77</v>
      </c>
      <c r="G35" s="4">
        <v>4500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0F93A-943C-4712-81C4-235B9D57A1B2}">
  <dimension ref="A1:H20"/>
  <sheetViews>
    <sheetView showGridLines="0" workbookViewId="0"/>
  </sheetViews>
  <sheetFormatPr defaultRowHeight="15" x14ac:dyDescent="0.25"/>
  <cols>
    <col min="1" max="1" width="2.28515625" customWidth="1"/>
    <col min="2" max="2" width="5.140625" bestFit="1" customWidth="1"/>
    <col min="3" max="3" width="6.28515625" bestFit="1" customWidth="1"/>
    <col min="4" max="4" width="6" bestFit="1" customWidth="1"/>
    <col min="5" max="5" width="9" bestFit="1" customWidth="1"/>
    <col min="6" max="6" width="11.28515625" bestFit="1" customWidth="1"/>
    <col min="7" max="7" width="9.7109375" bestFit="1" customWidth="1"/>
    <col min="8" max="8" width="12" bestFit="1" customWidth="1"/>
  </cols>
  <sheetData>
    <row r="1" spans="1:8" x14ac:dyDescent="0.25">
      <c r="A1" s="1" t="s">
        <v>81</v>
      </c>
    </row>
    <row r="2" spans="1:8" x14ac:dyDescent="0.25">
      <c r="A2" s="1" t="s">
        <v>109</v>
      </c>
    </row>
    <row r="3" spans="1:8" x14ac:dyDescent="0.25">
      <c r="A3" s="1" t="s">
        <v>121</v>
      </c>
    </row>
    <row r="6" spans="1:8" ht="15.75" thickBot="1" x14ac:dyDescent="0.3">
      <c r="A6" t="s">
        <v>56</v>
      </c>
    </row>
    <row r="7" spans="1:8" x14ac:dyDescent="0.25">
      <c r="B7" s="7"/>
      <c r="C7" s="7"/>
      <c r="D7" s="7" t="s">
        <v>83</v>
      </c>
      <c r="E7" s="7" t="s">
        <v>85</v>
      </c>
      <c r="F7" s="7" t="s">
        <v>87</v>
      </c>
      <c r="G7" s="7" t="s">
        <v>89</v>
      </c>
      <c r="H7" s="7" t="s">
        <v>89</v>
      </c>
    </row>
    <row r="8" spans="1:8" ht="15.75" thickBot="1" x14ac:dyDescent="0.3">
      <c r="B8" s="8" t="s">
        <v>52</v>
      </c>
      <c r="C8" s="8" t="s">
        <v>53</v>
      </c>
      <c r="D8" s="8" t="s">
        <v>84</v>
      </c>
      <c r="E8" s="8" t="s">
        <v>86</v>
      </c>
      <c r="F8" s="8" t="s">
        <v>88</v>
      </c>
      <c r="G8" s="8" t="s">
        <v>90</v>
      </c>
      <c r="H8" s="8" t="s">
        <v>91</v>
      </c>
    </row>
    <row r="9" spans="1:8" x14ac:dyDescent="0.25">
      <c r="B9" s="6" t="s">
        <v>64</v>
      </c>
      <c r="C9" s="6" t="s">
        <v>105</v>
      </c>
      <c r="D9" s="6">
        <v>4500</v>
      </c>
      <c r="E9" s="6">
        <v>0</v>
      </c>
      <c r="F9" s="6">
        <v>5.7</v>
      </c>
      <c r="G9" s="6">
        <v>1E+30</v>
      </c>
      <c r="H9" s="6">
        <v>3.8499999999999996</v>
      </c>
    </row>
    <row r="10" spans="1:8" x14ac:dyDescent="0.25">
      <c r="B10" s="6" t="s">
        <v>66</v>
      </c>
      <c r="C10" s="6" t="s">
        <v>106</v>
      </c>
      <c r="D10" s="6">
        <v>0</v>
      </c>
      <c r="E10" s="6">
        <v>-1.9249999999999998</v>
      </c>
      <c r="F10" s="6">
        <v>0.55000000000000071</v>
      </c>
      <c r="G10" s="6">
        <v>1.9249999999999998</v>
      </c>
      <c r="H10" s="6">
        <v>1E+30</v>
      </c>
    </row>
    <row r="11" spans="1:8" x14ac:dyDescent="0.25">
      <c r="B11" s="6" t="s">
        <v>67</v>
      </c>
      <c r="C11" s="6" t="s">
        <v>107</v>
      </c>
      <c r="D11" s="6">
        <v>4500</v>
      </c>
      <c r="E11" s="6">
        <v>0</v>
      </c>
      <c r="F11" s="6">
        <v>-0.25</v>
      </c>
      <c r="G11" s="6">
        <v>1E+30</v>
      </c>
      <c r="H11" s="6">
        <v>1.2833333333333332</v>
      </c>
    </row>
    <row r="12" spans="1:8" x14ac:dyDescent="0.25">
      <c r="B12" s="6" t="s">
        <v>63</v>
      </c>
      <c r="C12" s="6" t="s">
        <v>3</v>
      </c>
      <c r="D12" s="6">
        <v>0</v>
      </c>
      <c r="E12" s="6">
        <v>0</v>
      </c>
      <c r="F12" s="6">
        <v>0</v>
      </c>
      <c r="G12" s="6">
        <v>0</v>
      </c>
      <c r="H12" s="6">
        <v>1E+30</v>
      </c>
    </row>
    <row r="13" spans="1:8" ht="15.75" thickBot="1" x14ac:dyDescent="0.3">
      <c r="B13" s="4" t="s">
        <v>114</v>
      </c>
      <c r="C13" s="4" t="s">
        <v>4</v>
      </c>
      <c r="D13" s="4">
        <v>0</v>
      </c>
      <c r="E13" s="4">
        <v>0</v>
      </c>
      <c r="F13" s="4">
        <v>0</v>
      </c>
      <c r="G13" s="4">
        <v>0</v>
      </c>
      <c r="H13" s="4">
        <v>1E+30</v>
      </c>
    </row>
    <row r="15" spans="1:8" ht="15.75" thickBot="1" x14ac:dyDescent="0.3">
      <c r="A15" t="s">
        <v>58</v>
      </c>
    </row>
    <row r="16" spans="1:8" x14ac:dyDescent="0.25">
      <c r="B16" s="7"/>
      <c r="C16" s="7"/>
      <c r="D16" s="7" t="s">
        <v>83</v>
      </c>
      <c r="E16" s="7" t="s">
        <v>92</v>
      </c>
      <c r="F16" s="7" t="s">
        <v>94</v>
      </c>
      <c r="G16" s="7" t="s">
        <v>89</v>
      </c>
      <c r="H16" s="7" t="s">
        <v>89</v>
      </c>
    </row>
    <row r="17" spans="2:8" ht="15.75" thickBot="1" x14ac:dyDescent="0.3">
      <c r="B17" s="8" t="s">
        <v>52</v>
      </c>
      <c r="C17" s="8" t="s">
        <v>53</v>
      </c>
      <c r="D17" s="8" t="s">
        <v>84</v>
      </c>
      <c r="E17" s="8" t="s">
        <v>93</v>
      </c>
      <c r="F17" s="8" t="s">
        <v>95</v>
      </c>
      <c r="G17" s="8" t="s">
        <v>90</v>
      </c>
      <c r="H17" s="8" t="s">
        <v>91</v>
      </c>
    </row>
    <row r="18" spans="2:8" x14ac:dyDescent="0.25">
      <c r="B18" s="6" t="s">
        <v>115</v>
      </c>
      <c r="C18" s="6" t="s">
        <v>105</v>
      </c>
      <c r="D18" s="6">
        <v>4500</v>
      </c>
      <c r="E18" s="6">
        <v>0</v>
      </c>
      <c r="F18" s="6">
        <v>7500</v>
      </c>
      <c r="G18" s="6">
        <v>1E+30</v>
      </c>
      <c r="H18" s="6">
        <v>3000</v>
      </c>
    </row>
    <row r="19" spans="2:8" x14ac:dyDescent="0.25">
      <c r="B19" s="6" t="s">
        <v>117</v>
      </c>
      <c r="C19" s="6" t="s">
        <v>106</v>
      </c>
      <c r="D19" s="6">
        <v>9000</v>
      </c>
      <c r="E19" s="6">
        <v>2.7250000000000001</v>
      </c>
      <c r="F19" s="6">
        <v>9000</v>
      </c>
      <c r="G19" s="6">
        <v>6000</v>
      </c>
      <c r="H19" s="6">
        <v>9000</v>
      </c>
    </row>
    <row r="20" spans="2:8" ht="15.75" thickBot="1" x14ac:dyDescent="0.3">
      <c r="B20" s="4" t="s">
        <v>119</v>
      </c>
      <c r="C20" s="4" t="s">
        <v>107</v>
      </c>
      <c r="D20" s="4">
        <v>0</v>
      </c>
      <c r="E20" s="4">
        <v>0.25</v>
      </c>
      <c r="F20" s="4">
        <v>0</v>
      </c>
      <c r="G20" s="4">
        <v>4500</v>
      </c>
      <c r="H20" s="4">
        <v>1E+30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D568D-1224-43B3-A46E-631E376FD898}">
  <dimension ref="A1:J17"/>
  <sheetViews>
    <sheetView showGridLines="0" topLeftCell="A4" workbookViewId="0"/>
  </sheetViews>
  <sheetFormatPr defaultRowHeight="15" x14ac:dyDescent="0.25"/>
  <cols>
    <col min="1" max="1" width="2.28515625" customWidth="1"/>
    <col min="2" max="2" width="5.140625" bestFit="1" customWidth="1"/>
    <col min="3" max="3" width="9.7109375" bestFit="1" customWidth="1"/>
    <col min="4" max="4" width="6" bestFit="1" customWidth="1"/>
    <col min="5" max="5" width="2.28515625" customWidth="1"/>
    <col min="6" max="6" width="6.42578125" bestFit="1" customWidth="1"/>
    <col min="7" max="7" width="9.7109375" bestFit="1" customWidth="1"/>
    <col min="8" max="8" width="2.28515625" customWidth="1"/>
    <col min="9" max="9" width="6.42578125" bestFit="1" customWidth="1"/>
    <col min="10" max="10" width="9.7109375" bestFit="1" customWidth="1"/>
  </cols>
  <sheetData>
    <row r="1" spans="1:10" x14ac:dyDescent="0.25">
      <c r="A1" s="1" t="s">
        <v>96</v>
      </c>
    </row>
    <row r="2" spans="1:10" x14ac:dyDescent="0.25">
      <c r="A2" s="1" t="s">
        <v>109</v>
      </c>
    </row>
    <row r="3" spans="1:10" x14ac:dyDescent="0.25">
      <c r="A3" s="1" t="s">
        <v>122</v>
      </c>
    </row>
    <row r="5" spans="1:10" ht="15.75" thickBot="1" x14ac:dyDescent="0.3"/>
    <row r="6" spans="1:10" x14ac:dyDescent="0.25">
      <c r="B6" s="7"/>
      <c r="C6" s="7" t="s">
        <v>87</v>
      </c>
      <c r="D6" s="7"/>
    </row>
    <row r="7" spans="1:10" ht="15.75" thickBot="1" x14ac:dyDescent="0.3">
      <c r="B7" s="8" t="s">
        <v>52</v>
      </c>
      <c r="C7" s="8" t="s">
        <v>53</v>
      </c>
      <c r="D7" s="8" t="s">
        <v>84</v>
      </c>
    </row>
    <row r="8" spans="1:10" ht="15.75" thickBot="1" x14ac:dyDescent="0.3">
      <c r="B8" s="4" t="s">
        <v>68</v>
      </c>
      <c r="C8" s="4" t="s">
        <v>108</v>
      </c>
      <c r="D8" s="4">
        <v>24525</v>
      </c>
    </row>
    <row r="10" spans="1:10" ht="15.75" thickBot="1" x14ac:dyDescent="0.3"/>
    <row r="11" spans="1:10" x14ac:dyDescent="0.25">
      <c r="B11" s="7"/>
      <c r="C11" s="7" t="s">
        <v>98</v>
      </c>
      <c r="D11" s="7"/>
      <c r="F11" s="7" t="s">
        <v>99</v>
      </c>
      <c r="G11" s="7" t="s">
        <v>87</v>
      </c>
      <c r="I11" s="7" t="s">
        <v>102</v>
      </c>
      <c r="J11" s="7" t="s">
        <v>87</v>
      </c>
    </row>
    <row r="12" spans="1:10" ht="15.75" thickBot="1" x14ac:dyDescent="0.3">
      <c r="B12" s="8" t="s">
        <v>52</v>
      </c>
      <c r="C12" s="8" t="s">
        <v>53</v>
      </c>
      <c r="D12" s="8" t="s">
        <v>84</v>
      </c>
      <c r="F12" s="8" t="s">
        <v>100</v>
      </c>
      <c r="G12" s="8" t="s">
        <v>101</v>
      </c>
      <c r="I12" s="8" t="s">
        <v>100</v>
      </c>
      <c r="J12" s="8" t="s">
        <v>101</v>
      </c>
    </row>
    <row r="13" spans="1:10" x14ac:dyDescent="0.25">
      <c r="B13" s="6" t="s">
        <v>64</v>
      </c>
      <c r="C13" s="6" t="s">
        <v>105</v>
      </c>
      <c r="D13" s="6">
        <v>4500</v>
      </c>
      <c r="F13" s="6">
        <v>4500</v>
      </c>
      <c r="G13" s="6">
        <v>24525</v>
      </c>
      <c r="I13" s="6">
        <v>4500</v>
      </c>
      <c r="J13" s="6">
        <v>24525</v>
      </c>
    </row>
    <row r="14" spans="1:10" x14ac:dyDescent="0.25">
      <c r="B14" s="6" t="s">
        <v>66</v>
      </c>
      <c r="C14" s="6" t="s">
        <v>106</v>
      </c>
      <c r="D14" s="6">
        <v>0</v>
      </c>
      <c r="F14" s="6">
        <v>0</v>
      </c>
      <c r="G14" s="6">
        <v>24525</v>
      </c>
      <c r="I14" s="6">
        <v>0</v>
      </c>
      <c r="J14" s="6">
        <v>24525</v>
      </c>
    </row>
    <row r="15" spans="1:10" x14ac:dyDescent="0.25">
      <c r="B15" s="6" t="s">
        <v>67</v>
      </c>
      <c r="C15" s="6" t="s">
        <v>107</v>
      </c>
      <c r="D15" s="6">
        <v>4500</v>
      </c>
      <c r="F15" s="6">
        <v>4500</v>
      </c>
      <c r="G15" s="6">
        <v>24525</v>
      </c>
      <c r="I15" s="6">
        <v>4500</v>
      </c>
      <c r="J15" s="6">
        <v>24525</v>
      </c>
    </row>
    <row r="16" spans="1:10" x14ac:dyDescent="0.25">
      <c r="B16" s="6" t="s">
        <v>63</v>
      </c>
      <c r="C16" s="6" t="s">
        <v>3</v>
      </c>
      <c r="D16" s="6">
        <v>0</v>
      </c>
      <c r="F16" s="6">
        <v>0</v>
      </c>
      <c r="G16" s="6">
        <v>24525</v>
      </c>
      <c r="I16" s="6" t="e">
        <v>#N/A</v>
      </c>
      <c r="J16" s="6" t="e">
        <v>#N/A</v>
      </c>
    </row>
    <row r="17" spans="2:10" ht="15.75" thickBot="1" x14ac:dyDescent="0.3">
      <c r="B17" s="4" t="s">
        <v>114</v>
      </c>
      <c r="C17" s="4" t="s">
        <v>4</v>
      </c>
      <c r="D17" s="4">
        <v>0</v>
      </c>
      <c r="F17" s="4">
        <v>0</v>
      </c>
      <c r="G17" s="4">
        <v>24525</v>
      </c>
      <c r="I17" s="4" t="e">
        <v>#N/A</v>
      </c>
      <c r="J17" s="4" t="e">
        <v>#N/A</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DEE9-5CCC-4C99-8584-A433650E1FE4}">
  <dimension ref="A1:C7"/>
  <sheetViews>
    <sheetView workbookViewId="0">
      <selection activeCell="C3" sqref="C3"/>
    </sheetView>
  </sheetViews>
  <sheetFormatPr defaultRowHeight="15" x14ac:dyDescent="0.25"/>
  <sheetData>
    <row r="1" spans="1:3" x14ac:dyDescent="0.25">
      <c r="A1" t="s">
        <v>105</v>
      </c>
      <c r="B1">
        <v>4500</v>
      </c>
      <c r="C1">
        <f>B1</f>
        <v>4500</v>
      </c>
    </row>
    <row r="2" spans="1:3" x14ac:dyDescent="0.25">
      <c r="A2" t="s">
        <v>106</v>
      </c>
      <c r="B2">
        <v>0</v>
      </c>
      <c r="C2">
        <f>2*B1+B2</f>
        <v>9000</v>
      </c>
    </row>
    <row r="3" spans="1:3" x14ac:dyDescent="0.25">
      <c r="A3" t="s">
        <v>107</v>
      </c>
      <c r="B3">
        <v>4500</v>
      </c>
      <c r="C3">
        <f>B1-(B2+B3)</f>
        <v>0</v>
      </c>
    </row>
    <row r="4" spans="1:3" x14ac:dyDescent="0.25">
      <c r="A4" t="s">
        <v>108</v>
      </c>
      <c r="B4">
        <f>5.7*B1 + 0.65*B2 - 0.25*B3 - 0.1*B2</f>
        <v>24525</v>
      </c>
    </row>
    <row r="5" spans="1:3" x14ac:dyDescent="0.25">
      <c r="A5" t="s">
        <v>3</v>
      </c>
      <c r="B5">
        <v>0</v>
      </c>
    </row>
    <row r="6" spans="1:3" x14ac:dyDescent="0.25">
      <c r="A6" t="s">
        <v>4</v>
      </c>
      <c r="B6">
        <v>0</v>
      </c>
    </row>
    <row r="7" spans="1:3" x14ac:dyDescent="0.25">
      <c r="A7"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Cost analysis</vt:lpstr>
      <vt:lpstr>Answer Report 1</vt:lpstr>
      <vt:lpstr>Sensitivity Report 1</vt:lpstr>
      <vt:lpstr>Limits Report 1</vt:lpstr>
      <vt:lpstr>Sheet2</vt:lpstr>
      <vt:lpstr>Answer Report 2</vt:lpstr>
      <vt:lpstr>Sensitivity Report 2</vt:lpstr>
      <vt:lpstr>Limits Report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Radjamin A. Hukom</dc:creator>
  <cp:lastModifiedBy>Radjamin A. Hukom</cp:lastModifiedBy>
  <dcterms:created xsi:type="dcterms:W3CDTF">2025-02-23T18:27:01Z</dcterms:created>
  <dcterms:modified xsi:type="dcterms:W3CDTF">2025-02-26T18:49:59Z</dcterms:modified>
</cp:coreProperties>
</file>